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37.xml"/>
  <Override ContentType="application/vnd.openxmlformats-officedocument.spreadsheetml.table+xml" PartName="/xl/tables/table4.xml"/>
  <Override ContentType="application/vnd.openxmlformats-officedocument.spreadsheetml.table+xml" PartName="/xl/tables/table29.xml"/>
  <Override ContentType="application/vnd.openxmlformats-officedocument.spreadsheetml.table+xml" PartName="/xl/tables/table32.xml"/>
  <Override ContentType="application/vnd.openxmlformats-officedocument.spreadsheetml.table+xml" PartName="/xl/tables/table28.xml"/>
  <Override ContentType="application/vnd.openxmlformats-officedocument.spreadsheetml.table+xml" PartName="/xl/tables/table15.xml"/>
  <Override ContentType="application/vnd.openxmlformats-officedocument.spreadsheetml.table+xml" PartName="/xl/tables/table8.xml"/>
  <Override ContentType="application/vnd.openxmlformats-officedocument.spreadsheetml.table+xml" PartName="/xl/tables/table24.xml"/>
  <Override ContentType="application/vnd.openxmlformats-officedocument.spreadsheetml.table+xml" PartName="/xl/tables/table11.xml"/>
  <Override ContentType="application/vnd.openxmlformats-officedocument.spreadsheetml.table+xml" PartName="/xl/tables/table31.xml"/>
  <Override ContentType="application/vnd.openxmlformats-officedocument.spreadsheetml.table+xml" PartName="/xl/tables/table5.xml"/>
  <Override ContentType="application/vnd.openxmlformats-officedocument.spreadsheetml.table+xml" PartName="/xl/tables/table36.xml"/>
  <Override ContentType="application/vnd.openxmlformats-officedocument.spreadsheetml.table+xml" PartName="/xl/tables/table19.xml"/>
  <Override ContentType="application/vnd.openxmlformats-officedocument.spreadsheetml.table+xml" PartName="/xl/tables/table10.xml"/>
  <Override ContentType="application/vnd.openxmlformats-officedocument.spreadsheetml.table+xml" PartName="/xl/tables/table27.xml"/>
  <Override ContentType="application/vnd.openxmlformats-officedocument.spreadsheetml.table+xml" PartName="/xl/tables/table14.xml"/>
  <Override ContentType="application/vnd.openxmlformats-officedocument.spreadsheetml.table+xml" PartName="/xl/tables/table23.xml"/>
  <Override ContentType="application/vnd.openxmlformats-officedocument.spreadsheetml.table+xml" PartName="/xl/tables/table9.xml"/>
  <Override ContentType="application/vnd.openxmlformats-officedocument.spreadsheetml.table+xml" PartName="/xl/tables/table18.xml"/>
  <Override ContentType="application/vnd.openxmlformats-officedocument.spreadsheetml.table+xml" PartName="/xl/tables/table13.xml"/>
  <Override ContentType="application/vnd.openxmlformats-officedocument.spreadsheetml.table+xml" PartName="/xl/tables/table1.xml"/>
  <Override ContentType="application/vnd.openxmlformats-officedocument.spreadsheetml.table+xml" PartName="/xl/tables/table30.xml"/>
  <Override ContentType="application/vnd.openxmlformats-officedocument.spreadsheetml.table+xml" PartName="/xl/tables/table22.xml"/>
  <Override ContentType="application/vnd.openxmlformats-officedocument.spreadsheetml.table+xml" PartName="/xl/tables/table2.xml"/>
  <Override ContentType="application/vnd.openxmlformats-officedocument.spreadsheetml.table+xml" PartName="/xl/tables/table35.xml"/>
  <Override ContentType="application/vnd.openxmlformats-officedocument.spreadsheetml.table+xml" PartName="/xl/tables/table26.xml"/>
  <Override ContentType="application/vnd.openxmlformats-officedocument.spreadsheetml.table+xml" PartName="/xl/tables/table6.xml"/>
  <Override ContentType="application/vnd.openxmlformats-officedocument.spreadsheetml.table+xml" PartName="/xl/tables/table20.xml"/>
  <Override ContentType="application/vnd.openxmlformats-officedocument.spreadsheetml.table+xml" PartName="/xl/tables/table3.xml"/>
  <Override ContentType="application/vnd.openxmlformats-officedocument.spreadsheetml.table+xml" PartName="/xl/tables/table17.xml"/>
  <Override ContentType="application/vnd.openxmlformats-officedocument.spreadsheetml.table+xml" PartName="/xl/tables/table33.xml"/>
  <Override ContentType="application/vnd.openxmlformats-officedocument.spreadsheetml.table+xml" PartName="/xl/tables/table34.xml"/>
  <Override ContentType="application/vnd.openxmlformats-officedocument.spreadsheetml.table+xml" PartName="/xl/tables/table7.xml"/>
  <Override ContentType="application/vnd.openxmlformats-officedocument.spreadsheetml.table+xml" PartName="/xl/tables/table16.xml"/>
  <Override ContentType="application/vnd.openxmlformats-officedocument.spreadsheetml.table+xml" PartName="/xl/tables/table21.xml"/>
  <Override ContentType="application/vnd.openxmlformats-officedocument.spreadsheetml.table+xml" PartName="/xl/tables/table12.xml"/>
  <Override ContentType="application/vnd.openxmlformats-officedocument.spreadsheetml.table+xml" PartName="/xl/tables/table25.xml"/>
  <Override ContentType="application/vnd.openxmlformats-officedocument.spreadsheetml.worksheet+xml" PartName="/xl/worksheets/sheet28.xml"/>
  <Override ContentType="application/vnd.openxmlformats-officedocument.spreadsheetml.worksheet+xml" PartName="/xl/worksheets/sheet23.xml"/>
  <Override ContentType="application/vnd.openxmlformats-officedocument.spreadsheetml.worksheet+xml" PartName="/xl/worksheets/sheet10.xml"/>
  <Override ContentType="application/vnd.openxmlformats-officedocument.spreadsheetml.worksheet+xml" PartName="/xl/worksheets/sheet15.xml"/>
  <Override ContentType="application/vnd.openxmlformats-officedocument.spreadsheetml.worksheet+xml" PartName="/xl/worksheets/sheet40.xml"/>
  <Override ContentType="application/vnd.openxmlformats-officedocument.spreadsheetml.worksheet+xml" PartName="/xl/worksheets/sheet19.xml"/>
  <Override ContentType="application/vnd.openxmlformats-officedocument.spreadsheetml.worksheet+xml" PartName="/xl/worksheets/sheet32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36.xml"/>
  <Override ContentType="application/vnd.openxmlformats-officedocument.spreadsheetml.worksheet+xml" PartName="/xl/worksheets/sheet16.xml"/>
  <Override ContentType="application/vnd.openxmlformats-officedocument.spreadsheetml.worksheet+xml" PartName="/xl/worksheets/sheet41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29.xml"/>
  <Override ContentType="application/vnd.openxmlformats-officedocument.spreadsheetml.worksheet+xml" PartName="/xl/worksheets/sheet20.xml"/>
  <Override ContentType="application/vnd.openxmlformats-officedocument.spreadsheetml.worksheet+xml" PartName="/xl/worksheets/sheet37.xml"/>
  <Override ContentType="application/vnd.openxmlformats-officedocument.spreadsheetml.worksheet+xml" PartName="/xl/worksheets/sheet1.xml"/>
  <Override ContentType="application/vnd.openxmlformats-officedocument.spreadsheetml.worksheet+xml" PartName="/xl/worksheets/sheet24.xml"/>
  <Override ContentType="application/vnd.openxmlformats-officedocument.spreadsheetml.worksheet+xml" PartName="/xl/worksheets/sheet9.xml"/>
  <Override ContentType="application/vnd.openxmlformats-officedocument.spreadsheetml.worksheet+xml" PartName="/xl/worksheets/sheet33.xml"/>
  <Override ContentType="application/vnd.openxmlformats-officedocument.spreadsheetml.worksheet+xml" PartName="/xl/worksheets/sheet4.xml"/>
  <Override ContentType="application/vnd.openxmlformats-officedocument.spreadsheetml.worksheet+xml" PartName="/xl/worksheets/sheet39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38.xml"/>
  <Override ContentType="application/vnd.openxmlformats-officedocument.spreadsheetml.worksheet+xml" PartName="/xl/worksheets/sheet25.xml"/>
  <Override ContentType="application/vnd.openxmlformats-officedocument.spreadsheetml.worksheet+xml" PartName="/xl/worksheets/sheet8.xml"/>
  <Override ContentType="application/vnd.openxmlformats-officedocument.spreadsheetml.worksheet+xml" PartName="/xl/worksheets/sheet34.xml"/>
  <Override ContentType="application/vnd.openxmlformats-officedocument.spreadsheetml.worksheet+xml" PartName="/xl/worksheets/sheet21.xml"/>
  <Override ContentType="application/vnd.openxmlformats-officedocument.spreadsheetml.worksheet+xml" PartName="/xl/worksheets/sheet30.xml"/>
  <Override ContentType="application/vnd.openxmlformats-officedocument.spreadsheetml.worksheet+xml" PartName="/xl/worksheets/sheet27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8.xml"/>
  <Override ContentType="application/vnd.openxmlformats-officedocument.spreadsheetml.worksheet+xml" PartName="/xl/worksheets/sheet26.xml"/>
  <Override ContentType="application/vnd.openxmlformats-officedocument.spreadsheetml.worksheet+xml" PartName="/xl/worksheets/sheet31.xml"/>
  <Override ContentType="application/vnd.openxmlformats-officedocument.spreadsheetml.worksheet+xml" PartName="/xl/worksheets/sheet3.xml"/>
  <Override ContentType="application/vnd.openxmlformats-officedocument.spreadsheetml.worksheet+xml" PartName="/xl/worksheets/sheet22.xml"/>
  <Override ContentType="application/vnd.openxmlformats-officedocument.spreadsheetml.worksheet+xml" PartName="/xl/worksheets/sheet7.xml"/>
  <Override ContentType="application/vnd.openxmlformats-officedocument.spreadsheetml.worksheet+xml" PartName="/xl/worksheets/sheet35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26.xml"/>
  <Override ContentType="application/vnd.openxmlformats-officedocument.drawing+xml" PartName="/xl/drawings/drawing9.xml"/>
  <Override ContentType="application/vnd.openxmlformats-officedocument.drawing+xml" PartName="/xl/drawings/drawing39.xml"/>
  <Override ContentType="application/vnd.openxmlformats-officedocument.drawing+xml" PartName="/xl/drawings/drawing13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25.xml"/>
  <Override ContentType="application/vnd.openxmlformats-officedocument.drawing+xml" PartName="/xl/drawings/drawing30.xml"/>
  <Override ContentType="application/vnd.openxmlformats-officedocument.drawing+xml" PartName="/xl/drawings/drawing34.xml"/>
  <Override ContentType="application/vnd.openxmlformats-officedocument.drawing+xml" PartName="/xl/drawings/drawing21.xml"/>
  <Override ContentType="application/vnd.openxmlformats-officedocument.drawing+xml" PartName="/xl/drawings/drawing27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31.xml"/>
  <Override ContentType="application/vnd.openxmlformats-officedocument.drawing+xml" PartName="/xl/drawings/drawing22.xml"/>
  <Override ContentType="application/vnd.openxmlformats-officedocument.drawing+xml" PartName="/xl/drawings/drawing35.xml"/>
  <Override ContentType="application/vnd.openxmlformats-officedocument.drawing+xml" PartName="/xl/drawings/drawing10.xml"/>
  <Override ContentType="application/vnd.openxmlformats-officedocument.drawing+xml" PartName="/xl/drawings/drawing28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40.xml"/>
  <Override ContentType="application/vnd.openxmlformats-officedocument.drawing+xml" PartName="/xl/drawings/drawing1.xml"/>
  <Override ContentType="application/vnd.openxmlformats-officedocument.drawing+xml" PartName="/xl/drawings/drawing36.xml"/>
  <Override ContentType="application/vnd.openxmlformats-officedocument.drawing+xml" PartName="/xl/drawings/drawing32.xml"/>
  <Override ContentType="application/vnd.openxmlformats-officedocument.drawing+xml" PartName="/xl/drawings/drawing23.xml"/>
  <Override ContentType="application/vnd.openxmlformats-officedocument.drawing+xml" PartName="/xl/drawings/drawing33.xml"/>
  <Override ContentType="application/vnd.openxmlformats-officedocument.drawing+xml" PartName="/xl/drawings/drawing38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41.xml"/>
  <Override ContentType="application/vnd.openxmlformats-officedocument.drawing+xml" PartName="/xl/drawings/drawing5.xml"/>
  <Override ContentType="application/vnd.openxmlformats-officedocument.drawing+xml" PartName="/xl/drawings/drawing29.xml"/>
  <Override ContentType="application/vnd.openxmlformats-officedocument.drawing+xml" PartName="/xl/drawings/drawing24.xml"/>
  <Override ContentType="application/vnd.openxmlformats-officedocument.drawing+xml" PartName="/xl/drawings/drawing11.xml"/>
  <Override ContentType="application/vnd.openxmlformats-officedocument.drawing+xml" PartName="/xl/drawings/drawing20.xml"/>
  <Override ContentType="application/vnd.openxmlformats-officedocument.drawing+xml" PartName="/xl/drawings/drawing37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Overview" sheetId="1" r:id="rId4"/>
    <sheet state="visible" name="Andover, UK" sheetId="2" r:id="rId5"/>
    <sheet state="visible" name="Dapto, AUS" sheetId="3" r:id="rId6"/>
    <sheet state="visible" name="Falling_Waters, USA" sheetId="4" r:id="rId7"/>
    <sheet state="visible" name="Felsogalla, HU" sheetId="5" r:id="rId8"/>
    <sheet state="visible" name="Hagerstown, USA" sheetId="6" r:id="rId9"/>
    <sheet state="visible" name="Kelmscott, AUS" sheetId="7" r:id="rId10"/>
    <sheet state="visible" name="Kingswood, UK" sheetId="8" r:id="rId11"/>
    <sheet state="visible" name="Linköping, SW" sheetId="9" r:id="rId12"/>
    <sheet state="visible" name="Meitingen, GER" sheetId="10" r:id="rId13"/>
    <sheet state="visible" name="New Westminster, CAN" sheetId="11" r:id="rId14"/>
    <sheet state="visible" name="Norlane, AUS" sheetId="12" r:id="rId15"/>
    <sheet state="visible" name="Ospel, NL" sheetId="13" r:id="rId16"/>
    <sheet state="visible" name="Thringstone, UK" sheetId="14" r:id="rId17"/>
    <sheet state="hidden" name="Austin, USA" sheetId="15" r:id="rId18"/>
    <sheet state="visible" name="Wonthaggi, AUS" sheetId="16" r:id="rId19"/>
    <sheet state="hidden" name="Worksheet" sheetId="17" r:id="rId20"/>
    <sheet state="visible" name="Overview total deploys" sheetId="18" r:id="rId21"/>
    <sheet state="visible" name="Arnhem, NL" sheetId="19" r:id="rId22"/>
    <sheet state="visible" name="Bedford, UK" sheetId="20" r:id="rId23"/>
    <sheet state="visible" name="Berlin, GER" sheetId="21" r:id="rId24"/>
    <sheet state="visible" name="Brossard, CAN" sheetId="22" r:id="rId25"/>
    <sheet state="visible" name="Browns Plains, AUS" sheetId="23" r:id="rId26"/>
    <sheet state="visible" name="Chemnitz, GER" sheetId="24" r:id="rId27"/>
    <sheet state="visible" name="Desert Lodge, USA" sheetId="25" r:id="rId28"/>
    <sheet state="visible" name="Escondido, USA" sheetId="26" r:id="rId29"/>
    <sheet state="visible" name="Georgetown, CAN" sheetId="27" r:id="rId30"/>
    <sheet state="visible" name="Glen Oaks, USA" sheetId="28" r:id="rId31"/>
    <sheet state="visible" name="Gotenborg, SW" sheetId="29" r:id="rId32"/>
    <sheet state="visible" name="Gouda, NL" sheetId="30" r:id="rId33"/>
    <sheet state="visible" name="Groningen, NL" sheetId="31" r:id="rId34"/>
    <sheet state="visible" name="Hoofddorp, NL" sheetId="32" r:id="rId35"/>
    <sheet state="visible" name="MHQ, USA" sheetId="33" r:id="rId36"/>
    <sheet state="visible" name="Morayfield, AUS" sheetId="34" r:id="rId37"/>
    <sheet state="visible" name="Onkaparinga_Hills, AUS" sheetId="35" r:id="rId38"/>
    <sheet state="visible" name="Perth, AUS" sheetId="36" r:id="rId39"/>
    <sheet state="visible" name="Plympton, UK" sheetId="37" r:id="rId40"/>
    <sheet state="visible" name="Raleigh, USA" sheetId="38" r:id="rId41"/>
    <sheet state="visible" name="Shepparton, AUS" sheetId="39" r:id="rId42"/>
    <sheet state="visible" name="Vosselaar, BE" sheetId="40" r:id="rId43"/>
    <sheet state="visible" name="MyGarden (8)" sheetId="41" r:id="rId44"/>
  </sheets>
  <definedNames/>
  <calcPr/>
</workbook>
</file>

<file path=xl/sharedStrings.xml><?xml version="1.0" encoding="utf-8"?>
<sst xmlns="http://schemas.openxmlformats.org/spreadsheetml/2006/main" count="6502" uniqueCount="2132">
  <si>
    <t>Stroopwafel invasion of the world!</t>
  </si>
  <si>
    <t>https://bit.ly/2Zs3joj</t>
  </si>
  <si>
    <t>In celebration of my 3 year anniversary of being the coordinating admin of Bushrangers Clans!</t>
  </si>
  <si>
    <t>All are 52 spot gardens, where (when full) players can add a Garden POI.</t>
  </si>
  <si>
    <t>And all are near the players of Bushrangers Clans (currently active).</t>
  </si>
  <si>
    <t>Only 14 day reservation period allowed!</t>
  </si>
  <si>
    <t>Counting al gardens!</t>
  </si>
  <si>
    <t>We start with these few and add more when they are almost full :-)</t>
  </si>
  <si>
    <t>(counting without the 100% fields)</t>
  </si>
  <si>
    <t>Country</t>
  </si>
  <si>
    <t>City (link to spreadsheet)</t>
  </si>
  <si>
    <t>Reservations</t>
  </si>
  <si>
    <t>Free spots</t>
  </si>
  <si>
    <t>Deployed</t>
  </si>
  <si>
    <t>% full</t>
  </si>
  <si>
    <t>POI claimed/deployed</t>
  </si>
  <si>
    <t>Europe</t>
  </si>
  <si>
    <t>Germany</t>
  </si>
  <si>
    <t>Berlin</t>
  </si>
  <si>
    <r>
      <rPr>
        <rFont val="Arial"/>
        <b/>
        <color theme="1"/>
        <sz val="12.0"/>
      </rPr>
      <t xml:space="preserve">Social for </t>
    </r>
    <r>
      <rPr>
        <rFont val="Arial"/>
        <b/>
        <color rgb="FF38761D"/>
        <sz val="12.0"/>
      </rPr>
      <t xml:space="preserve">deploy in 1 </t>
    </r>
    <r>
      <rPr>
        <rFont val="Arial"/>
        <b/>
        <color theme="1"/>
        <sz val="12.0"/>
      </rPr>
      <t>stroopwafel garden</t>
    </r>
  </si>
  <si>
    <t>USA</t>
  </si>
  <si>
    <t>Escondido</t>
  </si>
  <si>
    <r>
      <rPr>
        <rFont val="Arial"/>
        <b/>
        <color theme="1"/>
        <sz val="12.0"/>
      </rPr>
      <t xml:space="preserve">Social for </t>
    </r>
    <r>
      <rPr>
        <rFont val="Arial"/>
        <b/>
        <color rgb="FF38761D"/>
        <sz val="12.0"/>
      </rPr>
      <t>deploying in 5</t>
    </r>
    <r>
      <rPr>
        <rFont val="Arial"/>
        <b/>
        <color theme="1"/>
        <sz val="12.0"/>
      </rPr>
      <t xml:space="preserve"> different stroopwafel gardens</t>
    </r>
  </si>
  <si>
    <t>Canada</t>
  </si>
  <si>
    <t>Quebec</t>
  </si>
  <si>
    <t>Brossard</t>
  </si>
  <si>
    <r>
      <rPr>
        <rFont val="Arial"/>
        <b/>
        <color theme="1"/>
        <sz val="12.0"/>
      </rPr>
      <t xml:space="preserve">Social for </t>
    </r>
    <r>
      <rPr>
        <rFont val="Arial"/>
        <b/>
        <color rgb="FF38761D"/>
        <sz val="12.0"/>
      </rPr>
      <t>deploying in 10</t>
    </r>
    <r>
      <rPr>
        <rFont val="Arial"/>
        <b/>
        <color theme="1"/>
        <sz val="12.0"/>
      </rPr>
      <t xml:space="preserve"> different stroopwafel gardens</t>
    </r>
  </si>
  <si>
    <t>Raleigh</t>
  </si>
  <si>
    <r>
      <rPr>
        <rFont val="Arial"/>
        <b/>
        <color theme="1"/>
        <sz val="12.0"/>
      </rPr>
      <t xml:space="preserve">Surprise credit (my choice) from the store when </t>
    </r>
    <r>
      <rPr>
        <rFont val="Arial"/>
        <b/>
        <color rgb="FF38761D"/>
        <sz val="12.0"/>
      </rPr>
      <t xml:space="preserve">deploying in 20 </t>
    </r>
    <r>
      <rPr>
        <rFont val="Arial"/>
        <b/>
        <color theme="1"/>
        <sz val="12.0"/>
      </rPr>
      <t>different stroopwafel gardens</t>
    </r>
  </si>
  <si>
    <t>Netherlands</t>
  </si>
  <si>
    <t>Gouda</t>
  </si>
  <si>
    <t>United Kingdom</t>
  </si>
  <si>
    <t>Plympton</t>
  </si>
  <si>
    <t>Australia</t>
  </si>
  <si>
    <t>Perth</t>
  </si>
  <si>
    <t>SA</t>
  </si>
  <si>
    <t>Onkaparinga Hills</t>
  </si>
  <si>
    <t>Texas</t>
  </si>
  <si>
    <t>MHQ</t>
  </si>
  <si>
    <t>BONUS</t>
  </si>
  <si>
    <t>Arnhem</t>
  </si>
  <si>
    <t>Extra</t>
  </si>
  <si>
    <t>CA</t>
  </si>
  <si>
    <t>Glen Oaks</t>
  </si>
  <si>
    <t>Queensland</t>
  </si>
  <si>
    <t>Browns Plains</t>
  </si>
  <si>
    <t>Belgium</t>
  </si>
  <si>
    <t>Vosselaar</t>
  </si>
  <si>
    <t>Chemnitz</t>
  </si>
  <si>
    <t>Desert Lodge</t>
  </si>
  <si>
    <t>Morayfield</t>
  </si>
  <si>
    <t>Sweden</t>
  </si>
  <si>
    <t>Götenborg</t>
  </si>
  <si>
    <t>Victoria</t>
  </si>
  <si>
    <t>Shepparton</t>
  </si>
  <si>
    <t>Hoofddorp</t>
  </si>
  <si>
    <t>Bedford</t>
  </si>
  <si>
    <t>Still Available!</t>
  </si>
  <si>
    <t>Georgetown</t>
  </si>
  <si>
    <t>Groningen</t>
  </si>
  <si>
    <t>Hungary</t>
  </si>
  <si>
    <t>Felsogalla</t>
  </si>
  <si>
    <t>URL:</t>
  </si>
  <si>
    <t>Ospel</t>
  </si>
  <si>
    <t>Claimed</t>
  </si>
  <si>
    <t>New Westminster</t>
  </si>
  <si>
    <t>Dapto</t>
  </si>
  <si>
    <t>Hagerstown</t>
  </si>
  <si>
    <t>Wonthaggi</t>
  </si>
  <si>
    <t>Norlane</t>
  </si>
  <si>
    <t>WV</t>
  </si>
  <si>
    <t>Falling Waters</t>
  </si>
  <si>
    <t>Thringstone</t>
  </si>
  <si>
    <t>WA</t>
  </si>
  <si>
    <t>Kelmscott</t>
  </si>
  <si>
    <t>Meitingen</t>
  </si>
  <si>
    <t>Kingswood</t>
  </si>
  <si>
    <t>Linköping</t>
  </si>
  <si>
    <t>Andover</t>
  </si>
  <si>
    <t>Garden POI, by:</t>
  </si>
  <si>
    <t xml:space="preserve">Derlame </t>
  </si>
  <si>
    <t>URL: To be deployed when 50 pins</t>
  </si>
  <si>
    <t>Location</t>
  </si>
  <si>
    <t>https://www.munzee.com/map/gcngq9b7b/17</t>
  </si>
  <si>
    <t>Spots available</t>
  </si>
  <si>
    <t>Row</t>
  </si>
  <si>
    <t>Column</t>
  </si>
  <si>
    <t>Latitude</t>
  </si>
  <si>
    <t>Longitude</t>
  </si>
  <si>
    <t>Munzee</t>
  </si>
  <si>
    <t>Username</t>
  </si>
  <si>
    <t>URL</t>
  </si>
  <si>
    <t>Comments</t>
  </si>
  <si>
    <t>Deployed?</t>
  </si>
  <si>
    <t>Deploy checker</t>
  </si>
  <si>
    <t>Lege kolom</t>
  </si>
  <si>
    <t>Functie nummer</t>
  </si>
  <si>
    <t>Split funtie</t>
  </si>
  <si>
    <t>Virtual Brown</t>
  </si>
  <si>
    <t>raunas</t>
  </si>
  <si>
    <t>https://www.munzee.com/m/raunas/13089</t>
  </si>
  <si>
    <t>sverlaan</t>
  </si>
  <si>
    <t>https://www.munzee.com/m/sverlaan/6363/</t>
  </si>
  <si>
    <t>Virtual Raw Sienna</t>
  </si>
  <si>
    <t>pawpatrolthomas</t>
  </si>
  <si>
    <t>https://www.munzee.com/m/PawPatrolThomas/4389/</t>
  </si>
  <si>
    <t>emilep68</t>
  </si>
  <si>
    <t>https://www.munzee.com/m/EmileP68/5025/</t>
  </si>
  <si>
    <t>Bungle</t>
  </si>
  <si>
    <t>https://www.munzee.com/m/Bungle/10527</t>
  </si>
  <si>
    <t>BrotherWilliam</t>
  </si>
  <si>
    <t>https://www.munzee.com/m/BrotherWilliam/5400/</t>
  </si>
  <si>
    <t>ArtofEco</t>
  </si>
  <si>
    <t>https://www.munzee.com/m/ArtofEco/3680/</t>
  </si>
  <si>
    <t>J1Huisman</t>
  </si>
  <si>
    <t>https://www.munzee.com/m/J1Huisman/13460/</t>
  </si>
  <si>
    <t>fsafranek</t>
  </si>
  <si>
    <t>https://www.munzee.com/m/fsafranek/5478/</t>
  </si>
  <si>
    <t>rita85gto</t>
  </si>
  <si>
    <t>https://www.munzee.com/m/rita85gto/3864/</t>
  </si>
  <si>
    <t>xrayneex</t>
  </si>
  <si>
    <t>https://www.munzee.com/m/xrayneex/2323/</t>
  </si>
  <si>
    <t>Drazoria</t>
  </si>
  <si>
    <t>https://www.munzee.com/m/Drazoria/1651/</t>
  </si>
  <si>
    <t>Tinake1309</t>
  </si>
  <si>
    <t>https://www.munzee.com/m/Tinake1309/1614/</t>
  </si>
  <si>
    <t>Berg14</t>
  </si>
  <si>
    <t>https://www.munzee.com/m/Berg14/1522/</t>
  </si>
  <si>
    <t>Niks13</t>
  </si>
  <si>
    <t>https://www.munzee.com/m/Niks13/1478/</t>
  </si>
  <si>
    <t>lupo6</t>
  </si>
  <si>
    <t>https://www.munzee.com/m/lupo6/6723</t>
  </si>
  <si>
    <t>crscousins</t>
  </si>
  <si>
    <t>https://www.munzee.com/m/crscousins/4089/</t>
  </si>
  <si>
    <t>Wangotango</t>
  </si>
  <si>
    <t>https://www.munzee.com/m/Wangotango/1377/</t>
  </si>
  <si>
    <t>OdinsFiRe</t>
  </si>
  <si>
    <t>https://www.munzee.com/m/OdinsFiRe/2089/</t>
  </si>
  <si>
    <t xml:space="preserve">Anetzet </t>
  </si>
  <si>
    <t>https://www.munzee.com/m/Anetzet/4843/</t>
  </si>
  <si>
    <t>Fossillady</t>
  </si>
  <si>
    <t>cbf600</t>
  </si>
  <si>
    <t>https://www.munzee.com/m/cbf600/3781/</t>
  </si>
  <si>
    <t>CzPeet</t>
  </si>
  <si>
    <t>https://www.munzee.com/m/CzPeet/6724/</t>
  </si>
  <si>
    <t>TheFrog</t>
  </si>
  <si>
    <t>https://www.munzee.com/m/TheFrog/6341/</t>
  </si>
  <si>
    <t>123xilef</t>
  </si>
  <si>
    <t>https://www.munzee.com/m/123xilef/13729/</t>
  </si>
  <si>
    <t>Bisquick2</t>
  </si>
  <si>
    <t>https://www.munzee.com/m/Bisquick2/7027/</t>
  </si>
  <si>
    <t>res2100</t>
  </si>
  <si>
    <t>https://www.munzee.com/m/res2100/887</t>
  </si>
  <si>
    <t>mortonfox</t>
  </si>
  <si>
    <t>https://www.munzee.com/m/mortonfox/24201/</t>
  </si>
  <si>
    <t>Ellesche</t>
  </si>
  <si>
    <t>https://www.munzee.com/m/Ellesche/841</t>
  </si>
  <si>
    <t>barefootguru</t>
  </si>
  <si>
    <t>https://www.munzee.com/m/barefootguru/5057/</t>
  </si>
  <si>
    <t>https://www.munzee.com/m/123xilef/13243/</t>
  </si>
  <si>
    <t>https://www.munzee.com/map/r3g5z95z7/16</t>
  </si>
  <si>
    <t>belladivadee</t>
  </si>
  <si>
    <t>https://www.munzee.com/m/Belladivadee/3548</t>
  </si>
  <si>
    <t>https://www.munzee.com/m/sverlaan/5173/</t>
  </si>
  <si>
    <t>https://www.munzee.com/m/EmileP68/2783/</t>
  </si>
  <si>
    <t>https://www.munzee.com/m/PawPatrolThomas/3130/</t>
  </si>
  <si>
    <t>all0123</t>
  </si>
  <si>
    <t>https://www.munzee.com/m/all0123/4644/</t>
  </si>
  <si>
    <t>https://www.munzee.com/m/J1Huisman/12541/</t>
  </si>
  <si>
    <t>Pinkeltje</t>
  </si>
  <si>
    <t>https://www.munzee.com/m/Pinkeltje/1957/</t>
  </si>
  <si>
    <t>https://www.munzee.com/m/xrayneex/2139/</t>
  </si>
  <si>
    <t>https://www.munzee.com/m/ArtofEco/3294/</t>
  </si>
  <si>
    <t>https://www.munzee.com/m/BrotherWilliam/4477/</t>
  </si>
  <si>
    <t>https://www.munzee.com/m/Drazoria/1530/</t>
  </si>
  <si>
    <t>https://www.munzee.com/m/Tinake1309/1539/</t>
  </si>
  <si>
    <t>https://www.munzee.com/m/Berg14/1314/</t>
  </si>
  <si>
    <t>https://www.munzee.com/m/Niks13/1309/</t>
  </si>
  <si>
    <t>lison55</t>
  </si>
  <si>
    <t>https://www.munzee.com/m/lison55/6319</t>
  </si>
  <si>
    <t>https://www.munzee.com/m/fsafranek/5160/</t>
  </si>
  <si>
    <t>https://www.munzee.com/m/barefootguru/3318/</t>
  </si>
  <si>
    <t>TheFatCats</t>
  </si>
  <si>
    <t>https://www.munzee.com/m/TheFatCats/4809/</t>
  </si>
  <si>
    <t>jennbaby82</t>
  </si>
  <si>
    <t>https://www.munzee.com/m/Jennbaby82/6437</t>
  </si>
  <si>
    <t>https://www.munzee.com/m/res2100/833</t>
  </si>
  <si>
    <t>https://www.munzee.com/m/lupo6/6969</t>
  </si>
  <si>
    <t>Anetzet</t>
  </si>
  <si>
    <t>https://www.munzee.com/m/Anetzet/3883/</t>
  </si>
  <si>
    <t>GroteSufferd</t>
  </si>
  <si>
    <t>https://www.munzee.com/m/GroteSufferd/545/</t>
  </si>
  <si>
    <t>https://www.munzee.com/m/Ellesche/794</t>
  </si>
  <si>
    <t>OdinsFire</t>
  </si>
  <si>
    <t>https://www.munzee.com/m/OdinsFiRe/1982/</t>
  </si>
  <si>
    <t>https://www.munzee.com/m/crscousins/4107/</t>
  </si>
  <si>
    <t>https://www.munzee.com/m/TheFatCats/4812/</t>
  </si>
  <si>
    <t>https://www.munzee.com/m/cbf600/2791/</t>
  </si>
  <si>
    <t>https://www.munzee.com/m/raunas/12872</t>
  </si>
  <si>
    <t>https://www.munzee.com/m/TheFatCats/4850/</t>
  </si>
  <si>
    <t>https://www.munzee.com/m/CzPeet/6726/</t>
  </si>
  <si>
    <t>https://www.munzee.com/m/Bungle/10439</t>
  </si>
  <si>
    <t>https://www.munzee.com/m/rita85gto/5091/</t>
  </si>
  <si>
    <t>dep. Aug. '22</t>
  </si>
  <si>
    <t>https://www.munzee.com/m/Bisquick2/5195/</t>
  </si>
  <si>
    <t>https://www.munzee.com/m/TheFrog/5201/</t>
  </si>
  <si>
    <t>https://www.munzee.com/m/123xilef/9358/</t>
  </si>
  <si>
    <t>5star</t>
  </si>
  <si>
    <t>https://www.munzee.com/m/5Star/6589/</t>
  </si>
  <si>
    <t>https://www.munzee.com/m/mortonfox/22765/</t>
  </si>
  <si>
    <t>https://www.munzee.com/m/WangoTango/2129/</t>
  </si>
  <si>
    <t>https://www.munzee.com/m/TheFatCats/4853/</t>
  </si>
  <si>
    <t>https://www.munzee.com/m/TheFatCats/4886/</t>
  </si>
  <si>
    <t>https://www.munzee.com/map/dr095u8s9/17</t>
  </si>
  <si>
    <t>navraag bij Bisquick</t>
  </si>
  <si>
    <t>https://www.munzee.com/m/raunas/12673</t>
  </si>
  <si>
    <t>https://www.munzee.com/m/sverlaan/6307/</t>
  </si>
  <si>
    <t>EmileP68</t>
  </si>
  <si>
    <t>https://www.munzee.com/m/EmileP68/5201/</t>
  </si>
  <si>
    <t>PawpatrolThomas</t>
  </si>
  <si>
    <t>https://www.munzee.com/m/PawPatrolThomas/4324/</t>
  </si>
  <si>
    <t>https://www.munzee.com/m/BrotherWilliam/5257/</t>
  </si>
  <si>
    <t>https://www.munzee.com/m/ArtofEco/3564/</t>
  </si>
  <si>
    <t>https://www.munzee.com/m/xrayneex/2794/</t>
  </si>
  <si>
    <t>https://www.munzee.com/m/Ellesche/855</t>
  </si>
  <si>
    <t>https://www.munzee.com/m/res2100/894</t>
  </si>
  <si>
    <t>https://www.munzee.com/m/OdinsFiRe/2013/</t>
  </si>
  <si>
    <t>Whatsoverthere</t>
  </si>
  <si>
    <t>https://www.munzee.com/m/Whatsoverthere/8942/</t>
  </si>
  <si>
    <t>https://www.munzee.com/m/Wangotango/1376/</t>
  </si>
  <si>
    <t>Drazoira</t>
  </si>
  <si>
    <t>https://www.munzee.com/m/Drazoria/1675/</t>
  </si>
  <si>
    <t>https://www.munzee.com/m/Tinake1309/1600/</t>
  </si>
  <si>
    <t>https://www.munzee.com/m/Berg14/1521/</t>
  </si>
  <si>
    <t>https://www.munzee.com/m/Niks13/1483/</t>
  </si>
  <si>
    <t>https://www.munzee.com/m/lupo6/2727/</t>
  </si>
  <si>
    <t>https://www.munzee.com/m/lison55/12385/</t>
  </si>
  <si>
    <t>Oppresso1983</t>
  </si>
  <si>
    <t>https://www.munzee.com/m/Oppresso1983/4634/</t>
  </si>
  <si>
    <t>https://www.munzee.com/m/crscousins/4639/</t>
  </si>
  <si>
    <t>https://www.munzee.com/m/Bungle/10438</t>
  </si>
  <si>
    <t>https://www.munzee.com/m/fsafranek/6242/</t>
  </si>
  <si>
    <t>https://www.munzee.com/m/rita85gto/5095/</t>
  </si>
  <si>
    <t>Aniara</t>
  </si>
  <si>
    <t>https://www.munzee.com/m/Aniara/17964/</t>
  </si>
  <si>
    <t>https://www.munzee.com/m/Fossillady/5960</t>
  </si>
  <si>
    <t>hems79</t>
  </si>
  <si>
    <t>https://www.munzee.com/m/hems79/8107/</t>
  </si>
  <si>
    <t>https://www.munzee.com/m/cbf600/4228/</t>
  </si>
  <si>
    <t>https://www.munzee.com/m/Anetzet/7654/</t>
  </si>
  <si>
    <t>https://www.munzee.com/m/CzPeet/6763/</t>
  </si>
  <si>
    <t xml:space="preserve"> CarlisleCachers</t>
  </si>
  <si>
    <t>https://www.munzee.com/m/CarlisleCachers/12535/</t>
  </si>
  <si>
    <t>https://www.munzee.com/m/Bisquick2/7510/</t>
  </si>
  <si>
    <t>wally62</t>
  </si>
  <si>
    <t>https://www.munzee.com/m/wally62/5752/</t>
  </si>
  <si>
    <t>https://www.munzee.com/m/TheFrog/5975/</t>
  </si>
  <si>
    <t>https://www.munzee.com/m/123xilef/24444/</t>
  </si>
  <si>
    <t>https://www.munzee.com/m/Whatsoverthere/8941/</t>
  </si>
  <si>
    <t>https://www.munzee.com/m/mortonfox/22769/</t>
  </si>
  <si>
    <t>https://www.munzee.com/m/Derlame/45545/</t>
  </si>
  <si>
    <t>https://www.munzee.com/map/u2mn7yzy3/17</t>
  </si>
  <si>
    <t>https://www.munzee.com/m/belladivadee/3765/</t>
  </si>
  <si>
    <t>https://www.munzee.com/m/sverlaan/6306/</t>
  </si>
  <si>
    <t>https://www.munzee.com/m/EmileP68/5153/</t>
  </si>
  <si>
    <t>https://www.munzee.com/m/PawPatrolThomas/4323/</t>
  </si>
  <si>
    <t>https://www.munzee.com/m/BrotherWilliam/5234/</t>
  </si>
  <si>
    <t>https://www.munzee.com/m/ArtofEco/3541/</t>
  </si>
  <si>
    <t>https://www.munzee.com/m/J1Huisman/14314/</t>
  </si>
  <si>
    <t>https://www.munzee.com/m/fsafranek/5374/</t>
  </si>
  <si>
    <t>https://www.munzee.com/m/raunas/7437</t>
  </si>
  <si>
    <t>https://www.munzee.com/m/xrayneex/2330/</t>
  </si>
  <si>
    <t>https://www.munzee.com/m/Drazoria/1585/</t>
  </si>
  <si>
    <t>https://www.munzee.com/m/Tinake1309/1618/</t>
  </si>
  <si>
    <t>https://www.munzee.com/m/Berg14/1536/</t>
  </si>
  <si>
    <t>https://www.munzee.com/m/Niks13/1487/</t>
  </si>
  <si>
    <t>https://www.munzee.com/m/lupo6/6878</t>
  </si>
  <si>
    <t>https://www.munzee.com/m/Ellesche/724</t>
  </si>
  <si>
    <t>https://www.munzee.com/m/OdinsFiRe/2018/</t>
  </si>
  <si>
    <t>tommobil</t>
  </si>
  <si>
    <t>https://www.munzee.com/m/tommobil/1401</t>
  </si>
  <si>
    <t>https://www.munzee.com/m/res2100/886/</t>
  </si>
  <si>
    <t>https://www.munzee.com/m/tommobil/1404</t>
  </si>
  <si>
    <t>Csiki86</t>
  </si>
  <si>
    <t>https://www.munzee.com/m/Csiki86/450/</t>
  </si>
  <si>
    <t>https://www.munzee.com/m/Anetzet/4656/</t>
  </si>
  <si>
    <t xml:space="preserve">tommobil </t>
  </si>
  <si>
    <t>https://www.munzee.com/m/tommobil/1405/</t>
  </si>
  <si>
    <t>https://www.munzee.com/m/Csiki86/456/</t>
  </si>
  <si>
    <t xml:space="preserve">alexmester </t>
  </si>
  <si>
    <t>https://www.munzee.com/m/alexmester/1235/</t>
  </si>
  <si>
    <t>https://www.munzee.com/m/crscousins/7148/</t>
  </si>
  <si>
    <t>alexmester</t>
  </si>
  <si>
    <t>https://www.munzee.com/m/alexmester/1234/</t>
  </si>
  <si>
    <t>https://www.munzee.com/m/cbf600/3662/</t>
  </si>
  <si>
    <t>https://www.munzee.com/m/Derlame/45500/</t>
  </si>
  <si>
    <t>https://www.munzee.com/m/alexmester/1236/</t>
  </si>
  <si>
    <t>https://www.munzee.com/m/CzPeet/6764</t>
  </si>
  <si>
    <t>https://www.munzee.com/m/Aniara/17961/</t>
  </si>
  <si>
    <t>https://www.munzee.com/m/lison55/16649</t>
  </si>
  <si>
    <t>https://www.munzee.com/m/cbf600/12154/</t>
  </si>
  <si>
    <t>https://www.munzee.com/m/Bisquick2/7109/</t>
  </si>
  <si>
    <t>https://www.munzee.com/m/raunas/12598</t>
  </si>
  <si>
    <t>https://www.munzee.com/m/barefootguru/5278/</t>
  </si>
  <si>
    <t>https://www.munzee.com/m/cbf600/12155/</t>
  </si>
  <si>
    <t>https://www.munzee.com/m/Bungle/10437</t>
  </si>
  <si>
    <t>https://www.munzee.com/m/TheFrog/5375/</t>
  </si>
  <si>
    <t>https://www.munzee.com/m/123xilef/13724/</t>
  </si>
  <si>
    <t>https://www.munzee.com/m/tommobil/1407/</t>
  </si>
  <si>
    <t>https://www.munzee.com/m/mortonfox/22624/</t>
  </si>
  <si>
    <t>https://www.munzee.com/m/Fossillady/5417</t>
  </si>
  <si>
    <t>https://www.munzee.com/m/tommobil/1409/</t>
  </si>
  <si>
    <t>https://www.munzee.com/m/alexmester/1257/</t>
  </si>
  <si>
    <t>https://www.munzee.com/m/alexmester/1237/</t>
  </si>
  <si>
    <t>Trappertje</t>
  </si>
  <si>
    <t>https://www.munzee.com/m/Trappertje/15129/</t>
  </si>
  <si>
    <t>https://www.munzee.com/m/Csiki86/457/</t>
  </si>
  <si>
    <t>https://www.munzee.com/m/Derlame/28322/</t>
  </si>
  <si>
    <t>https://www.munzee.com/map/dr09x1ce8/15</t>
  </si>
  <si>
    <t>Belladivadee</t>
  </si>
  <si>
    <t>https://www.munzee.com/m/belladivadee/3775/</t>
  </si>
  <si>
    <t>https://www.munzee.com/m/sverlaan/6281/</t>
  </si>
  <si>
    <t>https://www.munzee.com/m/EmileP68/5117/</t>
  </si>
  <si>
    <t>Pawpatrolthomas</t>
  </si>
  <si>
    <t>https://www.munzee.com/m/PawPatrolThomas/4301/</t>
  </si>
  <si>
    <t>https://www.munzee.com/m/BrotherWilliam/5246/</t>
  </si>
  <si>
    <t>https://www.munzee.com/m/ArtofEco/3545/</t>
  </si>
  <si>
    <t>https://www.munzee.com/m/J1Huisman/14455/</t>
  </si>
  <si>
    <t>https://www.munzee.com/m/lison55/8396</t>
  </si>
  <si>
    <t>https://www.munzee.com/m/fsafranek/5371/</t>
  </si>
  <si>
    <t>https://www.munzee.com/m/raunas/7250</t>
  </si>
  <si>
    <t>whatsoverthere</t>
  </si>
  <si>
    <t>https://www.munzee.com/m/Whatsoverthere/8615/</t>
  </si>
  <si>
    <t>https://www.munzee.com/m/Oppresso1983/3939/</t>
  </si>
  <si>
    <t>https://www.munzee.com/m/xrayneex/2644/</t>
  </si>
  <si>
    <t>https://www.munzee.com/m/Whatsoverthere/8614/</t>
  </si>
  <si>
    <t>https://www.munzee.com/m/Oppresso1983/3938/</t>
  </si>
  <si>
    <t>https://www.munzee.com/m/Drazoria/1580/</t>
  </si>
  <si>
    <t>https://www.munzee.com/m/Tinake1309/1592/</t>
  </si>
  <si>
    <t>https://www.munzee.com/m/Berg14/1514/</t>
  </si>
  <si>
    <t xml:space="preserve"> </t>
  </si>
  <si>
    <t>https://www.munzee.com/m/Niks13/1497/</t>
  </si>
  <si>
    <t>https://www.munzee.com/m/lupo6/6879/</t>
  </si>
  <si>
    <t>https://www.munzee.com/m/OdinsFiRe/2062/</t>
  </si>
  <si>
    <t>https://www.munzee.com/m/Anetzet/4684/</t>
  </si>
  <si>
    <t>https://www.munzee.com/m/crscousins/7150/</t>
  </si>
  <si>
    <t>https://www.munzee.com/m/Bungle/10528</t>
  </si>
  <si>
    <t>https://www.munzee.com/m/rita85gto/5115/</t>
  </si>
  <si>
    <t>https://www.munzee.com/m/Wangotango/1369/</t>
  </si>
  <si>
    <t>https://www.munzee.com/m/cbf600/3585/</t>
  </si>
  <si>
    <t>https://www.munzee.com/m/Whatsoverthere/8478/</t>
  </si>
  <si>
    <t>https://www.munzee.com/m/Oppresso1983/3845/</t>
  </si>
  <si>
    <t>https://www.munzee.com/m/Bisquick2/7138/</t>
  </si>
  <si>
    <t>https://www.munzee.com/m/Whatsoverthere/8248/</t>
  </si>
  <si>
    <t>https://www.munzee.com/m/Oppresso1983/3782/</t>
  </si>
  <si>
    <t>https://www.munzee.com/m/res2100/872</t>
  </si>
  <si>
    <t>https://www.munzee.com/m/TheFrog/3574/</t>
  </si>
  <si>
    <t>https://www.munzee.com/m/123xilef/13725/</t>
  </si>
  <si>
    <t>https://www.munzee.com/m/Ellesche/827</t>
  </si>
  <si>
    <t>https://www.munzee.com/m/mortonfox/22766/</t>
  </si>
  <si>
    <t>https://www.munzee.com/m/raunas/12671</t>
  </si>
  <si>
    <t>https://www.munzee.com/m/barefootguru/3398/</t>
  </si>
  <si>
    <t>https://www.munzee.com/m/Whatsoverthere/8114/</t>
  </si>
  <si>
    <t>https://www.munzee.com/m/Derlame/28846/</t>
  </si>
  <si>
    <t>https://www.munzee.com/map/qd63r9fp7/16</t>
  </si>
  <si>
    <t>https://www.munzee.com/m/raunas/12597</t>
  </si>
  <si>
    <t>https://www.munzee.com/m/sverlaan/6279/</t>
  </si>
  <si>
    <t>https://www.munzee.com/m/PawPatrolThomas/4209/</t>
  </si>
  <si>
    <t>https://www.munzee.com/m/EmileP68/5027/</t>
  </si>
  <si>
    <t>https://www.munzee.com/m/BrotherWilliam/5258/</t>
  </si>
  <si>
    <t>https://www.munzee.com/m/ArtofEco/3589/</t>
  </si>
  <si>
    <t>https://www.munzee.com/m/J1Huisman/13013/</t>
  </si>
  <si>
    <t>https://www.munzee.com/m/fsafranek/5489/</t>
  </si>
  <si>
    <t>https://www.munzee.com/m/Ellesche/811/</t>
  </si>
  <si>
    <t>https://www.munzee.com/m/xrayneex/2645/</t>
  </si>
  <si>
    <t>https://www.munzee.com/m/res2100/845</t>
  </si>
  <si>
    <t>https://www.munzee.com/m/Drazoria/1687/</t>
  </si>
  <si>
    <t>https://www.munzee.com/m/Tinake1309/1595/</t>
  </si>
  <si>
    <t>https://www.munzee.com/m/Berg14/1515/</t>
  </si>
  <si>
    <t>https://www.munzee.com/m/Niks13/1498/</t>
  </si>
  <si>
    <t>https://www.munzee.com/m/lupo6/6419/</t>
  </si>
  <si>
    <t>TD42</t>
  </si>
  <si>
    <t>https://www.munzee.com/m/TD42/3513/</t>
  </si>
  <si>
    <t>https://www.munzee.com/m/OdinsFiRe/2065/</t>
  </si>
  <si>
    <t>https://www.munzee.com/m/lupo6/2732</t>
  </si>
  <si>
    <t>https://www.munzee.com/m/crscousins/7152/</t>
  </si>
  <si>
    <t>https://www.munzee.com/m/TD42/3511/</t>
  </si>
  <si>
    <t>https://www.munzee.com/m/Anetzet/4628/</t>
  </si>
  <si>
    <t>https://www.munzee.com/m/GroteSufferd/754/</t>
  </si>
  <si>
    <t>https://www.munzee.com/m/Bungle/10657</t>
  </si>
  <si>
    <t>https://www.munzee.com/m/rita85gto/5116/</t>
  </si>
  <si>
    <t>https://www.munzee.com/m/cbf600/3801/</t>
  </si>
  <si>
    <t>https://www.munzee.com/m/Bisquick2/7168/</t>
  </si>
  <si>
    <t>https://www.munzee.com/m/TheFrog/3569/</t>
  </si>
  <si>
    <t>https://www.munzee.com/m/123xilef/13726/</t>
  </si>
  <si>
    <t>https://www.munzee.com/m/mortonfox/24166/</t>
  </si>
  <si>
    <t>https://www.munzee.com/m/barefootguru/3527/</t>
  </si>
  <si>
    <t>https://www.munzee.com/m/Ellesche/769</t>
  </si>
  <si>
    <t>https://www.munzee.com/map/gcnhxpp4f/18</t>
  </si>
  <si>
    <t>https://www.munzee.com/m/belladivadee/3201</t>
  </si>
  <si>
    <t>https://www.munzee.com/m/sverlaan/6257/</t>
  </si>
  <si>
    <t>https://www.munzee.com/m/PawPatrolThomas/4200/</t>
  </si>
  <si>
    <t>https://www.munzee.com/m/EmileP68/5116/</t>
  </si>
  <si>
    <t>https://www.munzee.com/m/BrotherWilliam/5350/</t>
  </si>
  <si>
    <t>https://www.munzee.com/m/ArtofEco/3651/</t>
  </si>
  <si>
    <t>https://www.munzee.com/m/J1Huisman/13017/</t>
  </si>
  <si>
    <t>https://www.munzee.com/m/fsafranek/5486/</t>
  </si>
  <si>
    <t>https://www.munzee.com/m/Ellesche/807</t>
  </si>
  <si>
    <t>https://www.munzee.com/m/res2100/753</t>
  </si>
  <si>
    <t>https://www.munzee.com/m/xrayneex/2623/</t>
  </si>
  <si>
    <t>https://www.munzee.com/m/Drazoria/1600/</t>
  </si>
  <si>
    <t>https://www.munzee.com/m/Tinake1309/1597/</t>
  </si>
  <si>
    <t>https://www.munzee.com/m/Berg14/1519/</t>
  </si>
  <si>
    <t>https://www.munzee.com/m/Niks13/1499/</t>
  </si>
  <si>
    <t>NYBOSS</t>
  </si>
  <si>
    <t>https://www.munzee.com/m/nyboss/13220/</t>
  </si>
  <si>
    <t>https://www.munzee.com/m/raunas/12564</t>
  </si>
  <si>
    <t>https://www.munzee.com/m/lupo6/6620</t>
  </si>
  <si>
    <t>https://www.munzee.com/m/OdinsFiRe/2066/</t>
  </si>
  <si>
    <t>https://www.munzee.com/m/lison55/12386/</t>
  </si>
  <si>
    <t>https://www.munzee.com/m/crscousins/4098/</t>
  </si>
  <si>
    <t>https://www.munzee.com/m/Anetzet/4623/</t>
  </si>
  <si>
    <t>https://www.munzee.com/m/Bungle/10659</t>
  </si>
  <si>
    <t>https://www.munzee.com/m/rita85gto/5119/</t>
  </si>
  <si>
    <t>https://www.munzee.com/m/cbf600/3783/</t>
  </si>
  <si>
    <t>https://www.munzee.com/m/Bisquick2/7181/</t>
  </si>
  <si>
    <t>https://www.munzee.com/m/TheFrog/5819/</t>
  </si>
  <si>
    <t>https://www.munzee.com/m/123xilef/13722/</t>
  </si>
  <si>
    <t>https://www.munzee.com/m/mortonfox/24200/</t>
  </si>
  <si>
    <t>https://www.munzee.com/m/raunas/13091</t>
  </si>
  <si>
    <t>https://www.munzee.com/m/barefootguru/3626/</t>
  </si>
  <si>
    <t xml:space="preserve">Kiwipanther </t>
  </si>
  <si>
    <t>https://www.munzee.com/map/u67hj40xv/15.8</t>
  </si>
  <si>
    <t>https://www.munzee.com/m/belladivadee/3263/</t>
  </si>
  <si>
    <t>https://www.munzee.com/m/sverlaan/6206/</t>
  </si>
  <si>
    <t>https://www.munzee.com/m/PawPatrolThomas/4199/</t>
  </si>
  <si>
    <t>https://www.munzee.com/m/EmileP68/5008/</t>
  </si>
  <si>
    <t>https://www.munzee.com/m/BrotherWilliam/5386/</t>
  </si>
  <si>
    <t>https://www.munzee.com/m/ArtofEco/3657/</t>
  </si>
  <si>
    <t>https://www.munzee.com/m/J1Huisman/13699/</t>
  </si>
  <si>
    <t>https://www.munzee.com/m/fsafranek/5469/</t>
  </si>
  <si>
    <t>https://www.munzee.com/m/rita85gto/3823/</t>
  </si>
  <si>
    <t>https://www.munzee.com/m/xrayneex/2622/</t>
  </si>
  <si>
    <t>https://www.munzee.com/m/Drazoria/1639/</t>
  </si>
  <si>
    <t>https://www.munzee.com/m/Tinake1309/1656/</t>
  </si>
  <si>
    <t>https://www.munzee.com/m/Berg14/1506/</t>
  </si>
  <si>
    <t>https://www.munzee.com/m/Niks13/1517/</t>
  </si>
  <si>
    <t>https://www.munzee.com/m/lupo6/6814</t>
  </si>
  <si>
    <t>https://www.munzee.com/m/crscousins/7153/</t>
  </si>
  <si>
    <t>https://www.munzee.com/m/Bungle/10928</t>
  </si>
  <si>
    <t>https://www.munzee.com/m/OdinsFiRe/2162/</t>
  </si>
  <si>
    <t>https://www.munzee.com/m/Ellesche/835</t>
  </si>
  <si>
    <t>https://www.munzee.com/m/Anetzet/4615/</t>
  </si>
  <si>
    <t>https://www.munzee.com/m/Aniara/17962/</t>
  </si>
  <si>
    <t>https://www.munzee.com/m/lison55/20908/</t>
  </si>
  <si>
    <t>https://www.munzee.com/m/cbf600/3731/</t>
  </si>
  <si>
    <t>https://www.munzee.com/m/Bisquick2/7182/</t>
  </si>
  <si>
    <t>https://www.munzee.com/m/wally62/5784/</t>
  </si>
  <si>
    <t>https://www.munzee.com/m/TheFrog/5821/</t>
  </si>
  <si>
    <t>https://www.munzee.com/m/123xilef/13720/</t>
  </si>
  <si>
    <t>https://www.munzee.com/m/res2100/760</t>
  </si>
  <si>
    <t>https://www.munzee.com/m/mortonfox/24218/</t>
  </si>
  <si>
    <t>https://www.munzee.com/m/barefootguru/3670/</t>
  </si>
  <si>
    <t>https://www.munzee.com/map/u0xspjhtk/16</t>
  </si>
  <si>
    <t>https://www.munzee.com/m/belladivadee/3209/</t>
  </si>
  <si>
    <t>https://www.munzee.com/m/sverlaan/6204/</t>
  </si>
  <si>
    <t>https://www.munzee.com/m/PawPatrolThomas/4175/</t>
  </si>
  <si>
    <t>emileP68</t>
  </si>
  <si>
    <t>https://www.munzee.com/m/EmileP68/4939/</t>
  </si>
  <si>
    <t>https://www.munzee.com/m/BrotherWilliam/5401/</t>
  </si>
  <si>
    <t>https://www.munzee.com/m/ArtofEco/3685/</t>
  </si>
  <si>
    <t>https://www.munzee.com/m/J1Huisman/14246/</t>
  </si>
  <si>
    <t>https://www.munzee.com/m/fsafranek/5462/</t>
  </si>
  <si>
    <t>https://www.munzee.com/m/rita85gto/3804/</t>
  </si>
  <si>
    <t>https://www.munzee.com/m/xrayneex/2571/</t>
  </si>
  <si>
    <t>https://www.munzee.com/m/lupo6/6823</t>
  </si>
  <si>
    <t>https://www.munzee.com/m/crscousins/7366/</t>
  </si>
  <si>
    <t>https://www.munzee.com/m/raunas/12415</t>
  </si>
  <si>
    <t>https://www.munzee.com/m/res2100/879/</t>
  </si>
  <si>
    <t>https://www.munzee.com/m/Ellesche/834</t>
  </si>
  <si>
    <t>https://www.munzee.com/m/Drazoria/1602/</t>
  </si>
  <si>
    <t>https://www.munzee.com/m/Tinake1309/1663/</t>
  </si>
  <si>
    <t>https://www.munzee.com/m/Berg14/1510/</t>
  </si>
  <si>
    <t>https://www.munzee.com/m/Niks13/1524/</t>
  </si>
  <si>
    <t>https://www.munzee.com/m/OdinsFiRe/2182/</t>
  </si>
  <si>
    <t>https://www.munzee.com/m/Bungle/10929</t>
  </si>
  <si>
    <t>lupinchen</t>
  </si>
  <si>
    <t>https://www.munzee.com/m/lupinchen/1903</t>
  </si>
  <si>
    <t>https://www.munzee.com/m/Anetzet/3912/</t>
  </si>
  <si>
    <t>https://www.munzee.com/m/lison55/15741</t>
  </si>
  <si>
    <t>https://www.munzee.com/m/cbf600/3727/</t>
  </si>
  <si>
    <t>https://www.munzee.com/m/Bisquick2/7256/</t>
  </si>
  <si>
    <t>https://www.munzee.com/m/Derlame/21210/</t>
  </si>
  <si>
    <t>https://www.munzee.com/m/TheFrog/5785/</t>
  </si>
  <si>
    <t>https://www.munzee.com/m/123xilef/13721/</t>
  </si>
  <si>
    <t>https://www.munzee.com/m/mortonfox/24559/</t>
  </si>
  <si>
    <t>https://www.munzee.com/m/barefootguru/3697/</t>
  </si>
  <si>
    <t xml:space="preserve">Xrayneex </t>
  </si>
  <si>
    <t>https://www.munzee.com/map/c28xfy4mw/16</t>
  </si>
  <si>
    <t>https://www.munzee.com/m/Belladivadee/3547</t>
  </si>
  <si>
    <t>https://www.munzee.com/m/sverlaan/4471/</t>
  </si>
  <si>
    <t>https://www.munzee.com/m/EmileP68/3357/</t>
  </si>
  <si>
    <t>https://www.munzee.com/m/PawPatrolThomas/2887/</t>
  </si>
  <si>
    <t>https://www.munzee.com/m/xrayneex/2138/</t>
  </si>
  <si>
    <t>https://www.munzee.com/m/raunas/12414</t>
  </si>
  <si>
    <t>https://www.munzee.com/m/barefootguru/3321/</t>
  </si>
  <si>
    <t>https://www.munzee.com/m/GroteSufferd/653/</t>
  </si>
  <si>
    <t>https://www.munzee.com/m/J1Huisman/11218/</t>
  </si>
  <si>
    <t>https://www.munzee.com/m/Pinkeltje/1928/</t>
  </si>
  <si>
    <t>https://www.munzee.com/m/Derlame/16221/</t>
  </si>
  <si>
    <t>https://www.munzee.com/m/Drazoria/1532/</t>
  </si>
  <si>
    <t>https://www.munzee.com/m/Tinake1309/1533/</t>
  </si>
  <si>
    <t>https://www.munzee.com/m/Berg14/1316/</t>
  </si>
  <si>
    <t>https://www.munzee.com/m/Niks13/1355/</t>
  </si>
  <si>
    <t>https://www.munzee.com/m/fsafranek/5159/</t>
  </si>
  <si>
    <t>https://www.munzee.com/m/ArtofEco/3347/</t>
  </si>
  <si>
    <t>https://www.munzee.com/m/BrotherWilliam/4545/</t>
  </si>
  <si>
    <t>WetCoaster</t>
  </si>
  <si>
    <t>https://www.munzee.com/m/WetCoaster/4087/</t>
  </si>
  <si>
    <t>dQuest</t>
  </si>
  <si>
    <t>https://www.munzee.com/m/dQuest/6379</t>
  </si>
  <si>
    <t>https://www.munzee.com/m/lupo6/6968</t>
  </si>
  <si>
    <t>https://www.munzee.com/m/Anetzet/3921/</t>
  </si>
  <si>
    <t>https://www.munzee.com/m/crscousins/7429/</t>
  </si>
  <si>
    <t>https://www.munzee.com/m/lison55/6321</t>
  </si>
  <si>
    <t>https://www.munzee.com/m/res2100/808/</t>
  </si>
  <si>
    <t>https://www.munzee.com/m/Ellesche/788</t>
  </si>
  <si>
    <t>pinlight</t>
  </si>
  <si>
    <t>https://www.munzee.com/m/pinlight/236/</t>
  </si>
  <si>
    <t>https://www.munzee.com/m/cbf600/2792/</t>
  </si>
  <si>
    <t>https://www.munzee.com/m/xrayneex/2137/</t>
  </si>
  <si>
    <t>https://www.munzee.com/m/Bungle/10931</t>
  </si>
  <si>
    <t>MeanderingMonkeys</t>
  </si>
  <si>
    <t>https://www.munzee.com/m/MeanderingMonkeys/22530/</t>
  </si>
  <si>
    <t>girlteddy5</t>
  </si>
  <si>
    <t>https://www.munzee.com/m/Girlteddy5/35/</t>
  </si>
  <si>
    <t>https://www.munzee.com/m/OdinsFiRe/2073/</t>
  </si>
  <si>
    <t>https://www.munzee.com/m/dQuest/6378</t>
  </si>
  <si>
    <t>https://www.munzee.com/m/Bisquick2/5324/</t>
  </si>
  <si>
    <t>https://www.munzee.com/m/rita85gto/5139/</t>
  </si>
  <si>
    <t>https://www.munzee.com/m/TheFrog/5226/</t>
  </si>
  <si>
    <t>https://www.munzee.com/m/123xilef/9186/</t>
  </si>
  <si>
    <t>https://www.munzee.com/m/mortonfox/22627/</t>
  </si>
  <si>
    <t>https://www.munzee.com/m/dQuest/6372</t>
  </si>
  <si>
    <t>PcLocator</t>
  </si>
  <si>
    <t>https://www.munzee.com/m/PcLocator/4256/</t>
  </si>
  <si>
    <t>https://www.munzee.com/map/r1nxks0tv/17</t>
  </si>
  <si>
    <t>https://www.munzee.com/m/belladivadee/3207</t>
  </si>
  <si>
    <t>https://www.munzee.com/m/sverlaan/6188/</t>
  </si>
  <si>
    <t>https://www.munzee.com/m/PawPatrolThomas/4057/</t>
  </si>
  <si>
    <t>https://www.munzee.com/m/EmileP68/4931/</t>
  </si>
  <si>
    <t>https://www.munzee.com/m/BrotherWilliam/5399/</t>
  </si>
  <si>
    <t>https://www.munzee.com/m/ArtofEco/3658/</t>
  </si>
  <si>
    <t>J1Hiuisman</t>
  </si>
  <si>
    <t>https://www.munzee.com/m/J1Huisman/14279/</t>
  </si>
  <si>
    <t>https://www.munzee.com/m/fsafranek/5375/</t>
  </si>
  <si>
    <t>https://www.munzee.com/m/xrayneex/2536/</t>
  </si>
  <si>
    <t>https://www.munzee.com/m/lupo6/6877</t>
  </si>
  <si>
    <t>ddtsnorton</t>
  </si>
  <si>
    <t>https://www.munzee.com/m/ddtsnorton/11384/</t>
  </si>
  <si>
    <t>https://www.munzee.com/m/Ellesche/802</t>
  </si>
  <si>
    <t>https://www.munzee.com/m/res2100/878</t>
  </si>
  <si>
    <t>https://www.munzee.com/m/Drazoria/1586/</t>
  </si>
  <si>
    <t>https://www.munzee.com/m/Tinake1309/1664/</t>
  </si>
  <si>
    <t>https://www.munzee.com/m/Berg14/1540/</t>
  </si>
  <si>
    <t>https://www.munzee.com/m/Niks13/1525/</t>
  </si>
  <si>
    <t>https://www.munzee.com/m/crscousins/6802/</t>
  </si>
  <si>
    <t>https://www.munzee.com/m/Girlteddy5/31/</t>
  </si>
  <si>
    <t>https://www.munzee.com/m/OdinsFiRe/2067/</t>
  </si>
  <si>
    <t>https://www.munzee.com/m/raunas/12347</t>
  </si>
  <si>
    <t>https://www.munzee.com/m/Anetzet/4607/</t>
  </si>
  <si>
    <t>https://www.munzee.com/m/Bungle/10932</t>
  </si>
  <si>
    <t>23speds</t>
  </si>
  <si>
    <t>https://www.munzee.com/m/23speds/11054/</t>
  </si>
  <si>
    <t>https://www.munzee.com/m/rita85gto/5142/</t>
  </si>
  <si>
    <t>skyfox</t>
  </si>
  <si>
    <t>https://www.munzee.com/m/skyfox/14439/</t>
  </si>
  <si>
    <t>https://www.munzee.com/m/cbf600/3726/</t>
  </si>
  <si>
    <t>https://www.munzee.com/m/Fossillady/5359/</t>
  </si>
  <si>
    <t>https://www.munzee.com/m/skyfox/14455/</t>
  </si>
  <si>
    <t>https://www.munzee.com/m/skyfox/14456/</t>
  </si>
  <si>
    <t>https://www.munzee.com/m/Bisquick2/7257/</t>
  </si>
  <si>
    <t>https://www.munzee.com/m/lison55/19404/</t>
  </si>
  <si>
    <t>https://www.munzee.com/m/TheFrog/5972/</t>
  </si>
  <si>
    <t>https://www.munzee.com/m/123xilef/13728/</t>
  </si>
  <si>
    <t>https://www.munzee.com/m/mortonfox/24564/</t>
  </si>
  <si>
    <t>https://www.munzee.com/m/skyfox/14469/</t>
  </si>
  <si>
    <t>https://www.munzee.com/m/barefootguru/3966/</t>
  </si>
  <si>
    <t>https://www.munzee.com/map/u1h5gdumd/16</t>
  </si>
  <si>
    <t>waiting for respons player</t>
  </si>
  <si>
    <t>https://www.munzee.com/m/raunas/12273</t>
  </si>
  <si>
    <t>https://www.munzee.com/m/sverlaan/6187/</t>
  </si>
  <si>
    <t>emilp68</t>
  </si>
  <si>
    <t>https://www.munzee.com/m/EmileP68/5007/</t>
  </si>
  <si>
    <t>https://www.munzee.com/m/PawPatrolThomas/4108/</t>
  </si>
  <si>
    <t>https://www.munzee.com/m/BrotherWilliam/5430/</t>
  </si>
  <si>
    <t>https://www.munzee.com/m/ArtofEco/3660/</t>
  </si>
  <si>
    <t>https://www.munzee.com/m/J1Huisman/13072/</t>
  </si>
  <si>
    <t>https://www.munzee.com/m/fsafranek/5483/</t>
  </si>
  <si>
    <t>https://www.munzee.com/m/xrayneex/2533/</t>
  </si>
  <si>
    <t>https://www.munzee.com/m/Drazoria/1652/</t>
  </si>
  <si>
    <t>https://www.munzee.com/m/Tinake1309/1667/</t>
  </si>
  <si>
    <t>https://www.munzee.com/m/Berg14/1574/</t>
  </si>
  <si>
    <t>https://www.munzee.com/m/Niks13/1560/</t>
  </si>
  <si>
    <t>https://www.munzee.com/m/lupo6/6721</t>
  </si>
  <si>
    <t>https://www.munzee.com/m/barefootguru/4194/</t>
  </si>
  <si>
    <t>Arendsoog</t>
  </si>
  <si>
    <t>https://www.munzee.com/m/Arendsoog/8882/</t>
  </si>
  <si>
    <t>Andrew81</t>
  </si>
  <si>
    <t>https://www.munzee.com/m/Andrew81/1593/</t>
  </si>
  <si>
    <t>Outlander21</t>
  </si>
  <si>
    <t>https://www.munzee.com/m/Outlander21/121</t>
  </si>
  <si>
    <t>https://www.munzee.com/m/Arendsoog/8883/</t>
  </si>
  <si>
    <t>Kastella</t>
  </si>
  <si>
    <t>https://www.munzee.com/m/Kastella/169</t>
  </si>
  <si>
    <t>https://www.munzee.com/m/Andrew81/1600/</t>
  </si>
  <si>
    <t>https://www.munzee.com/m/Outlander21/139</t>
  </si>
  <si>
    <t>https://www.munzee.com/m/Kastella/181</t>
  </si>
  <si>
    <t>https://www.munzee.com/m/crscousins/7576/</t>
  </si>
  <si>
    <t>https://www.munzee.com/m/Bungle/11159</t>
  </si>
  <si>
    <t>https://www.munzee.com/m/Girlteddy5/29/</t>
  </si>
  <si>
    <t>Djeagle</t>
  </si>
  <si>
    <t>https://www.munzee.com/m/djeagle/7602/</t>
  </si>
  <si>
    <t>https://www.munzee.com/m/cbf600/3782/</t>
  </si>
  <si>
    <t>https://www.munzee.com/m/OdinsFiRe/2075/</t>
  </si>
  <si>
    <t>https://www.munzee.com/m/djeagle/7567/</t>
  </si>
  <si>
    <t>https://www.munzee.com/m/Aniara/17554/</t>
  </si>
  <si>
    <t>https://www.munzee.com/m/rita85gto/5143/</t>
  </si>
  <si>
    <t>https://www.munzee.com/m/djeagle/7566/</t>
  </si>
  <si>
    <t>IggiePiggie</t>
  </si>
  <si>
    <t>https://www.munzee.com/m/IggiePiggie/11108/</t>
  </si>
  <si>
    <t>https://www.munzee.com/m/Bisquick2/7258/</t>
  </si>
  <si>
    <t>https://www.munzee.com/m/res2100/836</t>
  </si>
  <si>
    <t>https://www.munzee.com/m/Ellesche/797/</t>
  </si>
  <si>
    <t>https://www.munzee.com/m/Arendsoog/9057/</t>
  </si>
  <si>
    <t>https://www.munzee.com/m/Trappertje/15205/</t>
  </si>
  <si>
    <t>https://www.munzee.com/m/TheFrog/6336/</t>
  </si>
  <si>
    <t>https://www.munzee.com/m/123xilef/13708/</t>
  </si>
  <si>
    <t>https://www.munzee.com/m/Anetzet/4696/</t>
  </si>
  <si>
    <t>https://www.munzee.com/m/mortonfox/23077/</t>
  </si>
  <si>
    <t>https://www.munzee.com/m/djeagle/7559/</t>
  </si>
  <si>
    <t>https://www.munzee.com/m/lison55/23778/</t>
  </si>
  <si>
    <t>https://www.munzee.com/m/djeagle/7415/</t>
  </si>
  <si>
    <t>https://www.munzee.com/m/barefootguru/12321/</t>
  </si>
  <si>
    <t>https://www.munzee.com/map/gcrh0up8v/17</t>
  </si>
  <si>
    <t>https://www.munzee.com/m/raunas/12272</t>
  </si>
  <si>
    <t>https://www.munzee.com/m/sverlaan/6174/</t>
  </si>
  <si>
    <t>https://www.munzee.com/m/PawPatrolThomas/4172/</t>
  </si>
  <si>
    <t>https://www.munzee.com/m/EmileP68/4929/</t>
  </si>
  <si>
    <t>https://www.munzee.com/m/BrotherWilliam/5439/</t>
  </si>
  <si>
    <t>https://www.munzee.com/m/ArtofEco/3661/</t>
  </si>
  <si>
    <t>https://www.munzee.com/m/J1Huisman/13461/</t>
  </si>
  <si>
    <t>https://www.munzee.com/m/fsafranek/5475/</t>
  </si>
  <si>
    <t>https://www.munzee.com/m/rita85gto/3824/</t>
  </si>
  <si>
    <t>https://www.munzee.com/m/xrayneex/2517/</t>
  </si>
  <si>
    <t>https://www.munzee.com/m/Bungle/11161</t>
  </si>
  <si>
    <t>https://www.munzee.com/m/res2100/763</t>
  </si>
  <si>
    <t>https://www.munzee.com/m/Drazoria/1650/</t>
  </si>
  <si>
    <t>https://www.munzee.com/m/Tinake1309/1688/</t>
  </si>
  <si>
    <t>https://www.munzee.com/m/Berg14/1582/</t>
  </si>
  <si>
    <t>https://www.munzee.com/m/Niks13/1570/</t>
  </si>
  <si>
    <t>https://www.munzee.com/m/Ellesche/840</t>
  </si>
  <si>
    <t>https://www.munzee.com/m/lupo6/6805</t>
  </si>
  <si>
    <t>https://www.munzee.com/m/crscousins/4101/</t>
  </si>
  <si>
    <t>https://www.munzee.com/m/GroteSufferd/758/</t>
  </si>
  <si>
    <t>https://www.munzee.com/m/Anetzet/4521/</t>
  </si>
  <si>
    <t>https://www.munzee.com/m/BrotherWilliam/5489/</t>
  </si>
  <si>
    <t>https://www.munzee.com/m/crscousins/4100/</t>
  </si>
  <si>
    <t>https://www.munzee.com/m/Girlteddy5/83/</t>
  </si>
  <si>
    <t>https://www.munzee.com/m/OdinsFiRe/2077/</t>
  </si>
  <si>
    <t>https://www.munzee.com/m/cbf600/3779/</t>
  </si>
  <si>
    <t>https://www.munzee.com/m/Bisquick2/7271/</t>
  </si>
  <si>
    <t>https://www.munzee.com/m/TheFrog/6343/</t>
  </si>
  <si>
    <t>https://www.munzee.com/m/123xilef/13727/</t>
  </si>
  <si>
    <t>https://www.munzee.com/m/crscousins/4099/</t>
  </si>
  <si>
    <t>https://www.munzee.com/m/mortonfox/23234/</t>
  </si>
  <si>
    <t>https://www.munzee.com/m/barefootguru/4258/</t>
  </si>
  <si>
    <t>Austin</t>
  </si>
  <si>
    <t>https://www.munzee.com/map/9v67xqee1/17</t>
  </si>
  <si>
    <t>tfbrown is verhuisd en speelt al ruim een jaar niet meer besloten deze niet te plaatsen (player moved and stoppend playing)</t>
  </si>
  <si>
    <t>thefrog</t>
  </si>
  <si>
    <t>https://www.munzee.com/map/r1ps2gqws/17</t>
  </si>
  <si>
    <t>https://www.munzee.com/m/raunas/12264</t>
  </si>
  <si>
    <t>https://www.munzee.com/m/sverlaan/6171/</t>
  </si>
  <si>
    <t>https://www.munzee.com/m/PawPatrolThomas/4105/</t>
  </si>
  <si>
    <t>https://www.munzee.com/m/EmileP68/4928/</t>
  </si>
  <si>
    <t>https://www.munzee.com/m/BrotherWilliam/5474/</t>
  </si>
  <si>
    <t>https://www.munzee.com/m/ArtofEco/3688/</t>
  </si>
  <si>
    <t>https://www.munzee.com/m/J1Huisman/13016/</t>
  </si>
  <si>
    <t>https://www.munzee.com/m/fsafranek/5488/</t>
  </si>
  <si>
    <t>https://www.munzee.com/m/rita85gto/3870/</t>
  </si>
  <si>
    <t>https://www.munzee.com/m/xrayneex/2447/</t>
  </si>
  <si>
    <t>https://www.munzee.com/m/res2100/744/</t>
  </si>
  <si>
    <t>https://www.munzee.com/m/Drazoria/1591/</t>
  </si>
  <si>
    <t>https://www.munzee.com/m/Tinake1309/1591/</t>
  </si>
  <si>
    <t>https://www.munzee.com/m/Berg14/1505/</t>
  </si>
  <si>
    <t>https://www.munzee.com/m/Niks13/1475/</t>
  </si>
  <si>
    <t>https://www.munzee.com/m/lupo6/2716</t>
  </si>
  <si>
    <t>https://www.munzee.com/m/crscousins/7544/</t>
  </si>
  <si>
    <t>https://www.munzee.com/m/Bungle/11243</t>
  </si>
  <si>
    <t>https://www.munzee.com/m/Trappertje/9352/</t>
  </si>
  <si>
    <t>https://www.munzee.com/m/OdinsFiRe/2078/</t>
  </si>
  <si>
    <t>https://www.munzee.com/m/skyfox/14477/</t>
  </si>
  <si>
    <t>https://www.munzee.com/m/Anetzet/4508/</t>
  </si>
  <si>
    <t>https://www.munzee.com/m/skyfox/14476/</t>
  </si>
  <si>
    <t>anseldelux</t>
  </si>
  <si>
    <t>https://www.munzee.com/m/Anseldelux/1269/</t>
  </si>
  <si>
    <t>https://www.munzee.com/m/MeanderingMonkeys/22528/</t>
  </si>
  <si>
    <t>https://www.munzee.com/m/cbf600/3784/</t>
  </si>
  <si>
    <t>https://www.munzee.com/m/Bisquick2/7386/</t>
  </si>
  <si>
    <t xml:space="preserve">TeamSarton </t>
  </si>
  <si>
    <t>https://www.munzee.com/m/TeamSarton/2365/</t>
  </si>
  <si>
    <t>https://www.munzee.com/m/TheFrog/7190/</t>
  </si>
  <si>
    <t>https://www.munzee.com/m/123xilef/13707/</t>
  </si>
  <si>
    <t>https://www.munzee.com/m/skyfox/14472/</t>
  </si>
  <si>
    <t>https://www.munzee.com/m/skyfox/14470/</t>
  </si>
  <si>
    <t>shaynemarks</t>
  </si>
  <si>
    <t>https://www.munzee.com/m/shaynemarks/12373/</t>
  </si>
  <si>
    <t>https://www.munzee.com/m/mortonfox/23501/</t>
  </si>
  <si>
    <t>https://www.munzee.com/m/barefootguru/5055/</t>
  </si>
  <si>
    <t>https://www.munzee.com/m/Wangotango/1397/</t>
  </si>
  <si>
    <t>https://www.munzee.com/m/Ellesche/771</t>
  </si>
  <si>
    <t xml:space="preserve">Overview in how many stroopwafel gardens you've deployed. </t>
  </si>
  <si>
    <t>Name</t>
  </si>
  <si>
    <t>Total</t>
  </si>
  <si>
    <t>Social 1</t>
  </si>
  <si>
    <t>Social 5</t>
  </si>
  <si>
    <t>Social 10</t>
  </si>
  <si>
    <t>Surprice gift 20</t>
  </si>
  <si>
    <t>Berlin, GER</t>
  </si>
  <si>
    <t>Escondido, USA</t>
  </si>
  <si>
    <t>Onkaparinga_Hills, AUS</t>
  </si>
  <si>
    <t>Perth, Aus</t>
  </si>
  <si>
    <t>Raleigh, USA</t>
  </si>
  <si>
    <t>Browns Plains, AUS</t>
  </si>
  <si>
    <t>Brossard, CAN</t>
  </si>
  <si>
    <t>Gouda, NL</t>
  </si>
  <si>
    <t>Plympton, UK</t>
  </si>
  <si>
    <t>Glen Oaks, USA</t>
  </si>
  <si>
    <t>Chemnitz, GER</t>
  </si>
  <si>
    <t>Vosselaar, BE</t>
  </si>
  <si>
    <t>MHQ, USA</t>
  </si>
  <si>
    <t>Morayfield, AUS</t>
  </si>
  <si>
    <t>Arnhem, NL</t>
  </si>
  <si>
    <t>Götenborg, SW</t>
  </si>
  <si>
    <t>Shepparton, AUS</t>
  </si>
  <si>
    <t>Hoofddorp, NL</t>
  </si>
  <si>
    <t>Bedford, UK</t>
  </si>
  <si>
    <t>Desert Lodge, USA</t>
  </si>
  <si>
    <t>Dapto, AUS</t>
  </si>
  <si>
    <t>New Westminster, CAN</t>
  </si>
  <si>
    <t>Georgetown, CAN</t>
  </si>
  <si>
    <t>Kingswood, UK</t>
  </si>
  <si>
    <t>Hagerstown, USA</t>
  </si>
  <si>
    <t>Felsogalla, HU</t>
  </si>
  <si>
    <t>Norlane, AUS</t>
  </si>
  <si>
    <t>Meitingen, GER</t>
  </si>
  <si>
    <t>Groningen, NL</t>
  </si>
  <si>
    <t>Linköping, SW</t>
  </si>
  <si>
    <t>Austin, USA</t>
  </si>
  <si>
    <t>Thringstone, UK</t>
  </si>
  <si>
    <t>Andover, UK</t>
  </si>
  <si>
    <t>Ospel, NL</t>
  </si>
  <si>
    <t>Wonthaggi, AUS</t>
  </si>
  <si>
    <t>Falling Waters, USA</t>
  </si>
  <si>
    <t>Kelmscott, AUS</t>
  </si>
  <si>
    <t>BartWullems</t>
  </si>
  <si>
    <t>https://www.munzee.com/m/BartWullems/1950</t>
  </si>
  <si>
    <t>https://www.munzee.com/map/u1hpz67zb/16.4</t>
  </si>
  <si>
    <t>FULL</t>
  </si>
  <si>
    <t>TO HELP OUT HANRY!!</t>
  </si>
  <si>
    <t>https://www.munzee.com/m/belladivadee/3184/</t>
  </si>
  <si>
    <t>https://www.munzee.com/m/sverlaan/4452/</t>
  </si>
  <si>
    <t>https://www.munzee.com/m/PawPatrolThomas/2506/</t>
  </si>
  <si>
    <t>Emilep68</t>
  </si>
  <si>
    <t>https://www.munzee.com/m/EmileP68/3222/</t>
  </si>
  <si>
    <t>https://www.munzee.com/m/J1Huisman/11590/</t>
  </si>
  <si>
    <t>https://www.munzee.com/m/Pinkeltje/1408/</t>
  </si>
  <si>
    <t>Superkoe</t>
  </si>
  <si>
    <t>https://www.munzee.com/m/SuperKoe/13096</t>
  </si>
  <si>
    <t>HtV</t>
  </si>
  <si>
    <t>https://www.munzee.com/m/HtV/7523/</t>
  </si>
  <si>
    <t>Ronella42</t>
  </si>
  <si>
    <t>https://www.munzee.com/m/Ronella42/196</t>
  </si>
  <si>
    <t>Hanry</t>
  </si>
  <si>
    <t>https://www.munzee.com/m/Hanry/1008/</t>
  </si>
  <si>
    <t>DutchLibrarian</t>
  </si>
  <si>
    <t>https://www.munzee.com/m/DutchLibrarian/432</t>
  </si>
  <si>
    <t>DeNachtwaker</t>
  </si>
  <si>
    <t>https://www.munzee.com/m/DeNachtwaker/5776</t>
  </si>
  <si>
    <t>Skater9468</t>
  </si>
  <si>
    <t>https://www.munzee.com/m/Skater9468/450</t>
  </si>
  <si>
    <t>https://www.munzee.com/m/DutchLibrarian/438</t>
  </si>
  <si>
    <t>WandelKuub</t>
  </si>
  <si>
    <t>https://www.munzee.com/m/WandelKuub/5693/</t>
  </si>
  <si>
    <t>https://www.munzee.com/m/fsafranek/4675/</t>
  </si>
  <si>
    <t>https://www.munzee.com/m/DutchLibrarian/476</t>
  </si>
  <si>
    <t>https://www.munzee.com/m/Anetzet/3160/</t>
  </si>
  <si>
    <t>theceoiksjes</t>
  </si>
  <si>
    <t>https://www.munzee.com/m/Theceoiksjes/5714/</t>
  </si>
  <si>
    <t>pronkrug</t>
  </si>
  <si>
    <t>https://www.munzee.com/m/Pronkrug/2812</t>
  </si>
  <si>
    <t>cvdchiller</t>
  </si>
  <si>
    <t>https://www.munzee.com/m/cvdchiller/8750</t>
  </si>
  <si>
    <t>Vonney</t>
  </si>
  <si>
    <t>https://www.munzee.com/m/Vonney/2/</t>
  </si>
  <si>
    <t>https://www.munzee.com/m/xrayneex/1555/</t>
  </si>
  <si>
    <t>Felixbongers</t>
  </si>
  <si>
    <t>https://www.munzee.com/m/felixbongers/7920/</t>
  </si>
  <si>
    <t>Feikjen</t>
  </si>
  <si>
    <t>https://www.munzee.com/m/feikjen/8006/</t>
  </si>
  <si>
    <t>https://www.munzee.com/m/Trappertje/5102/</t>
  </si>
  <si>
    <t xml:space="preserve">MrsSourflush </t>
  </si>
  <si>
    <t>https://www.munzee.com/m/MrsSourflush/1468/</t>
  </si>
  <si>
    <t>https://www.munzee.com/m/cbf600/2533/</t>
  </si>
  <si>
    <t>Rhaegal</t>
  </si>
  <si>
    <t>https://www.munzee.com/m/Rhaegal/7/</t>
  </si>
  <si>
    <t>https://www.munzee.com/m/Hanry/1007/</t>
  </si>
  <si>
    <t>https://www.munzee.com/m/MrsSourflush/1465/</t>
  </si>
  <si>
    <t xml:space="preserve">MariaHTJ </t>
  </si>
  <si>
    <t>https://www.munzee.com/m/MariaHTJ/8563/</t>
  </si>
  <si>
    <t>destolkjes4ever</t>
  </si>
  <si>
    <t>https://www.munzee.com/m/destolkjes4ever/3014/</t>
  </si>
  <si>
    <t>denali0407</t>
  </si>
  <si>
    <t>https://www.munzee.com/m/denali0407/15173/</t>
  </si>
  <si>
    <t>raftjen</t>
  </si>
  <si>
    <t>https://www.munzee.com/m/raftjen/2350</t>
  </si>
  <si>
    <t>Iphoney</t>
  </si>
  <si>
    <t>https://www.munzee.com/m/Iphoney/7/</t>
  </si>
  <si>
    <t>roughdraft</t>
  </si>
  <si>
    <t>https://www.munzee.com/m/roughdraft/8948/</t>
  </si>
  <si>
    <t>vadotech</t>
  </si>
  <si>
    <t>https://www.munzee.com/m/vadotech/8542/</t>
  </si>
  <si>
    <t>Pamster13</t>
  </si>
  <si>
    <t>https://www.munzee.com/m/Pamster13/4135/</t>
  </si>
  <si>
    <t>Lusifeerus</t>
  </si>
  <si>
    <t>https://www.munzee.com/m/Lusifeerus/1074/</t>
  </si>
  <si>
    <t>https://www.munzee.com/m/TheFrog/4155/</t>
  </si>
  <si>
    <t>https://www.munzee.com/m/123xilef/7023/</t>
  </si>
  <si>
    <t>https://www.munzee.com/m/Aniara/6961/</t>
  </si>
  <si>
    <t xml:space="preserve">Human01d </t>
  </si>
  <si>
    <t>https://www.munzee.com/m/Human01d/4071/</t>
  </si>
  <si>
    <t>lostsole68</t>
  </si>
  <si>
    <t>https://www.munzee.com/m/lostsole68/3922/</t>
  </si>
  <si>
    <t>Liekensboys</t>
  </si>
  <si>
    <t>https://www.munzee.com/m/Liekensboys/98/</t>
  </si>
  <si>
    <t>https://www.munzee.com/m/Trappertje/5107/</t>
  </si>
  <si>
    <t>ChudleighTraveller</t>
  </si>
  <si>
    <t>https://www.munzee.com/m/ChudleighTraveller/1183/</t>
  </si>
  <si>
    <t>does</t>
  </si>
  <si>
    <t>https://www.munzee.com/m/does/677</t>
  </si>
  <si>
    <t>https://www.munzee.com/m/MrsSourflush/1463/</t>
  </si>
  <si>
    <t xml:space="preserve">NikitaStolk </t>
  </si>
  <si>
    <t>https://www.munzee.com/m/NikitaStolk/1053/</t>
  </si>
  <si>
    <t>Blutengel</t>
  </si>
  <si>
    <t>https://www.munzee.com/m/blutengel/3010/</t>
  </si>
  <si>
    <t xml:space="preserve">another garden POI too close. </t>
  </si>
  <si>
    <t>https://www.munzee.com/map/gcr8t2n36/17</t>
  </si>
  <si>
    <t>https://www.munzee.com/m/belladivadee/3142</t>
  </si>
  <si>
    <t>https://www.munzee.com/m/pawpatrolthomas/2688/</t>
  </si>
  <si>
    <t>https://www.munzee.com/m/TheFatCats/4336/</t>
  </si>
  <si>
    <t>https://www.munzee.com/m/sverlaan/4767/</t>
  </si>
  <si>
    <t>https://www.munzee.com/m/Drazoria/1001</t>
  </si>
  <si>
    <t>https://www.munzee.com/m/Tinake1309/969</t>
  </si>
  <si>
    <t>https://www.munzee.com/m/Berg14/689/</t>
  </si>
  <si>
    <t>https://www.munzee.com/m/Niks13/659/</t>
  </si>
  <si>
    <t>https://www.munzee.com/m/xrayneex/1718/</t>
  </si>
  <si>
    <t>https://www.munzee.com/m/BrotherWilliam/4252/</t>
  </si>
  <si>
    <t>https://www.munzee.com/m/PcLocator/4254/</t>
  </si>
  <si>
    <t>https://www.munzee.com/m/barefootguru/3254/</t>
  </si>
  <si>
    <t>Amadoreugen</t>
  </si>
  <si>
    <t>https://www.munzee.com/m/amadoreugen/5861</t>
  </si>
  <si>
    <t>https://www.munzee.com/m/J1Huisman/11836/</t>
  </si>
  <si>
    <t>https://www.munzee.com/m/Pinkeltje/1601/</t>
  </si>
  <si>
    <t>krauseengineer</t>
  </si>
  <si>
    <t>https://www.munzee.com/m/Krauseengineer/2449</t>
  </si>
  <si>
    <t>https://www.munzee.com/m/GroteSufferd/527/</t>
  </si>
  <si>
    <t>https://www.munzee.com/m/ArtofEco/3064/</t>
  </si>
  <si>
    <t>https://www.munzee.com/m/5Star/6129</t>
  </si>
  <si>
    <t>Franca</t>
  </si>
  <si>
    <t>https://www.munzee.com/m/Franca/1075/</t>
  </si>
  <si>
    <t>https://www.munzee.com/m/Derlame/18656/</t>
  </si>
  <si>
    <t>https://www.munzee.com/m/Anetzet/3404/</t>
  </si>
  <si>
    <t>https://www.munzee.com/m/Franca/1068/</t>
  </si>
  <si>
    <t>https://www.munzee.com/m/amadoreugen/5868/</t>
  </si>
  <si>
    <t>jacksparrow</t>
  </si>
  <si>
    <t>https://www.munzee.com/m/JackSparrow/22161</t>
  </si>
  <si>
    <t>mding4gold</t>
  </si>
  <si>
    <t>https://www.munzee.com/m/mding4gold/4983</t>
  </si>
  <si>
    <t>https://www.munzee.com/m/lison55/5750/</t>
  </si>
  <si>
    <t>https://www.munzee.com/m/cbf600/2586/</t>
  </si>
  <si>
    <t>https://www.munzee.com/m/fsafranek/4982/</t>
  </si>
  <si>
    <t>https://www.munzee.com/m/Fossillady/3500</t>
  </si>
  <si>
    <t>https://www.munzee.com/m/TheFatCats/4327/</t>
  </si>
  <si>
    <t>https://www.munzee.com/m/EmileP68/3902/</t>
  </si>
  <si>
    <t>https://www.munzee.com/m/OdinsFiRe/1958/</t>
  </si>
  <si>
    <t>https://www.munzee.com/m/res2100/761</t>
  </si>
  <si>
    <t>https://www.munzee.com/m/Bisquick2/4773/</t>
  </si>
  <si>
    <t>https://www.munzee.com/m/wally62/4343/</t>
  </si>
  <si>
    <t>https://www.munzee.com/m/Trappertje/5537/</t>
  </si>
  <si>
    <t>https://www.munzee.com/m/Ellesche/748/</t>
  </si>
  <si>
    <t>https://www.munzee.com/m/Aniara/7868/</t>
  </si>
  <si>
    <t>https://www.munzee.com/m/ChudleighTraveller/1338/</t>
  </si>
  <si>
    <t>https://www.munzee.com/m/TheFrog/5204/</t>
  </si>
  <si>
    <t>https://www.munzee.com/m/123xilef/8201/</t>
  </si>
  <si>
    <t>https://www.munzee.com/m/amadoreugen/5822/</t>
  </si>
  <si>
    <t>https://www.munzee.com/m/lupo6/2663/</t>
  </si>
  <si>
    <t>https://www.munzee.com/m/raunas/7127</t>
  </si>
  <si>
    <t>WangoTango</t>
  </si>
  <si>
    <t>https://www.munzee.com/m/Wangotango/1591/</t>
  </si>
  <si>
    <t>https://www.munzee.com/m/cbf600/4085/</t>
  </si>
  <si>
    <t>https://www.munzee.com/m/lupo6/2668/</t>
  </si>
  <si>
    <t>https://www.munzee.com/m/cbf600/4086/</t>
  </si>
  <si>
    <t>https://www.munzee.com/m/TheFatCats/4331/</t>
  </si>
  <si>
    <t>https://www.munzee.com/m/xrayneex/1702/</t>
  </si>
  <si>
    <t>https://www.munzee.com/m/amadoreugen/5756</t>
  </si>
  <si>
    <t>https://www.munzee.com/m/JackSparrow/18875</t>
  </si>
  <si>
    <t>https://www.munzee.com/map/u33e0rtz4/16</t>
  </si>
  <si>
    <t>5Star</t>
  </si>
  <si>
    <t>https://www.munzee.com/m/5Star/5652/</t>
  </si>
  <si>
    <t>FromTheTardis</t>
  </si>
  <si>
    <t>https://www.munzee.com/m/FromTheTardis/1297/</t>
  </si>
  <si>
    <t>DHitz</t>
  </si>
  <si>
    <t>https://www.munzee.com/m/DHitz/3733/</t>
  </si>
  <si>
    <t>https://www.munzee.com/m/fsafranek/4141/</t>
  </si>
  <si>
    <t>https://www.munzee.com/m/Wangotango/1169/</t>
  </si>
  <si>
    <t>lanyasummer</t>
  </si>
  <si>
    <t>https://www.munzee.com/m/Lanyasummer/4145/</t>
  </si>
  <si>
    <t>https://www.munzee.com/m/J1Huisman/11202/</t>
  </si>
  <si>
    <t>Dazzle007</t>
  </si>
  <si>
    <t>https://www.munzee.com/m/Dazzle007/768/</t>
  </si>
  <si>
    <t>https://www.munzee.com/m/lison55/5129</t>
  </si>
  <si>
    <t>https://www.munzee.com/m/Pinkeltje/1082/</t>
  </si>
  <si>
    <t>bambinacattiva</t>
  </si>
  <si>
    <t>https://www.munzee.com/m/Bambinacattiva/706/</t>
  </si>
  <si>
    <t>https://www.munzee.com/m/sverlaan/4146/</t>
  </si>
  <si>
    <t xml:space="preserve">Emilep68 </t>
  </si>
  <si>
    <t>https://www.munzee.com/m/EmileP68/2925/</t>
  </si>
  <si>
    <t xml:space="preserve">Pawpatrolthomas </t>
  </si>
  <si>
    <t>https://www.munzee.com/m/PawPatrolThomas/2214/</t>
  </si>
  <si>
    <t>WiseOldWizard</t>
  </si>
  <si>
    <t>https://www.munzee.com/m/WiseOldWizard/3930/</t>
  </si>
  <si>
    <t>Hoekraam</t>
  </si>
  <si>
    <t>https://www.munzee.com/m/hoekraam/6623</t>
  </si>
  <si>
    <t>https://www.munzee.com/m/xrayneex/1328</t>
  </si>
  <si>
    <t>https://www.munzee.com/m/barefootguru/3090/</t>
  </si>
  <si>
    <t>https://www.munzee.com/m/BrotherWilliam/3858/</t>
  </si>
  <si>
    <t>https://www.munzee.com/m/IggiePiggie/1766/</t>
  </si>
  <si>
    <t>https://www.munzee.com/m/ArtofEco/2871/</t>
  </si>
  <si>
    <t>https://www.munzee.com/m/Anetzet/2682/</t>
  </si>
  <si>
    <t>babyw</t>
  </si>
  <si>
    <t>https://www.munzee.com/m/babyw/2957/</t>
  </si>
  <si>
    <t>https://www.munzee.com/m/Trappertje/4583/</t>
  </si>
  <si>
    <t>https://www.munzee.com/m/belladivadee/2988/</t>
  </si>
  <si>
    <t>geckofreund</t>
  </si>
  <si>
    <t>https://www.munzee.com/m/geckofreund/4323/</t>
  </si>
  <si>
    <t>Benotje</t>
  </si>
  <si>
    <t>https://www.munzee.com/m/benotje/1327/</t>
  </si>
  <si>
    <t>https://www.munzee.com/m/cbf600/2384</t>
  </si>
  <si>
    <t>https://www.munzee.com/m/Bisquick2/3976/</t>
  </si>
  <si>
    <t>chickenrun</t>
  </si>
  <si>
    <t>https://www.munzee.com/m/ChickenRun/10578</t>
  </si>
  <si>
    <t>https://www.munzee.com/m/JackSparrow/19344</t>
  </si>
  <si>
    <t>https://www.munzee.com/m/MeanderingMonkeys/13289/</t>
  </si>
  <si>
    <t>Clareppuccino</t>
  </si>
  <si>
    <t>https://www.munzee.com/m/Clareppuccino/4003/</t>
  </si>
  <si>
    <t>https://www.munzee.com/m/JackSparrow/19419</t>
  </si>
  <si>
    <t>https://www.munzee.com/m/hoekraam/6624</t>
  </si>
  <si>
    <t>https://www.munzee.com/m/GroteSufferd/300/</t>
  </si>
  <si>
    <t>https://www.munzee.com/m/Bambinacattiva/700</t>
  </si>
  <si>
    <t>https://www.munzee.com/m/hoekraam/6629</t>
  </si>
  <si>
    <t>https://www.munzee.com/m/Drazoria/642</t>
  </si>
  <si>
    <t>https://www.munzee.com/m/xrayneex/1321/</t>
  </si>
  <si>
    <t>https://www.munzee.com/m/TheFrog/4046/</t>
  </si>
  <si>
    <t>https://www.munzee.com/m/123xilef/6737/</t>
  </si>
  <si>
    <t>amigoth2de</t>
  </si>
  <si>
    <t>https://www.munzee.com/m/amigoth2de/1659/</t>
  </si>
  <si>
    <t>halizwein</t>
  </si>
  <si>
    <t>https://www.munzee.com/m/halizwein/11149/</t>
  </si>
  <si>
    <t>https://www.munzee.com/m/Tinake1309/642</t>
  </si>
  <si>
    <t>https://www.munzee.com/m/Berg14/428/</t>
  </si>
  <si>
    <t>https://www.munzee.com/m/Niks13/395/</t>
  </si>
  <si>
    <t>https://www.munzee.com/m/Derlame/12347/</t>
  </si>
  <si>
    <t>https://www.munzee.com/m/JackSparrow/19320</t>
  </si>
  <si>
    <t>https://www.munzee.com/m/Aniara/6516/</t>
  </si>
  <si>
    <t>LonelyWalker</t>
  </si>
  <si>
    <t>https://www.munzee.com/m/LonelyWalker/403/</t>
  </si>
  <si>
    <t>https://www.munzee.com/m/JackSparrow/19420</t>
  </si>
  <si>
    <t>https://www.munzee.com/m/all0123/4389/</t>
  </si>
  <si>
    <t>https://www.munzee.com/map/f25f8m311/16</t>
  </si>
  <si>
    <t>https://www.munzee.com/m/lison55/5264/</t>
  </si>
  <si>
    <t>https://www.munzee.com/m/all0123/3892/</t>
  </si>
  <si>
    <t>https://www.munzee.com/m/FromTheTardis/1359/</t>
  </si>
  <si>
    <t>https://www.munzee.com/m/xrayneex/1349</t>
  </si>
  <si>
    <t>Sverlaan</t>
  </si>
  <si>
    <t>https://www.munzee.com/m/sverlaan/4153/</t>
  </si>
  <si>
    <t>https://www.munzee.com/m/EmileP68/2933/</t>
  </si>
  <si>
    <t>https://www.munzee.com/m/PawPatrolThomas/2237/</t>
  </si>
  <si>
    <t>https://www.munzee.com/m/fsafranek/4307/</t>
  </si>
  <si>
    <t>https://www.munzee.com/m/Pinkeltje/1137/</t>
  </si>
  <si>
    <t>https://www.munzee.com/m/5Star/5704/</t>
  </si>
  <si>
    <t>https://www.munzee.com/m/all0123/3897/</t>
  </si>
  <si>
    <t>https://www.munzee.com/m/J1Huisman/11234/</t>
  </si>
  <si>
    <t>https://www.munzee.com/m/BrotherWilliam/3888/</t>
  </si>
  <si>
    <t>https://www.munzee.com/m/WiseOldWizard/3968/</t>
  </si>
  <si>
    <t>https://www.munzee.com/m/ArtofEco/2920/</t>
  </si>
  <si>
    <t>taz30</t>
  </si>
  <si>
    <t>https://www.munzee.com/m/Taz30/1630/</t>
  </si>
  <si>
    <t>https://www.munzee.com/m/all0123/3909/</t>
  </si>
  <si>
    <t>https://www.munzee.com/m/Drazoria/735/</t>
  </si>
  <si>
    <t>https://www.munzee.com/m/Tinake1309/721</t>
  </si>
  <si>
    <t>https://www.munzee.com/m/Berg14/559</t>
  </si>
  <si>
    <t>https://www.munzee.com/m/Niks13/524/</t>
  </si>
  <si>
    <t>https://www.munzee.com/m/Anetzet/2744/</t>
  </si>
  <si>
    <t>https://www.munzee.com/m/xrayneex/1348</t>
  </si>
  <si>
    <t>https://www.munzee.com/m/Dazzle007/797/</t>
  </si>
  <si>
    <t>Lylmik</t>
  </si>
  <si>
    <t>https://www.munzee.com/m/Lylmik/1482/</t>
  </si>
  <si>
    <t>BoyBou</t>
  </si>
  <si>
    <t>https://www.munzee.com/m/BoyBou/3910/</t>
  </si>
  <si>
    <t>https://www.munzee.com/m/BoyBou/3907/</t>
  </si>
  <si>
    <t>https://www.munzee.com/m/cbf600/2359/</t>
  </si>
  <si>
    <t>Laouate</t>
  </si>
  <si>
    <t>https://www.munzee.com/m/Laouate/318/</t>
  </si>
  <si>
    <t>https://www.munzee.com/m/all0123/3911/</t>
  </si>
  <si>
    <t>upapou</t>
  </si>
  <si>
    <t>https://www.munzee.com/m/upapou/969/</t>
  </si>
  <si>
    <t>https://www.munzee.com/m/OdinsFiRe/1631</t>
  </si>
  <si>
    <t>Vanocho</t>
  </si>
  <si>
    <t>https://www.munzee.com/m/Vanocho/784/</t>
  </si>
  <si>
    <t>https://www.munzee.com/m/babyw/3052/</t>
  </si>
  <si>
    <t>jldh</t>
  </si>
  <si>
    <t>https://www.munzee.com/m/jldh/2933/</t>
  </si>
  <si>
    <t>LtRangerBob</t>
  </si>
  <si>
    <t>https://www.munzee.com/m/LtRangerBob/2591/</t>
  </si>
  <si>
    <t>Lanyasummer</t>
  </si>
  <si>
    <t>https://www.munzee.com/m/Lanyasummer/4398/</t>
  </si>
  <si>
    <t>https://www.munzee.com/m/jldh/2934/</t>
  </si>
  <si>
    <t>https://www.munzee.com/m/LtRangerBob/2603/</t>
  </si>
  <si>
    <t>IXE13</t>
  </si>
  <si>
    <t>https://www.munzee.com/m/IXE13/186/</t>
  </si>
  <si>
    <t>https://www.munzee.com/m/TheFrog/4170/</t>
  </si>
  <si>
    <t>https://www.munzee.com/m/123xilef/6999/</t>
  </si>
  <si>
    <t>https://www.munzee.com/m/Lylmik/1495</t>
  </si>
  <si>
    <t>PinkBuldog</t>
  </si>
  <si>
    <t>https://www.munzee.com/m/PinkBulldog/2312/</t>
  </si>
  <si>
    <t>vanocho</t>
  </si>
  <si>
    <t>https://www.munzee.com/m/Vanocho/810/</t>
  </si>
  <si>
    <t>https://www.munzee.com/m/BoyBou/3904/</t>
  </si>
  <si>
    <t>https://www.munzee.com/m/Dazzle007/795/</t>
  </si>
  <si>
    <t>https://www.munzee.com/m/all0123/3912/</t>
  </si>
  <si>
    <t>https://www.munzee.com/m/barefootguru/3128/</t>
  </si>
  <si>
    <t>https://www.munzee.com/m/all0123/3932/</t>
  </si>
  <si>
    <t>https://www.munzee.com/m/belladivadee/3081</t>
  </si>
  <si>
    <t>https://www.munzee.com/m/Lylmik/1492</t>
  </si>
  <si>
    <t>https://www.munzee.com/m/Anetzet/2884/</t>
  </si>
  <si>
    <t>https://www.munzee.com/map/r7hfdck2e/17</t>
  </si>
  <si>
    <t>https://www.munzee.com/m/sverlaan/4123/</t>
  </si>
  <si>
    <t>https://www.munzee.com/m/EmileP68/2893/</t>
  </si>
  <si>
    <t>https://www.munzee.com/m/PawPatrolThomas/2194/</t>
  </si>
  <si>
    <t>https://www.munzee.com/m/BrotherWilliam/3878/</t>
  </si>
  <si>
    <t>https://www.munzee.com/m/ArtofEco/2900/</t>
  </si>
  <si>
    <t>https://www.munzee.com/m/Drazoria/718</t>
  </si>
  <si>
    <t>https://www.munzee.com/m/Tinake1309/713</t>
  </si>
  <si>
    <t>https://www.munzee.com/m/Niks13/518/</t>
  </si>
  <si>
    <t>https://www.munzee.com/m/Berg14/547</t>
  </si>
  <si>
    <t>https://www.munzee.com/m/J1Huisman/11140/</t>
  </si>
  <si>
    <t>https://www.munzee.com/m/Pinkeltje/982/</t>
  </si>
  <si>
    <t>https://www.munzee.com/m/JackSparrow/19460</t>
  </si>
  <si>
    <t>https://www.munzee.com/m/fsafranek/4191/</t>
  </si>
  <si>
    <t>https://www.munzee.com/m/Anetzet/2663/</t>
  </si>
  <si>
    <t>https://www.munzee.com/m/Lanyasummer/4065/</t>
  </si>
  <si>
    <t>https://www.munzee.com/m/babyw/3054/</t>
  </si>
  <si>
    <t>https://www.munzee.com/m/FromTheTardis/1354/</t>
  </si>
  <si>
    <t>https://www.munzee.com/m/Bambinacattiva/650</t>
  </si>
  <si>
    <t>https://www.munzee.com/m/lison55/5269/</t>
  </si>
  <si>
    <t>https://www.munzee.com/m/IggiePiggie/1789/</t>
  </si>
  <si>
    <t>https://www.munzee.com/m/Bambinacattiva/656</t>
  </si>
  <si>
    <t>https://www.munzee.com/m/5Star/5583/</t>
  </si>
  <si>
    <t>https://www.munzee.com/m/barefootguru/3114/</t>
  </si>
  <si>
    <t>https://www.munzee.com/m/WiseOldWizard/3961/</t>
  </si>
  <si>
    <t>https://www.munzee.com/m/GroteSufferd/367/</t>
  </si>
  <si>
    <t>https://www.munzee.com/m/xrayneex/1412/</t>
  </si>
  <si>
    <t>https://www.munzee.com/m/Aniara/6583/</t>
  </si>
  <si>
    <t>CBF600</t>
  </si>
  <si>
    <t>https://www.munzee.com/m/cbf600/2297/</t>
  </si>
  <si>
    <t>https://www.munzee.com/m/TheFatCats/3639/</t>
  </si>
  <si>
    <t>https://www.munzee.com/m/Franca/583/</t>
  </si>
  <si>
    <t>https://www.munzee.com/m/TeamSarton/935</t>
  </si>
  <si>
    <t>https://www.munzee.com/m/Bisquick2/4232</t>
  </si>
  <si>
    <t>https://www.munzee.com/m/TheFatCats/3866/</t>
  </si>
  <si>
    <t>https://www.munzee.com/m/BrotherWilliam/4138/</t>
  </si>
  <si>
    <t xml:space="preserve">Belladivadee </t>
  </si>
  <si>
    <t>https://www.munzee.com/m/belladivadee/2976</t>
  </si>
  <si>
    <t xml:space="preserve">Questing4 </t>
  </si>
  <si>
    <t>https://www.munzee.com/m/Questing4/7158</t>
  </si>
  <si>
    <t>https://www.munzee.com/m/Fossillady/3396/</t>
  </si>
  <si>
    <t>amundadus</t>
  </si>
  <si>
    <t>https://www.munzee.com/m/amundadus/1378</t>
  </si>
  <si>
    <t>https://www.munzee.com/m/BrotherWilliam/4143/</t>
  </si>
  <si>
    <t>https://www.munzee.com/m/Anetzet/2636/</t>
  </si>
  <si>
    <t>https://www.munzee.com/m/TheFrog/4146/</t>
  </si>
  <si>
    <t>https://www.munzee.com/m/123xilef/6653/</t>
  </si>
  <si>
    <t>https://www.munzee.com/m/Wangotango/1231</t>
  </si>
  <si>
    <t>https://www.munzee.com/m/EmileP68/3371/</t>
  </si>
  <si>
    <t>https://www.munzee.com/m/amadoreugen/5811</t>
  </si>
  <si>
    <t>https://www.munzee.com/m/Derlame/13403/</t>
  </si>
  <si>
    <t>https://www.munzee.com/m/sverlaan/4100/</t>
  </si>
  <si>
    <t>https://www.munzee.com/m/BartWullems/5613</t>
  </si>
  <si>
    <t>LadyAnneRaven</t>
  </si>
  <si>
    <t>https://www.Munzee.com/m/ladyanneraven/199/</t>
  </si>
  <si>
    <t>https://www.munzee.com/m/TheFatCats/3643/</t>
  </si>
  <si>
    <t>https://www.munzee.com/m/cbf600/2304/</t>
  </si>
  <si>
    <t>OdinFiRe</t>
  </si>
  <si>
    <t>https://www.munzee.com/m/OdinsFiRe/1534/</t>
  </si>
  <si>
    <t>https://www.munzee.com/m/barefootguru/6987/</t>
  </si>
  <si>
    <t>https://www.munzee.com/map/u311ncf5x/16</t>
  </si>
  <si>
    <t>http://www.munzee.com/m/belladivadee/3039</t>
  </si>
  <si>
    <t>https://www.munzee.com/m/sverlaan/4394/</t>
  </si>
  <si>
    <t>PawPatrolThomas</t>
  </si>
  <si>
    <t>https://www.munzee.com/m/PawPatrolThomas/2451/</t>
  </si>
  <si>
    <t>https://www.munzee.com/m/EmileP68/3155/</t>
  </si>
  <si>
    <t>drazoria</t>
  </si>
  <si>
    <t>https://www.munzee.com/m/Drazoria/761/</t>
  </si>
  <si>
    <t>tinake1309</t>
  </si>
  <si>
    <t>https://www.munzee.com/m/Tinake1309/754/</t>
  </si>
  <si>
    <t>niks13</t>
  </si>
  <si>
    <t>https://www.munzee.com/m/Niks13/581</t>
  </si>
  <si>
    <t>berg14</t>
  </si>
  <si>
    <t>https://www.munzee.com/m/Berg14/594/</t>
  </si>
  <si>
    <t>https://www.munzee.com/m/xrayneex/1398/</t>
  </si>
  <si>
    <t>https://www.munzee.com/m/fsafranek/4409/</t>
  </si>
  <si>
    <t>https://www.munzee.com/m/5Star/5839/</t>
  </si>
  <si>
    <t>https://www.munzee.com/m/TheFatCats/3465/</t>
  </si>
  <si>
    <t>https://www.munzee.com/m/OdinsFiRe/1637/</t>
  </si>
  <si>
    <t>24/8</t>
  </si>
  <si>
    <t>https://www.munzee.com/m/J1Huisman/11416/</t>
  </si>
  <si>
    <t>https://www.munzee.com/m/TheFatCats/3484/</t>
  </si>
  <si>
    <t>https://www.munzee.com/m/OdinsFiRe/1639/</t>
  </si>
  <si>
    <t>25/8</t>
  </si>
  <si>
    <t>https://www.munzee.com/m/Pinkeltje/1287/</t>
  </si>
  <si>
    <t>https://www.munzee.com/m/barefootguru/3144/</t>
  </si>
  <si>
    <t>https://www.munzee.com/m/Wangotango/1273</t>
  </si>
  <si>
    <t>https://www.munzee.com/m/IggiePiggie/1878/</t>
  </si>
  <si>
    <t>https://www.munzee.com/m/BrotherWilliam/4045/</t>
  </si>
  <si>
    <t>https://www.munzee.com/m/Anetzet/2878/</t>
  </si>
  <si>
    <t>https://www.munzee.com/m/WiseOldWizard/3991/</t>
  </si>
  <si>
    <t>https://www.munzee.com/m/ArtofEco/2978/</t>
  </si>
  <si>
    <t>https://www.munzee.com/m/Lanyasummer/4434/</t>
  </si>
  <si>
    <t>deploy today</t>
  </si>
  <si>
    <t>https://www.munzee.com/m/babyw/3127/</t>
  </si>
  <si>
    <t>https://www.munzee.com/m/lison55/5412</t>
  </si>
  <si>
    <t>https://www.munzee.com/m/cbf600/2411/</t>
  </si>
  <si>
    <t>https://www.munzee.com/m/FromTheTardis/1411/</t>
  </si>
  <si>
    <t>https://www.munzee.com/m/GroteSufferd/402/</t>
  </si>
  <si>
    <t>https://www.munzee.com/m/MeanderingMonkeys/17482</t>
  </si>
  <si>
    <t>https://www.munzee.com/m/BartWullems/5607</t>
  </si>
  <si>
    <t>https://www.munzee.com/m/Fossillady/3391</t>
  </si>
  <si>
    <t>https://www.munzee.com/m/Aniara/6946</t>
  </si>
  <si>
    <t>https://www.munzee.com/m/Bisquick2/4551/</t>
  </si>
  <si>
    <t>https://www.munzee.com/m/amadoreugen/5768</t>
  </si>
  <si>
    <t>denali407</t>
  </si>
  <si>
    <t>https://www.munzee.com/m/denali0407/14436/</t>
  </si>
  <si>
    <t>https://www.munzee.com/m/Krauseengineer/2428</t>
  </si>
  <si>
    <t>https://www.munzee.com/m/wally62/4432/</t>
  </si>
  <si>
    <t>Derlame</t>
  </si>
  <si>
    <t>https://www.munzee.com/m/Derlame/12633/</t>
  </si>
  <si>
    <t>https://www.munzee.com/m/TheFrog/4234/</t>
  </si>
  <si>
    <t>https://www.munzee.com/m/123xilef/6605/</t>
  </si>
  <si>
    <t>https://www.munzee.com/m/TheFatCats/3486/</t>
  </si>
  <si>
    <t>https://www.munzee.com/m/Bungle/3149</t>
  </si>
  <si>
    <t>https://www.munzee.com/m/mding4gold/4864</t>
  </si>
  <si>
    <t>https://www.munzee.com/m/fsafranek/4294/</t>
  </si>
  <si>
    <t>https://www.munzee.com/m/TheFatCats/3871/</t>
  </si>
  <si>
    <t>https://www.munzee.com/m/amadoreugen/5767</t>
  </si>
  <si>
    <t>https://www.munzee.com/m/GroteSufferd/487/</t>
  </si>
  <si>
    <t>BrotherWlliam</t>
  </si>
  <si>
    <t>https://www.munzee.com/m/BrotherWilliam/4277/</t>
  </si>
  <si>
    <t>https://www.munzee.com/m/ArtofEco/3081/</t>
  </si>
  <si>
    <t>https://www.munzee.com/m/Fossillady/3478</t>
  </si>
  <si>
    <t>https://www.munzee.com/m/TheFatCats/5094/</t>
  </si>
  <si>
    <t>https://www.munzee.com/map/9mvkbt7mq/16</t>
  </si>
  <si>
    <t>https://www.munzee.com/m/belladivadee/3147</t>
  </si>
  <si>
    <t>https://www.munzee.com/m/sverlaan/5176/</t>
  </si>
  <si>
    <t>https://www.munzee.com/m/PawPatrolThomas/2993/</t>
  </si>
  <si>
    <t>https://www.munzee.com/m/EmileP68/3528/</t>
  </si>
  <si>
    <t>https://www.munzee.com/m/BrotherWilliam/4292/</t>
  </si>
  <si>
    <t>https://www.munzee.com/m/ArtofEco/3118/</t>
  </si>
  <si>
    <t>https://www.munzee.com/m/J1Huisman/12030/</t>
  </si>
  <si>
    <t>https://www.munzee.com/m/fsafranek/4980/</t>
  </si>
  <si>
    <t>https://www.munzee.com/m/5Star/6176/</t>
  </si>
  <si>
    <t>https://www.munzee.com/m/Pinkeltje/1758/</t>
  </si>
  <si>
    <t>https://www.munzee.com/m/Drazoria/1015/</t>
  </si>
  <si>
    <t>https://www.munzee.com/m/Tinake1309/992/</t>
  </si>
  <si>
    <t>https://www.munzee.com/m/Berg14/759/</t>
  </si>
  <si>
    <t>https://www.munzee.com/m/Niks13/776</t>
  </si>
  <si>
    <t>https://www.munzee.com/m/TheFatCats/4516/</t>
  </si>
  <si>
    <t>KublaKhan</t>
  </si>
  <si>
    <t>https://www.munzee.com/m/KublaKhan/775/</t>
  </si>
  <si>
    <t>https://www.munzee.com/m/OdinsFiRe/1978/</t>
  </si>
  <si>
    <t>https://www.munzee.com/m/TheFatCats/4519/</t>
  </si>
  <si>
    <t>MurphyLM</t>
  </si>
  <si>
    <t>https://www.munzee.com/m/MurphyLM/173/</t>
  </si>
  <si>
    <t>https://www.munzee.com/m/xrayneex/1830/</t>
  </si>
  <si>
    <t>https://www.munzee.com/m/Fossillady/4019</t>
  </si>
  <si>
    <t>https://www.munzee.com/m/Anetzet/3560/</t>
  </si>
  <si>
    <t>https://www.munzee.com/m/GroteSufferd/533/</t>
  </si>
  <si>
    <t>https://www.munzee.com/m/lison55/5903/</t>
  </si>
  <si>
    <t>https://www.munzee.com/m/ArtofEco/3142/</t>
  </si>
  <si>
    <t>https://www.munzee.com/m/BrotherWilliam/4442/</t>
  </si>
  <si>
    <t>https://www.munzee.com/m/Trappertje/5605/</t>
  </si>
  <si>
    <t>https://www.munzee.com/m/cbf600/2670/</t>
  </si>
  <si>
    <t>Mallet75</t>
  </si>
  <si>
    <t>https://www.munzee.com/m/Mallet75/785/</t>
  </si>
  <si>
    <t>habu</t>
  </si>
  <si>
    <t>https://www.munzee.com/m/habu/11227/</t>
  </si>
  <si>
    <t>https://www.munzee.com/m/barefootguru/3277/</t>
  </si>
  <si>
    <t>mrsg9064</t>
  </si>
  <si>
    <t>https://www.munzee.com/m/mrsg9064/8544/</t>
  </si>
  <si>
    <t>https://www.munzee.com/m/xrayneex/1851/</t>
  </si>
  <si>
    <t>Mcpo</t>
  </si>
  <si>
    <t>https://www.munzee.com/m/Mcpo/166/</t>
  </si>
  <si>
    <t>https://www.munzee.com/m/Bisquick2/4811/</t>
  </si>
  <si>
    <t>https://www.munzee.com/m/TheFatCats/4525/</t>
  </si>
  <si>
    <t>https://www.munzee.com/m/KublaKhan/778/</t>
  </si>
  <si>
    <t>https://www.munzee.com/m/fsafranek/5167/</t>
  </si>
  <si>
    <t>https://www.munzee.com/m/TheFatCats/4564/</t>
  </si>
  <si>
    <t>https://www.munzee.com/m/KublaKhan/782/</t>
  </si>
  <si>
    <t>https://www.munzee.com/m/TheFrog/4758/</t>
  </si>
  <si>
    <t>https://www.munzee.com/m/123xilef/8621/</t>
  </si>
  <si>
    <t>FlatBlack</t>
  </si>
  <si>
    <t>https://www.munzee.com/m/FlatBlack/696</t>
  </si>
  <si>
    <t>https://www.munzee.com/m/Fossillady/3524</t>
  </si>
  <si>
    <t>WriteAndMane</t>
  </si>
  <si>
    <t>https://www.munzee.com/m/WriteAndMane/6449</t>
  </si>
  <si>
    <t>TeamTazmina</t>
  </si>
  <si>
    <t>https://www.munzee.com/m/TeamTazmina/1324/</t>
  </si>
  <si>
    <t>https://www.munzee.com/m/Wangotango/1667/</t>
  </si>
  <si>
    <t>https://www.munzee.com/m/Derlame/14917/</t>
  </si>
  <si>
    <t>dwyers5</t>
  </si>
  <si>
    <t>https://www.munzee.com/m/dwyers5/2575/</t>
  </si>
  <si>
    <t>https://www.munzee.com/m/habu/11226/</t>
  </si>
  <si>
    <t>https://www.munzee.com/m/mrsg9064/8547/</t>
  </si>
  <si>
    <t>https://www.munzee.com/m/xrayneex/1822/</t>
  </si>
  <si>
    <t>https://www.munzee.com/m/sverlaan/4312/</t>
  </si>
  <si>
    <t>https://www.munzee.com/map/9musx251z/17</t>
  </si>
  <si>
    <t>https://www.munzee.com/m/Andrew81/1325</t>
  </si>
  <si>
    <t>https://www.munzee.com/m/DHitz/3720/</t>
  </si>
  <si>
    <t>https://www.munzee.com/m/lison55/5132/</t>
  </si>
  <si>
    <t>https://www.munzee.com/m/fsafranek/3676/</t>
  </si>
  <si>
    <t>https://www.munzee.com/m/FromTheTardis/1300/</t>
  </si>
  <si>
    <t>https://www.munzee.com/m/Lanyasummer/4106/</t>
  </si>
  <si>
    <t>https://www.munzee.com/m/J1Huisman/11170/</t>
  </si>
  <si>
    <t>https://www.munzee.com/m/Bambinacattiva/699/</t>
  </si>
  <si>
    <t>https://www.munzee.com/m/Pinkeltje/1112/</t>
  </si>
  <si>
    <t>https://www.munzee.com/m/5Star/5637/</t>
  </si>
  <si>
    <t>https://www.munzee.com/m/sverlaan/4134/</t>
  </si>
  <si>
    <t>https://www.munzee.com/m/EmileP68/2917/</t>
  </si>
  <si>
    <t>https://www.munzee.com/m/PawPatrolThomas/2213/</t>
  </si>
  <si>
    <t>https://www.munzee.com/m/hoekraam/6630</t>
  </si>
  <si>
    <t>https://www.munzee.com/m/xrayneex/1314/</t>
  </si>
  <si>
    <t>https://www.munzee.com/m/BrotherWilliam/3859/</t>
  </si>
  <si>
    <t>https://www.munzee.com/m/hoekraam/6640/</t>
  </si>
  <si>
    <t>https://www.munzee.com/m/barefootguru/3091/</t>
  </si>
  <si>
    <t>https://www.munzee.com/m/Andrew81/1331</t>
  </si>
  <si>
    <t>https://www.munzee.com/m/IggiePiggie/1769/</t>
  </si>
  <si>
    <t>https://www.munzee.com/m/ArtofEco/2886/</t>
  </si>
  <si>
    <t>https://www.munzee.com/m/Anetzet/2523/</t>
  </si>
  <si>
    <t>https://www.munzee.com/m/babyw/2848/</t>
  </si>
  <si>
    <t>https://www.munzee.com/m/WiseOldWizard/3935/</t>
  </si>
  <si>
    <t>https://www.munzee.com/m/cbf600/2349/</t>
  </si>
  <si>
    <t>Lonelywalker</t>
  </si>
  <si>
    <t>https://www.munzee.com/m/LonelyWalker/412/</t>
  </si>
  <si>
    <t>https://www.munzee.com/m/Aniara/6512/</t>
  </si>
  <si>
    <t>https://www.munzee.com/m/Drazoria/657/</t>
  </si>
  <si>
    <t>https://www.munzee.com/m/Tinake1309/647/</t>
  </si>
  <si>
    <t xml:space="preserve">Berg14 </t>
  </si>
  <si>
    <t>https://www.munzee.com/m/Berg14/441/</t>
  </si>
  <si>
    <t>https://www.munzee.com/m/Niks13/411/</t>
  </si>
  <si>
    <t>https://www.munzee.com/m/Bambinacattiva/614</t>
  </si>
  <si>
    <t>https://www.munzee.com/m/amigoth2de/1661/</t>
  </si>
  <si>
    <t>https://www.munzee.com/m/GroteSufferd/306/</t>
  </si>
  <si>
    <t>https://www.munzee.com/m/hoekraam/6641/</t>
  </si>
  <si>
    <t>https://www.munzee.com/m/Questing4/7105</t>
  </si>
  <si>
    <t>rgforsythe</t>
  </si>
  <si>
    <t>https://www.munzee.com/m/rgforsythe/8522</t>
  </si>
  <si>
    <t>https://www.munzee.com/m/OdinsFiRe/1520</t>
  </si>
  <si>
    <t>RoxieMama</t>
  </si>
  <si>
    <t>https://www.munzee.com/m/roxiemama/142</t>
  </si>
  <si>
    <t>https://www.munzee.com/m/xrayneex/1310</t>
  </si>
  <si>
    <t>https://www.munzee.com/m/TheFrog/4047/</t>
  </si>
  <si>
    <t>https://www.munzee.com/m/123xilef/6734/</t>
  </si>
  <si>
    <t>https://www.munzee.com/m/Trappertje/4588/</t>
  </si>
  <si>
    <t>https://www.munzee.com/m/benotje/1340/</t>
  </si>
  <si>
    <t>https://www.munzee.com/m/fsafranek/4429/</t>
  </si>
  <si>
    <t xml:space="preserve">EmileP68 </t>
  </si>
  <si>
    <t>https://www.munzee.com/m/EmileP68/3093/</t>
  </si>
  <si>
    <t>PawParolThomas</t>
  </si>
  <si>
    <t>https://www.munzee.com/m/PawPatrolThomas/2392/</t>
  </si>
  <si>
    <t>https://www.munzee.com/m/sverlaan/4201/</t>
  </si>
  <si>
    <t>https://www.munzee.com/m/belladivadee/2951/</t>
  </si>
  <si>
    <t>https://www.munzee.com/m/Wangotango/1184/</t>
  </si>
  <si>
    <t>https://www.munzee.com/m/JackSparrow/19357</t>
  </si>
  <si>
    <t>https://www.munzee.com/m/Bisquick2/4005</t>
  </si>
  <si>
    <t>richardg01</t>
  </si>
  <si>
    <t>https://www.munzee.com/m/richardg01/5127/</t>
  </si>
  <si>
    <t>https://www.munzee.com/map/dpz0jxwqj/16.2</t>
  </si>
  <si>
    <t>https://www.munzee.com/m/Belladivadee/3180</t>
  </si>
  <si>
    <t>https://www.munzee.com/m/sverlaan/5335/</t>
  </si>
  <si>
    <t>https://www.munzee.com/m/PawPatrolThomas/3302/</t>
  </si>
  <si>
    <t>https://www.munzee.com/m/EmileP68/4066/</t>
  </si>
  <si>
    <t>https://www.munzee.com/m/Fossillady/4419</t>
  </si>
  <si>
    <t>https://www.munzee.com/m/xrayneex/2281/</t>
  </si>
  <si>
    <t>https://www.munzee.com/m/5Star/7451/</t>
  </si>
  <si>
    <t>https://www.munzee.com/m/lison55/6322/</t>
  </si>
  <si>
    <t>jwg68</t>
  </si>
  <si>
    <t>https://www.munzee.com/m/jwg68/1652/</t>
  </si>
  <si>
    <t>https://www.munzee.com/m/fsafranek/5302/</t>
  </si>
  <si>
    <t>https://www.munzee.com/m/Drazoria/1545/</t>
  </si>
  <si>
    <t>Tinale1309</t>
  </si>
  <si>
    <t>https://www.munzee.com/m/Tinake1309/1582/</t>
  </si>
  <si>
    <t>https://www.munzee.com/m/Berg14/1372/</t>
  </si>
  <si>
    <t>https://www.munzee.com/m/Niks13/1409/</t>
  </si>
  <si>
    <t>https://www.munzee.com/m/WetCoaster/4100/</t>
  </si>
  <si>
    <t>https://www.munzee.com/m/GroteSufferd/739/</t>
  </si>
  <si>
    <t>https://www.munzee.com/m/ArtofEco/3500/</t>
  </si>
  <si>
    <t>BrotherWiliam</t>
  </si>
  <si>
    <t>https://www.munzee.com/m/BrotherWilliam/4895/</t>
  </si>
  <si>
    <t>https://www.munzee.com/m/cbf600/3013/</t>
  </si>
  <si>
    <t>https://www.munzee.com/m/J1Huisman/14700/</t>
  </si>
  <si>
    <t>https://www.munzee.com/m/raunas/7130</t>
  </si>
  <si>
    <t>https://www.munzee.com/m/Anetzet/4281/</t>
  </si>
  <si>
    <t>https://www.munzee.com/m/lupo6/6880</t>
  </si>
  <si>
    <t>Reart</t>
  </si>
  <si>
    <t>https://www.munzee.com/m/Reart/917/</t>
  </si>
  <si>
    <t>https://www.munzee.com/m/OdinsFiRe/2019/</t>
  </si>
  <si>
    <t>https://www.munzee.com/m/cbf600/3018/</t>
  </si>
  <si>
    <t>https://www.munzee.com/m/WetCoaster/4112/</t>
  </si>
  <si>
    <t>TK2100</t>
  </si>
  <si>
    <t>https://www.munzee.com/m/TK2100/361</t>
  </si>
  <si>
    <t>orky99</t>
  </si>
  <si>
    <t>https://www.munzee.com/m/Orky99/3987/</t>
  </si>
  <si>
    <t>iScreamBIue</t>
  </si>
  <si>
    <t>https://www.munzee.com/m/iScreamBIue/2173</t>
  </si>
  <si>
    <t>kwd</t>
  </si>
  <si>
    <t>https://www.munzee.com/m/kwd/17268/</t>
  </si>
  <si>
    <t>https://www.munzee.com/m/Fossillady/4367</t>
  </si>
  <si>
    <t>https://www.munzee.com/m/FlatBlack/1142</t>
  </si>
  <si>
    <t>https://www.munzee.com/m/Orky99/3993/</t>
  </si>
  <si>
    <t>https://www.munzee.com/m/Bisquick2/5977/</t>
  </si>
  <si>
    <t>https://www.munzee.com/m/kwd/17267/</t>
  </si>
  <si>
    <t>https://www.munzee.com/m/richardg01/5080/</t>
  </si>
  <si>
    <t>StridentUK</t>
  </si>
  <si>
    <t>https://www.munzee.com/m/StridentUK/7256/</t>
  </si>
  <si>
    <t>TheaG</t>
  </si>
  <si>
    <t>https://www.munzee.com/m/TheaG/334/</t>
  </si>
  <si>
    <t>struwel</t>
  </si>
  <si>
    <t>https://www.munzee.com/m/struwel/20079</t>
  </si>
  <si>
    <t>https://www.munzee.com/m/richardg01/5079/</t>
  </si>
  <si>
    <t>https://www.munzee.com/m/123xilef/10961/</t>
  </si>
  <si>
    <t>Bouffe</t>
  </si>
  <si>
    <t>https://www.munzee.com/m/Bouffe/2619/</t>
  </si>
  <si>
    <t>Laura02</t>
  </si>
  <si>
    <t>https://www.munzee.com/m/Laura02/1227/</t>
  </si>
  <si>
    <t>https://www.munzee.com/m/lupo6/2715</t>
  </si>
  <si>
    <t>https://www.munzee.com/m/res2100/925</t>
  </si>
  <si>
    <t>https://www.munzee.com/m/Ellesche/872</t>
  </si>
  <si>
    <t>https://www.munzee.com/m/xrayneex/2367/</t>
  </si>
  <si>
    <t>https://www.munzee.com/m/Derlame/18660/</t>
  </si>
  <si>
    <t>https://www.munzee.com/m/barefootguru/3348/</t>
  </si>
  <si>
    <t>https://www.munzee.com/m/WetCoaster/4088/</t>
  </si>
  <si>
    <t>https://www.munzee.com/m/Bouffe/361/</t>
  </si>
  <si>
    <t>https://www.munzee.com/m/Fossillady/3681</t>
  </si>
  <si>
    <t>https://www.munzee.com/map/9mufvb12z/17</t>
  </si>
  <si>
    <t>https://www.munzee.com/m/OdinsFiRe/1563/</t>
  </si>
  <si>
    <t>https://www.munzee.com/m/sverlaan/4214/</t>
  </si>
  <si>
    <t>https://www.munzee.com/m/PawPatrolThomas/2281/</t>
  </si>
  <si>
    <t>https://www.munzee.com/m/TheFatCats/3747/</t>
  </si>
  <si>
    <t>https://www.munzee.com/m/lison55/5345/</t>
  </si>
  <si>
    <t>https://www.munzee.com/m/J1Huisman/11293/</t>
  </si>
  <si>
    <t>https://www.munzee.com/m/Pinkeltje/1205/</t>
  </si>
  <si>
    <t>https://www.munzee.com/m/xrayneex/1413/</t>
  </si>
  <si>
    <t>https://www.munzee.com/m/fsafranek/4430/</t>
  </si>
  <si>
    <t>https://www.munzee.com/m/Lanyasummer/4399/</t>
  </si>
  <si>
    <t>https://www.munzee.com/m/babyw/3118/</t>
  </si>
  <si>
    <t>https://www.munzee.com/m/fsafranek/4427/</t>
  </si>
  <si>
    <t>https://www.munzee.com/m/5Star/5758/</t>
  </si>
  <si>
    <t>https://www.munzee.com/m/BrotherWilliam/3946/</t>
  </si>
  <si>
    <t>https://www.munzee.com/m/ArtofEco/2969/</t>
  </si>
  <si>
    <t>https://www.munzee.com/m/Drazoria/754/</t>
  </si>
  <si>
    <t>https://www.munzee.com/m/Tinake1309/751/</t>
  </si>
  <si>
    <t>Berrg4</t>
  </si>
  <si>
    <t>https://www.munzee.com/m/Berg14/589/</t>
  </si>
  <si>
    <t>https://www.munzee.com/m/Niks13/557/</t>
  </si>
  <si>
    <t>https://www.munzee.com/m/all0123/3944/</t>
  </si>
  <si>
    <t xml:space="preserve">belladivadee </t>
  </si>
  <si>
    <t>https://www.munzee.com/m/belladivadee/3035</t>
  </si>
  <si>
    <t>https://www.munzee.com/m/Anetzet/2816/</t>
  </si>
  <si>
    <t>https://www.munzee.com/m/GroteSufferd/377/</t>
  </si>
  <si>
    <t>https://www.munzee.com/m/upapou/1011/</t>
  </si>
  <si>
    <t>https://www.munzee.com/m/KublaKhan/618/</t>
  </si>
  <si>
    <t>https://www.munzee.com/m/TheFatCats/3521/</t>
  </si>
  <si>
    <t>https://www.munzee.com/m/IggiePiggie/1877/</t>
  </si>
  <si>
    <t>https://www.munzee.com/m/cbf600/2406/</t>
  </si>
  <si>
    <t>https://www.munzee.com/m/TheFatCats/3499/</t>
  </si>
  <si>
    <t>https://www.munzee.com/m/MurphyLM/86/</t>
  </si>
  <si>
    <t>https://www.munzee.com/m/FromTheTardis/1410/</t>
  </si>
  <si>
    <t>Beermaven</t>
  </si>
  <si>
    <t>https://www.munzee.com/m/Beermaven/2916/</t>
  </si>
  <si>
    <t>https://www.munzee.com/m/MurphyLM/92/</t>
  </si>
  <si>
    <t>https://www.munzee.com/m/Trappertje/5069/</t>
  </si>
  <si>
    <t>https://www.munzee.com/m/BartWullems/5609</t>
  </si>
  <si>
    <t>https://www.munzee.com/m/Fossillady/3540</t>
  </si>
  <si>
    <t>https://www.munzee.com/m/WiseOldWizard/3984/</t>
  </si>
  <si>
    <t>szakica</t>
  </si>
  <si>
    <t>https://www.munzee.com/m/szakica/2030/</t>
  </si>
  <si>
    <t>https://www.munzee.com/m/Wangotango/1266</t>
  </si>
  <si>
    <t>mihul</t>
  </si>
  <si>
    <t>https://www.munzee.com/m/mihul/4344/</t>
  </si>
  <si>
    <t>https://www.munzee.com/m/TheFrog/4237/</t>
  </si>
  <si>
    <t>https://www.munzee.com/m/123xilef/7166/</t>
  </si>
  <si>
    <t>https://www.munzee.com/m/KublaKhan/640/</t>
  </si>
  <si>
    <t>https://www.munzee.com/m/FlatBlack/757</t>
  </si>
  <si>
    <t>Jawillia</t>
  </si>
  <si>
    <t>https://www.munzee.com/m/Jawillia/4385/</t>
  </si>
  <si>
    <t>https://www.munzee.com/m/KublaKhan/689/</t>
  </si>
  <si>
    <t>PennyCat</t>
  </si>
  <si>
    <t>https://www.munzee.com/m/PennyCat/136/</t>
  </si>
  <si>
    <t>https://www.munzee.com/m/barefootguru/3135/</t>
  </si>
  <si>
    <t>https://www.munzee.com/m/TheFatCats/3554/</t>
  </si>
  <si>
    <t>https://www.munzee.com/m/Aniara/6633/</t>
  </si>
  <si>
    <t>https://www.munzee.com/m/Fossillady/3677</t>
  </si>
  <si>
    <t>https://www.munzee.com/m/TheFatCats/3836/</t>
  </si>
  <si>
    <t>https://www.munzee.com/m/EmileP68/3214/</t>
  </si>
  <si>
    <t>https://www.munzee.com/map/u60ryyxww/16</t>
  </si>
  <si>
    <t>https://www.munzee.com/m/belladivadee/3272</t>
  </si>
  <si>
    <t>https://www.munzee.com/m/sverlaan/4638/</t>
  </si>
  <si>
    <t>https://www.munzee.com/m/PawPatrolThomas/3057/</t>
  </si>
  <si>
    <t>https://www.munzee.com/m/EmileP68/3334/</t>
  </si>
  <si>
    <t>https://www.munzee.com/m/ArtofEco/3060/</t>
  </si>
  <si>
    <t>https://www.munzee.com/m/BrotherWilliam/4125/</t>
  </si>
  <si>
    <t>https://www.munzee.com/m/babyw/3255/</t>
  </si>
  <si>
    <t>https://www.munzee.com/m/5Star/5979/</t>
  </si>
  <si>
    <t>https://www.munzee.com/m/cbf600/2867/</t>
  </si>
  <si>
    <t>https://www.munzee.com/m/fsafranek/4674/</t>
  </si>
  <si>
    <t>https://www.munzee.com/m/OdinsFiRe/1811/</t>
  </si>
  <si>
    <t>https://www.munzee.com/m/xrayneex/1552/</t>
  </si>
  <si>
    <t>https://www.munzee.com/m/Aniara/6952</t>
  </si>
  <si>
    <t>https://www.munzee.com/m/Drazoria/848/</t>
  </si>
  <si>
    <t>https://www.munzee.com/m/Tinake1309/851/</t>
  </si>
  <si>
    <t>https://www.munzee.com/m/Berg14/654/</t>
  </si>
  <si>
    <t>https://www.munzee.com/m/Niks13/636/</t>
  </si>
  <si>
    <t>https://www.munzee.com/m/Anetzet/3159/</t>
  </si>
  <si>
    <t>https://www.munzee.com/m/barefootguru/3197/</t>
  </si>
  <si>
    <t>https://www.munzee.com/m/GroteSufferd/441/</t>
  </si>
  <si>
    <t>https://www.munzee.com/m/J1Huisman/11792/</t>
  </si>
  <si>
    <t>https://www.munzee.com/m/EmileP68/4051/</t>
  </si>
  <si>
    <t>https://www.munzee.com/m/ArtofEco/3061/</t>
  </si>
  <si>
    <t>https://www.munzee.com/m/Aniara/6951/</t>
  </si>
  <si>
    <t>https://www.munzee.com/m/BrotherWilliam/4236/</t>
  </si>
  <si>
    <t>https://www.munzee.com/m/Derlame/13443/</t>
  </si>
  <si>
    <t>GeodudeDK</t>
  </si>
  <si>
    <t>https://www.munzee.com/m/GeodudeDK/3403/</t>
  </si>
  <si>
    <t>https://www.munzee.com/m/cbf600/2539/</t>
  </si>
  <si>
    <t>https://www.munzee.com/m/lison55/5523/</t>
  </si>
  <si>
    <t>https://www.munzee.com/m/Bisquick2/4560/</t>
  </si>
  <si>
    <t>https://www.munzee.com/m/GeodudeDK/3404/</t>
  </si>
  <si>
    <t>https://www.munzee.com/m/Pinkeltje/1537/</t>
  </si>
  <si>
    <t>https://www.munzee.com/m/amadoreugen/5826</t>
  </si>
  <si>
    <t>https://www.munzee.com/m/cbf600/2647/</t>
  </si>
  <si>
    <t>https://www.munzee.com/m/fsafranek/4760/</t>
  </si>
  <si>
    <t>https://www.munzee.com/m/Fossillady/3447</t>
  </si>
  <si>
    <t>https://www.munzee.com/m/IggiePiggie/2127/</t>
  </si>
  <si>
    <t>https://www.munzee.com/m/BrotherWilliam/4289/</t>
  </si>
  <si>
    <t>https://www.munzee.com/m/mding4gold/4985</t>
  </si>
  <si>
    <t>https://www.munzee.com/m/xrayneex/1549/</t>
  </si>
  <si>
    <t>https://www.munzee.com/m/TheFrog/5203/</t>
  </si>
  <si>
    <t>https://www.munzee.com/m/123xilef/7722/</t>
  </si>
  <si>
    <t>https://www.munzee.com/m/amadoreugen/5842</t>
  </si>
  <si>
    <t>https://www.munzee.com/m/Mallet75/781/</t>
  </si>
  <si>
    <t>https://www.munzee.com/m/Trappertje/5521/</t>
  </si>
  <si>
    <t>https://www.munzee.com/m/PawPatrolThomas/2089/</t>
  </si>
  <si>
    <t>https://www.munzee.com/m/Wangotango/1644</t>
  </si>
  <si>
    <t>https://www.munzee.com/m/EmileP68/2790/</t>
  </si>
  <si>
    <t>https://www.munzee.com/m/sverlaan/3886/</t>
  </si>
  <si>
    <t>https://www.munzee.com/m/Aniara/6947/</t>
  </si>
  <si>
    <t>https://www.munzee.com/m/wally62/4468/</t>
  </si>
  <si>
    <t>https://www.munzee.com/m/amadoreugen/5994</t>
  </si>
  <si>
    <t>https://www.munzee.com/m/123xilef/7248/</t>
  </si>
  <si>
    <t>https://www.munzee.com/map/u15rfnjj9/16</t>
  </si>
  <si>
    <t>https://www.munzee.com/m/hoekraam/9011/</t>
  </si>
  <si>
    <t>BambinaCattiva</t>
  </si>
  <si>
    <t>https://www.munzee.com/m/Bambinacattiva/663/</t>
  </si>
  <si>
    <t>https://www.munzee.com/m/babyw/3051/</t>
  </si>
  <si>
    <t>https://www.munzee.com/m/Lanyasummer/4367/</t>
  </si>
  <si>
    <t>https://www.munzee.com/m/sverlaan/4185/</t>
  </si>
  <si>
    <t>https://www.munzee.com/m/PawPatrolThomas/2271/</t>
  </si>
  <si>
    <t>https://www.munzee.com/m/EmileP68/2964/</t>
  </si>
  <si>
    <t>https://www.munzee.com/m/belladivadee/3025</t>
  </si>
  <si>
    <t>https://www.munzee.com/m/hoekraam/8962/</t>
  </si>
  <si>
    <t>https://www.munzee.com/m/lison55/5298</t>
  </si>
  <si>
    <t>https://www.munzee.com/m/Drazoria/742/</t>
  </si>
  <si>
    <t>https://www.munzee.com/m/Tinake1309/729/</t>
  </si>
  <si>
    <t>https://www.munzee.com/m/Berg14/566</t>
  </si>
  <si>
    <t>https://www.munzee.com/m/Niks13/544/</t>
  </si>
  <si>
    <t>https://www.munzee.com/m/Derlame/12250/</t>
  </si>
  <si>
    <t>https://www.munzee.com/m/barefootguru/3130/</t>
  </si>
  <si>
    <t>https://www.munzee.com/m/JackSparrow/19712</t>
  </si>
  <si>
    <t>https://www.munzee.com/m/GroteSufferd/322/</t>
  </si>
  <si>
    <t>https://www.munzee.com/m/fsafranek/4154/</t>
  </si>
  <si>
    <t>https://www.munzee.com/m/FromTheTardis/1375/</t>
  </si>
  <si>
    <t>https://www.munzee.com/m/J1Huisman/11303/</t>
  </si>
  <si>
    <t>https://www.munzee.com/m/BrotherWilliam/3921/</t>
  </si>
  <si>
    <t>https://www.munzee.com/m/ArtofEco/2958/</t>
  </si>
  <si>
    <t>https://www.munzee.com/m/5Star/5741/</t>
  </si>
  <si>
    <t xml:space="preserve">https://www.munzee.com/m/Pinkeltje/1215/ </t>
  </si>
  <si>
    <t>https://www.munzee.com/m/xrayneex/1415/</t>
  </si>
  <si>
    <t>ruud-1987</t>
  </si>
  <si>
    <t>https://www.munzee.com/m/ruud-1987/1472</t>
  </si>
  <si>
    <t>https://www.munzee.com/m/cbf600/2387/</t>
  </si>
  <si>
    <t xml:space="preserve">Franca </t>
  </si>
  <si>
    <t>https://www.munzee.com/m/Franca/708/</t>
  </si>
  <si>
    <t>https://www.munzee.com/m/upapou/1009/</t>
  </si>
  <si>
    <t>MunziMeg</t>
  </si>
  <si>
    <t>https://www.munzee.com/m/MunziMeg/4472/</t>
  </si>
  <si>
    <t>https://www.munzee.com/m/all0123/3940/</t>
  </si>
  <si>
    <t>https://www.munzee.com/m/WiseOldWizard/3979/</t>
  </si>
  <si>
    <t>https://www.munzee.com/m/Anetzet/2771/</t>
  </si>
  <si>
    <t>Rholierhoek</t>
  </si>
  <si>
    <t>https://www.munzee.com/m/rholierhoek/973</t>
  </si>
  <si>
    <t>https://www.munzee.com/m/TheFatCats/3604/</t>
  </si>
  <si>
    <t>ArchieRuby</t>
  </si>
  <si>
    <t>https://www.munzee.com/m/ArchieRuby/545/</t>
  </si>
  <si>
    <t>https://www.munzee.com/m/123xilef/6884/</t>
  </si>
  <si>
    <t>https://www.munzee.com/m/rholierhoek/986/</t>
  </si>
  <si>
    <t>https://www.munzee.com/m/IggiePiggie/1850/</t>
  </si>
  <si>
    <t>https://www.munzee.com/m/TheFrog/4204/</t>
  </si>
  <si>
    <t>https://www.munzee.com/m/123xilef/7019/</t>
  </si>
  <si>
    <t>https://www.munzee.com/m/BrotherWilliam/4072/</t>
  </si>
  <si>
    <t>https://www.munzee.com/m/Aniara/6620/</t>
  </si>
  <si>
    <t>artofmunzeeing</t>
  </si>
  <si>
    <t>https://www.munzee.com/m/artofmunzeeing/3829/</t>
  </si>
  <si>
    <t>https://www.munzee.com/m/Wangotango/1247</t>
  </si>
  <si>
    <t>https://www.munzee.com/m/TheFatCats/3632/</t>
  </si>
  <si>
    <t>https://www.munzee.com/m/artofmunzeeing/3830/</t>
  </si>
  <si>
    <t>https://www.munzee.com/m/Franca/703/</t>
  </si>
  <si>
    <t>https://www.munzee.com/m/Anetzet/2877/</t>
  </si>
  <si>
    <t>https://www.munzee.com/m/MunziMeg/4448/</t>
  </si>
  <si>
    <t>https://www.munzee.com/m/OdinsFiRe/1535</t>
  </si>
  <si>
    <t>https://www.munzee.com/m/123xilef/22470/</t>
  </si>
  <si>
    <t>https://www.munzee.com/map/u1kwvu0c1/15</t>
  </si>
  <si>
    <t>https://www.munzee.com/m/belladivadee/3257</t>
  </si>
  <si>
    <t>https://www.munzee.com/m/sverlaan/6285/</t>
  </si>
  <si>
    <t>https://www.munzee.com/m/EmileP68/5152/</t>
  </si>
  <si>
    <t>https://www.munzee.com/m/PawPatrolThomas/4306/</t>
  </si>
  <si>
    <t>https://www.munzee.com/m/BrotherWilliam/5243/</t>
  </si>
  <si>
    <t>https://www.munzee.com/m/ArtofEco/3544/</t>
  </si>
  <si>
    <t>https://www.munzee.com/m/J1Huisman/13765/</t>
  </si>
  <si>
    <t>https://www.munzee.com/m/lison55/8395/</t>
  </si>
  <si>
    <t>https://www.munzee.com/m/fsafranek/5467/</t>
  </si>
  <si>
    <t>https://www.munzee.com/m/barefootguru/3384/</t>
  </si>
  <si>
    <t>https://www.munzee.com/m/Ellesche/828</t>
  </si>
  <si>
    <t>https://www.munzee.com/m/res2100/873/</t>
  </si>
  <si>
    <t>https://www.munzee.com/m/rita85gto/3821/</t>
  </si>
  <si>
    <t>https://www.munzee.com/m/xrayneex/2322/</t>
  </si>
  <si>
    <t>https://www.munzee.com/m/Drazoria/1603/</t>
  </si>
  <si>
    <t>https://www.munzee.com/m/Tinake1309/1619/</t>
  </si>
  <si>
    <t>https://www.munzee.com/m/Berg14/1539/</t>
  </si>
  <si>
    <t>https://www.munzee.com/m/Niks13/1488/</t>
  </si>
  <si>
    <t>https://www.munzee.com/m/Franca/2026/</t>
  </si>
  <si>
    <t>https://www.munzee.com/m/lupo6/6815</t>
  </si>
  <si>
    <t>https://www.munzee.com/m/OdinsFiRe/2059/</t>
  </si>
  <si>
    <t>https://www.munzee.com/m/Anetzet/4670/</t>
  </si>
  <si>
    <t>Amundadus</t>
  </si>
  <si>
    <t>https://www.munzee.com/m/amundadus/1562/</t>
  </si>
  <si>
    <t>https://www.munzee.com/m/Arendsoog/8494</t>
  </si>
  <si>
    <t>https://www.munzee.com/m/Anseldelux/1559/</t>
  </si>
  <si>
    <t>https://www.munzee.com/m/djeagle/7403/</t>
  </si>
  <si>
    <t>McCormick64</t>
  </si>
  <si>
    <t>https://www.munzee.com/m/McCormick64/267/</t>
  </si>
  <si>
    <t>https://www.munzee.com/m/cbf600/3730/</t>
  </si>
  <si>
    <t>https://www.munzee.com/m/Arendsoog/8502/</t>
  </si>
  <si>
    <t>https://www.munzee.com/m/Anseldelux/1271/</t>
  </si>
  <si>
    <t>Rudydennis</t>
  </si>
  <si>
    <t>http://www.munzee.com/m/Rudydennis/868</t>
  </si>
  <si>
    <t>https://www.munzee.com/m/crscousins/7149/</t>
  </si>
  <si>
    <t>https://www.munzee.com/m/Anetzet/6094/</t>
  </si>
  <si>
    <t>https://www.munzee.com/m/sverlaan/7200/</t>
  </si>
  <si>
    <t>https://www.munzee.com/m/Bisquick2/7126/</t>
  </si>
  <si>
    <t>https://www.munzee.com/m/wally62/5729/</t>
  </si>
  <si>
    <t>https://www.munzee.com/m/djeagle/7363/</t>
  </si>
  <si>
    <t>https://www.munzee.com/m/Franca/3143/</t>
  </si>
  <si>
    <t>https://www.munzee.com/m/Girlteddy5/110/</t>
  </si>
  <si>
    <t>https://www.munzee.com/m/MeanderingMonkeys/22568/</t>
  </si>
  <si>
    <t>https://www.munzee.com/m/TheFrog/5822/</t>
  </si>
  <si>
    <t>https://www.munzee.com/m/123xilef/13723/</t>
  </si>
  <si>
    <t>https://www.munzee.com/m/Anetzet/4998/</t>
  </si>
  <si>
    <t xml:space="preserve">Amundadus </t>
  </si>
  <si>
    <t>https://www.munzee.com/m/amundadus/1541/</t>
  </si>
  <si>
    <t>https://www.munzee.com/m/sverlaan/7197/</t>
  </si>
  <si>
    <t>Chaotix</t>
  </si>
  <si>
    <t>https://www.munzee.com/m/Chaotix/578/</t>
  </si>
  <si>
    <t>https://www.munzee.com/m/djeagle/7361/</t>
  </si>
  <si>
    <t>https://www.munzee.com/m/McCormick64/1455/</t>
  </si>
  <si>
    <t>https://www.munzee.com/m/5Star/9439/</t>
  </si>
  <si>
    <t>https://www.munzee.com/m/Arendsoog/8816/</t>
  </si>
  <si>
    <t>https://www.munzee.com/m/Anetzet/7207/</t>
  </si>
  <si>
    <t>https://www.munzee.com/m/Anseldelux/1270/</t>
  </si>
  <si>
    <t>https://www.munzee.com/m/Anetzet/3370/</t>
  </si>
  <si>
    <t>https://www.munzee.com/map/u173d4ybd/16</t>
  </si>
  <si>
    <t>https://www.munzee.com/m/TheFatCats/4276/</t>
  </si>
  <si>
    <t>https://www.munzee.com/m/sverlaan/4631/</t>
  </si>
  <si>
    <t>https://www.munzee.com/m/PawPatrolThomas/2678/</t>
  </si>
  <si>
    <t>https://www.munzee.com/m/EmileP68/3358/</t>
  </si>
  <si>
    <t>https://www.munzee.com/m/amundadus/747/</t>
  </si>
  <si>
    <t>https://www.munzee.com/m/J1Huisman/11801/</t>
  </si>
  <si>
    <t>https://www.munzee.com/m/amadoreugen/5799/</t>
  </si>
  <si>
    <t>https://www.munzee.com/m/Anetzet/3334/</t>
  </si>
  <si>
    <t>https://www.munzee.com/m/xrayneex/1673/</t>
  </si>
  <si>
    <t>https://www.munzee.com/m/5Star/6065/</t>
  </si>
  <si>
    <t>https://www.munzee.com/m/Drazoria/999/</t>
  </si>
  <si>
    <t>https://www.munzee.com/m/Tinake1309/947/</t>
  </si>
  <si>
    <t>https://www.munzee.com/m/Berg14/686/</t>
  </si>
  <si>
    <t>https://www.munzee.com/m/Niks13/645/</t>
  </si>
  <si>
    <t>Grote Sufferd</t>
  </si>
  <si>
    <t>https://www.munzee.com/m/GroteSufferd/462/</t>
  </si>
  <si>
    <t>https://www.munzee.com/m/MariaHTJ/9062/</t>
  </si>
  <si>
    <t>https://www.munzee.com/m/fsafranek/4840/</t>
  </si>
  <si>
    <t>https://www.munzee.com/m/amundadus/1508/</t>
  </si>
  <si>
    <t>Brother William</t>
  </si>
  <si>
    <t>https://www.munzee.com/m/BrotherWilliam/4250/</t>
  </si>
  <si>
    <t>https://www.munzee.com/m/ArtofEco/3063/</t>
  </si>
  <si>
    <t>https://www.munzee.com/m/Krauseengineer/2483</t>
  </si>
  <si>
    <t>https://www.munzee.com/m/Fossillady/3491</t>
  </si>
  <si>
    <t>https://www.munzee.com/m/TheFatCats/4310/</t>
  </si>
  <si>
    <t>https://www.munzee.com/m/OdinsFiRe/1933/</t>
  </si>
  <si>
    <t>https://www.munzee.com/m/belladivadee/3115/</t>
  </si>
  <si>
    <t>https://www.munzee.com/m/Wangotango/1441</t>
  </si>
  <si>
    <t>https://www.munzee.com/m/amadoreugen/5824</t>
  </si>
  <si>
    <t>https://www.munzee.com/m/cbf600/2575/</t>
  </si>
  <si>
    <t>https://www.munzee.com/m/amundadus/1132/</t>
  </si>
  <si>
    <t>https://www.munzee.com/m/lison55/5748/</t>
  </si>
  <si>
    <t>https://www.munzee.com/m/Trappertje/5428/</t>
  </si>
  <si>
    <t>https://www.munzee.com/m/BrotherWilliam/4896/</t>
  </si>
  <si>
    <t>https://www.munzee.com/m/wally62/4917/</t>
  </si>
  <si>
    <t>https://www.munzee.com/m/cbf600/2662/</t>
  </si>
  <si>
    <t>https://www.munzee.com/m/Bisquick2/4734/</t>
  </si>
  <si>
    <t>https://www.munzee.com/m/Anetzet/3347/</t>
  </si>
  <si>
    <t>https://www.munzee.com/m/xrayneex/1119/</t>
  </si>
  <si>
    <t>https://www.munzee.com/m/Aniara/7897</t>
  </si>
  <si>
    <t>https://www.munzee.com/m/res2100/767</t>
  </si>
  <si>
    <t>https://www.munzee.com/m/mding4gold/4984</t>
  </si>
  <si>
    <t>https://www.munzee.com/m/TheFrog/4708/</t>
  </si>
  <si>
    <t>https://www.munzee.com/m/123xilef/8091/</t>
  </si>
  <si>
    <t>https://www.munzee.com/m/BrotherWilliam/4911/</t>
  </si>
  <si>
    <t>floridafinder2</t>
  </si>
  <si>
    <t>https://www.munzee.com/m/floridafinder2/7296/</t>
  </si>
  <si>
    <t>https://www.munzee.com/m/Franca/1966/</t>
  </si>
  <si>
    <t>https://www.munzee.com/m/TheFatCats/4323/</t>
  </si>
  <si>
    <t>https://www.munzee.com/m/PcLocator/4255/</t>
  </si>
  <si>
    <t>https://www.munzee.com/m/barefootguru/3251/</t>
  </si>
  <si>
    <t>https://www.munzee.com/m/Derlame/18479/</t>
  </si>
  <si>
    <t>https://www.munzee.com/m/MariaHTJ/9063/</t>
  </si>
  <si>
    <t>https://www.munzee.com/m/amundadus/1408/</t>
  </si>
  <si>
    <t>https://www.munzee.com/m/Anetzet/3321/</t>
  </si>
  <si>
    <t>McKinney</t>
  </si>
  <si>
    <t>https://www.munzee.com/m/sverlaan/4442/</t>
  </si>
  <si>
    <t>https://www.munzee.com/map/9vgkbm7sg/15.9</t>
  </si>
  <si>
    <t>https://www.munzee.com/m/belladivadee/3040</t>
  </si>
  <si>
    <t>https://www.munzee.com/m/sverlaan/4346/</t>
  </si>
  <si>
    <t>https://www.munzee.com/m/PawPatrolThomas/2441/</t>
  </si>
  <si>
    <t>https://www.munzee.com/m/EmileP68/3141/</t>
  </si>
  <si>
    <t>https://www.munzee.com/m/OdinsFiRe/1646/</t>
  </si>
  <si>
    <t>27/8</t>
  </si>
  <si>
    <t>https://www.munzee.com/m/Drazoria/838/</t>
  </si>
  <si>
    <t>https://www.munzee.com/m/Tinake1309/793/</t>
  </si>
  <si>
    <t>https://www.munzee.com/m/Berg14/637/</t>
  </si>
  <si>
    <t>Niks14</t>
  </si>
  <si>
    <t>https://www.munzee.com/m/Niks13/612/</t>
  </si>
  <si>
    <t>https://www.munzee.com/m/fsafranek/4203/</t>
  </si>
  <si>
    <t>https://www.munzee.com/m/babyw/3177/</t>
  </si>
  <si>
    <t>https://www.munzee.com/m/artofmunzeeing/3952/</t>
  </si>
  <si>
    <t>https://www.munzee.com/m/Lanyasummer/4472/</t>
  </si>
  <si>
    <t>https://www.munzee.com/m/BrotherWilliam/4080/</t>
  </si>
  <si>
    <t>https://www.munzee.com/m/ArtofEco/3022/</t>
  </si>
  <si>
    <t>https://www.munzee.com/m/TheFatCats/3645/</t>
  </si>
  <si>
    <t>https://www.munzee.com/m/WiseOldWizard/4044/</t>
  </si>
  <si>
    <t>https://www.munzee.com/m/Derlame/12889/</t>
  </si>
  <si>
    <t>https://www.munzee.com/m/TheFatCats/3671/</t>
  </si>
  <si>
    <t>https://www.munzee.com/m/fsafranek/4124/</t>
  </si>
  <si>
    <t>https://www.munzee.com/m/Franca/835/</t>
  </si>
  <si>
    <t>3 sept</t>
  </si>
  <si>
    <t>https://www.munzee.com/m/Anetzet/2597/</t>
  </si>
  <si>
    <t>https://www.munzee.com/m/MunziMeg/4588/</t>
  </si>
  <si>
    <t>https://www.munzee.com/m/IggiePiggie/1972/</t>
  </si>
  <si>
    <t>https://www.munzee.com/m/denali0407/14438/</t>
  </si>
  <si>
    <t>https://www.munzee.com/m/halizwein/11587/</t>
  </si>
  <si>
    <t>https://www.munzee.com/m/5Star/4694/</t>
  </si>
  <si>
    <t>https://www.munzee.com/m/cbf600/2472/</t>
  </si>
  <si>
    <t>https://www.munzee.com/m/Fossillady/3696</t>
  </si>
  <si>
    <t>https://www.munzee.com/m/FlatBlack/681/</t>
  </si>
  <si>
    <t>https://www.munzee.com/m/jwg68/1308/</t>
  </si>
  <si>
    <t>https://www.munzee.com/m/artofmunzeeing/3946/</t>
  </si>
  <si>
    <t>https://www.munzee.com/m/lison55/5448/</t>
  </si>
  <si>
    <t>https://www.munzee.com/m/FromTheTardis/1434/</t>
  </si>
  <si>
    <t>https://www.munzee.com/m/J1Huisman/11481/</t>
  </si>
  <si>
    <t>https://www.munzee.com/m/barefootguru/3162/</t>
  </si>
  <si>
    <t>https://www.munzee.com/m/GroteSufferd/421/</t>
  </si>
  <si>
    <t>https://www.munzee.com/m/Aniara/6743/</t>
  </si>
  <si>
    <t>https://www.munzee.com/m/Pinkeltje/1343/</t>
  </si>
  <si>
    <t>https://www.munzee.com/m/xrayneex/1433/</t>
  </si>
  <si>
    <t>https://www.munzee.com/m/TheFrog/4300/</t>
  </si>
  <si>
    <t>https://www.munzee.com/m/123xilef/7305/</t>
  </si>
  <si>
    <t>https://www.munzee.com/m/TheFatCats/3673/</t>
  </si>
  <si>
    <t>https://www.munzee.com/m/MunziMeg/4585/</t>
  </si>
  <si>
    <t>https://www.munzee.com/m/BartWullems/5616</t>
  </si>
  <si>
    <t>https://www.munzee.com/m/roughdraft/8732/</t>
  </si>
  <si>
    <t>https://www.munzee.com/m/Trappertje/5041/</t>
  </si>
  <si>
    <t>https://www.munzee.com/m/MeanderingMonkeys/17481</t>
  </si>
  <si>
    <t>https://www.munzee.com/m/sverlaan/4409/</t>
  </si>
  <si>
    <t>gwendy</t>
  </si>
  <si>
    <t>https://www.munzee.com/m/gwendy/1189/</t>
  </si>
  <si>
    <t>https://www.munzee.com/m/fsafranek/4178/</t>
  </si>
  <si>
    <t>https://www.munzee.com/m/TheFatCats/3681/</t>
  </si>
  <si>
    <t>https://www.munzee.com/m/JackSparrow/21923/</t>
  </si>
  <si>
    <t>https://www.munzee.com/map/r7hv8p6c2/16</t>
  </si>
  <si>
    <t>https://www.munzee.com/m/belladivadee/3153/</t>
  </si>
  <si>
    <t>https://www.munzee.com/m/sverlaan/4408/</t>
  </si>
  <si>
    <t>https://www.munzee.com/m/PawPatrolThomas/2470/</t>
  </si>
  <si>
    <t>https://www.munzee.com/m/EmileP68/3167/</t>
  </si>
  <si>
    <t>https://www.munzee.com/m/Drazoria/847/</t>
  </si>
  <si>
    <t>https://www.munzee.com/m/Tinake1309/826/</t>
  </si>
  <si>
    <t>https://www.munzee.com/m/Berg14/642/</t>
  </si>
  <si>
    <t>https://www.munzee.com/m/Niks13/619/</t>
  </si>
  <si>
    <t>https://www.munzee.com/m/J1Huisman/11452/</t>
  </si>
  <si>
    <t>deploy 9/15</t>
  </si>
  <si>
    <t>https://www.munzee.com/m/Pinkeltje/1128/</t>
  </si>
  <si>
    <t>https://www.munzee.com/m/xrayneex/1503/</t>
  </si>
  <si>
    <t>https://www.munzee.com/m/fsafranek/4160/</t>
  </si>
  <si>
    <t>https://www.munzee.com/m/Lanyasummer/4462/</t>
  </si>
  <si>
    <t>https://www.munzee.com/m/babyw/3253/</t>
  </si>
  <si>
    <t>https://www.munzee.com/m/lison55/5479/</t>
  </si>
  <si>
    <t>https://www.munzee.com/m/OdinsFiRe/1809/</t>
  </si>
  <si>
    <t>22/9</t>
  </si>
  <si>
    <t>https://www.munzee.com/m/BartWullems/5605</t>
  </si>
  <si>
    <t>https://www.munzee.com/m/FromTheTardis/1440/</t>
  </si>
  <si>
    <t>https://www.munzee.com/m/GroteSufferd/432/</t>
  </si>
  <si>
    <t>why is this White?</t>
  </si>
  <si>
    <t>https://www.munzee.com/m/TheFatCats/3915/</t>
  </si>
  <si>
    <t>https://www.munzee.com/m/amadoreugen/5828</t>
  </si>
  <si>
    <t>https://www.munzee.com/m/Anetzet/2951/</t>
  </si>
  <si>
    <t>https://www.munzee.com/m/TheFatCats/3929/</t>
  </si>
  <si>
    <t>https://www.munzee.com/m/WiseOldWizard/4047/</t>
  </si>
  <si>
    <t>https://www.munzee.com/m/BrotherWilliam/4100/</t>
  </si>
  <si>
    <t>https://www.munzee.com/m/ArtofEco/3047/</t>
  </si>
  <si>
    <t>https://www.munzee.com/m/Wangotango/1366/</t>
  </si>
  <si>
    <t>https://www.munzee.com/m/cbf600/2507/</t>
  </si>
  <si>
    <t>https://www.munzee.com/m/IggiePiggie/2109/</t>
  </si>
  <si>
    <t>https://www.munzee.com/m/Fossillady/3471/</t>
  </si>
  <si>
    <t>https://www.munzee.com/m/Trappertje/5488/</t>
  </si>
  <si>
    <t>https://www.munzee.com/m/mding4gold/4867</t>
  </si>
  <si>
    <t>https://www.munzee.com/m/cbf600/2646/</t>
  </si>
  <si>
    <t>https://www.munzee.com/m/sverlaan/5175/</t>
  </si>
  <si>
    <t>https://www.munzee.com/m/Bisquick2/4559/</t>
  </si>
  <si>
    <t>https://www.munzee.com/m/sverlaan/5026/</t>
  </si>
  <si>
    <t>https://www.munzee.com/m/FlatBlack/966</t>
  </si>
  <si>
    <t>https://www.munzee.com/m/PawPatrolThomas/2082/</t>
  </si>
  <si>
    <t>https://www.munzee.com/m/sverlaan/3887/</t>
  </si>
  <si>
    <t>https://www.munzee.com/m/amadoreugen/5827</t>
  </si>
  <si>
    <t>https://www.munzee.com/m/TheFrog/4457/</t>
  </si>
  <si>
    <t>https://www.munzee.com/m/123xilef/6997/</t>
  </si>
  <si>
    <t>https://www.munzee.com/m/TheFatCats/3942/</t>
  </si>
  <si>
    <t>https://www.munzee.com/m/BrotherWilliam/4280/</t>
  </si>
  <si>
    <t>https://www.munzee.com/m/ArtofEco/3116/</t>
  </si>
  <si>
    <t>https://www.munzee.com/m/TheFatCats/3948/</t>
  </si>
  <si>
    <t>djsmith</t>
  </si>
  <si>
    <t>https://www.munzee.com/m/DJSmith/7277/</t>
  </si>
  <si>
    <t>https://www.munzee.com/m/Wangotango/1352</t>
  </si>
  <si>
    <t>https://www.munzee.com/m/5Star/4692/</t>
  </si>
  <si>
    <t>https://www.munzee.com/m/barefootguru/3185/</t>
  </si>
  <si>
    <t>https://www.munzee.com/m/xrayneex/1542/</t>
  </si>
  <si>
    <t>https://www.munzee.com/m/Bungle/3148</t>
  </si>
  <si>
    <t>https://www.munzee.com/m/barefootguru/5963/</t>
  </si>
  <si>
    <t>https://www.munzee.com/map/r1f80dd0z/16</t>
  </si>
  <si>
    <t>https://www.munzee.com/m/DHitz/3710/</t>
  </si>
  <si>
    <t>https://www.munzee.com/m/Pinkeltje/1096/</t>
  </si>
  <si>
    <t>https://www.munzee.com/m/lison55/5153</t>
  </si>
  <si>
    <t>https://www.munzee.com/m/FromTheTardis/1328/</t>
  </si>
  <si>
    <t>https://www.munzee.com/m/Lanyasummer/4105/</t>
  </si>
  <si>
    <t>https://www.munzee.com/m/J1Huisman/11169/</t>
  </si>
  <si>
    <t>https://www.munzee.com/m/Bambinacattiva/689/</t>
  </si>
  <si>
    <t>https://www.munzee.com/m/Trappertje/4646/</t>
  </si>
  <si>
    <t>https://www.munzee.com/m/sverlaan/4129/</t>
  </si>
  <si>
    <t>https://www.munzee.com/m/EmileP68/2902/</t>
  </si>
  <si>
    <t>https://www.munzee.com/m/5Star/5636/</t>
  </si>
  <si>
    <t>https://www.munzee.com/m/PawPatrolThomas/2206/</t>
  </si>
  <si>
    <t>https://www.munzee.com/m/benotje/1334/</t>
  </si>
  <si>
    <t>https://www.munzee.com/m/barefootguru/3092/</t>
  </si>
  <si>
    <t>https://www.munzee.com/m/WiseOldWizard/3923/</t>
  </si>
  <si>
    <t>https://www.munzee.com/m/hoekraam/6940</t>
  </si>
  <si>
    <t>https://www.munzee.com/m/xrayneex/1307</t>
  </si>
  <si>
    <t>https://www.munzee.com/m/BrotherWilliam/3862/</t>
  </si>
  <si>
    <t>https://www.munzee.com/m/hoekraam/6983</t>
  </si>
  <si>
    <t>https://www.munzee.com/m/ArtofEco/2907/</t>
  </si>
  <si>
    <t>https://www.munzee.com/m/JackSparrow/19431</t>
  </si>
  <si>
    <t>https://www.munzee.com/m/Anetzet/2676/</t>
  </si>
  <si>
    <t>https://www.munzee.com/m/babyw/3041/</t>
  </si>
  <si>
    <t>https://www.munzee.com/m/Aniara/6431/</t>
  </si>
  <si>
    <t>https://www.munzee.com/m/OdinsFiRe/1521</t>
  </si>
  <si>
    <t>Phatcapper</t>
  </si>
  <si>
    <t>https://www.munzee.com/m/PhatCapper/784/</t>
  </si>
  <si>
    <t>https://www.munzee.com/m/fsafranek/4261/</t>
  </si>
  <si>
    <t>https://www.munzee.com/m/cbf600/2307/</t>
  </si>
  <si>
    <t>https://www.munzee.com/m/IggiePiggie/1772/</t>
  </si>
  <si>
    <t>https://www.munzee.com/m/Drazoria/661</t>
  </si>
  <si>
    <t>https://www.munzee.com/m/Tinake1309/668</t>
  </si>
  <si>
    <t>https://www.munzee.com/m/Berg14/444</t>
  </si>
  <si>
    <t>https://www.munzee.com/m/Niks13/422</t>
  </si>
  <si>
    <t>GroteSUfferd</t>
  </si>
  <si>
    <t>https://www.munzee.com/m/GroteSufferd/308/</t>
  </si>
  <si>
    <t>https://www.munzee.com/m/Questing4/7110</t>
  </si>
  <si>
    <t>https://www.munzee.com/m/Bisquick2/4004</t>
  </si>
  <si>
    <t>https://www.munzee.com/m/Wangotango/1406/</t>
  </si>
  <si>
    <t>https://www.munzee.com/m/upapou/1007/</t>
  </si>
  <si>
    <t>https://www.munzee.com/m/Bungle/2734/</t>
  </si>
  <si>
    <t>https://www.munzee.com/m/belladivadee/2962/</t>
  </si>
  <si>
    <t>https://www.munzee.com/m/TheFrog/4048/</t>
  </si>
  <si>
    <t>https://www.munzee.com/m/123xilef/6730/</t>
  </si>
  <si>
    <t>https://www.munzee.com/m/xrayneex/1305/</t>
  </si>
  <si>
    <t xml:space="preserve">Phatcapper </t>
  </si>
  <si>
    <t>https://www.munzee.com/m/PhatCapper/758/</t>
  </si>
  <si>
    <t>https://www.munzee.com/m/TheFatCats/3637/</t>
  </si>
  <si>
    <t>https://www.munzee.com/m/KublaKhan/693/</t>
  </si>
  <si>
    <t>https://www.munzee.com/m/Beermaven/2926/</t>
  </si>
  <si>
    <t>https://www.munzee.com/m/sverlaan/4193/</t>
  </si>
  <si>
    <t>https://www.munzee.com/m/PawPatrolThomas/2283/</t>
  </si>
  <si>
    <t>https://www.munzee.com/m/OdinsFiRe/1527</t>
  </si>
  <si>
    <t>https://www.munzee.com/m/cbf600/2339/</t>
  </si>
  <si>
    <t>https://www.munzee.com/m/LonelyWalker/392/</t>
  </si>
  <si>
    <t>https://www.munzee.com/m/JackSparrow/19959</t>
  </si>
  <si>
    <t>https://www.munzee.com/map/qd66gp8hy/16</t>
  </si>
  <si>
    <t>https://www.munzee.com/m/DHitz/3707/</t>
  </si>
  <si>
    <t>https://www.munzee.com/m/FromTheTardis/1332/</t>
  </si>
  <si>
    <t>https://www.munzee.com/m/lison55/5159/</t>
  </si>
  <si>
    <t>https://www.munzee.com/m/Andrew81/1340</t>
  </si>
  <si>
    <t>https://www.munzee.com/m/Lanyasummer/4104/</t>
  </si>
  <si>
    <t>https://www.munzee.com/m/J1Huisman/11168/</t>
  </si>
  <si>
    <t>https://www.munzee.com/m/Pinkeltje/1068/</t>
  </si>
  <si>
    <t>https://www.munzee.com/m/Bambinacattiva/684/</t>
  </si>
  <si>
    <t>https://www.munzee.com/m/sverlaan/4125/</t>
  </si>
  <si>
    <t>https://www.munzee.com/m/EmileP68/2897/</t>
  </si>
  <si>
    <t>https://www.munzee.com/m/PawPatrolThomas/2202/</t>
  </si>
  <si>
    <t>https://www.munzee.com/m/hoekraam/7003</t>
  </si>
  <si>
    <t>https://www.munzee.com/m/xrayneex/1293/</t>
  </si>
  <si>
    <t>https://www.munzee.com/m/BrotherWilliam/3863/</t>
  </si>
  <si>
    <t>https://www.munzee.com/m/fsafranek/4276/</t>
  </si>
  <si>
    <t>https://www.munzee.com/m/babyw/2847/</t>
  </si>
  <si>
    <t>https://www.munzee.com/m/Wangotango/1192/</t>
  </si>
  <si>
    <t>https://www.munzee.com/m/Anetzet/2669/</t>
  </si>
  <si>
    <t>https://www.munzee.com/m/Drazoria/691</t>
  </si>
  <si>
    <t>https://www.munzee.com/m/Berg14/452</t>
  </si>
  <si>
    <t>https://www.munzee.com/m/Tinake1309/669/</t>
  </si>
  <si>
    <t>https://www.munzee.com/m/Niks13/428</t>
  </si>
  <si>
    <t>https://www.munzee.com/m/ArtofEco/2889/</t>
  </si>
  <si>
    <t>13/7/2020</t>
  </si>
  <si>
    <t>https://www.munzee.com/m/belladivadee/2969/</t>
  </si>
  <si>
    <t>https://www.munzee.com/m/Derlame/12299/</t>
  </si>
  <si>
    <t>https://www.munzee.com/m/barefootguru/3093/</t>
  </si>
  <si>
    <t>Anaira</t>
  </si>
  <si>
    <t>https://www.munzee.com/m/Aniara/6430/</t>
  </si>
  <si>
    <t>https://www.munzee.com/m/cbf600/2385/</t>
  </si>
  <si>
    <t>https://www.munzee.com/m/IggiePiggie/1777/</t>
  </si>
  <si>
    <t>CrazyLadyLisa</t>
  </si>
  <si>
    <t>https://www.munzee.com/m/CrazyLadyLisa/14448/</t>
  </si>
  <si>
    <t>https://www.munzee.com/m/IXE13/206/</t>
  </si>
  <si>
    <t>https://www.munzee.com/m/Laouate/315/</t>
  </si>
  <si>
    <t>https://www.munzee.com/m/cbf600/2246/</t>
  </si>
  <si>
    <t>https://www.munzee.com/m/5Star/5595/</t>
  </si>
  <si>
    <t>https://www.munzee.com/m/Questing4/7153</t>
  </si>
  <si>
    <t>GroteSuferd</t>
  </si>
  <si>
    <t>https://www.munzee.com/m/GroteSufferd/319/</t>
  </si>
  <si>
    <t>https://www.munzee.com/m/Trappertje/4601/</t>
  </si>
  <si>
    <t>https://www.munzee.com/m/Bisquick2/4224</t>
  </si>
  <si>
    <t>https://www.munzee.com/m/upapou/991/</t>
  </si>
  <si>
    <t>https://www.munzee.com/m/WiseOldWizard/3936/</t>
  </si>
  <si>
    <t>https://www.munzee.com/m/TheFrog/4068/</t>
  </si>
  <si>
    <t>https://www.munzee.com/m/123xilef/6714/</t>
  </si>
  <si>
    <t>https://www.munzee.com/m/TheFatCats/3638/</t>
  </si>
  <si>
    <t>https://www.munzee.com/m/benotje/1354</t>
  </si>
  <si>
    <t>https://www.munzee.com/m/LonelyWalker/466/</t>
  </si>
  <si>
    <t>https://www.munzee.com/m/sverlaan/4148/</t>
  </si>
  <si>
    <t>https://www.munzee.com/m/PawPatrolThomas/2193/</t>
  </si>
  <si>
    <t>https://www.munzee.com/m/JackSparrow/19354</t>
  </si>
  <si>
    <t>https://www.munzee.com/m/OdinsFiRe/1530/</t>
  </si>
  <si>
    <t>https://www.munzee.com/m/jwg68/1250/</t>
  </si>
  <si>
    <t>https://www.munzee.com/m/cbf600/2247/</t>
  </si>
  <si>
    <t>https://www.munzee.com/m/Andrew81/1334</t>
  </si>
  <si>
    <t>https://www.munzee.com/m/123xilef/7020/</t>
  </si>
  <si>
    <t>https://www.munzee.com/map/gbvnevyhu/15</t>
  </si>
  <si>
    <t>https://www.munzee.com/m/belladivadee/3101/</t>
  </si>
  <si>
    <t>https://www.munzee.com/m/sverlaan/4202/</t>
  </si>
  <si>
    <t>https://www.munzee.com/m/PawPatrolThomas/2288/</t>
  </si>
  <si>
    <t>https://www.munzee.com/m/EmileP68/2989/</t>
  </si>
  <si>
    <t>https://www.munzee.com/m/fsafranek/4130/</t>
  </si>
  <si>
    <t>MadDogLady</t>
  </si>
  <si>
    <t>https://www.munzee.com/m/MadDogLady/2236/</t>
  </si>
  <si>
    <t>Sinister</t>
  </si>
  <si>
    <t>https://www.munzee.com/m/Sinister/2259/</t>
  </si>
  <si>
    <t>https://www.munzee.com/m/Drazoria/753</t>
  </si>
  <si>
    <t>https://www.munzee.com/m/Tinake1309/750</t>
  </si>
  <si>
    <t>https://www.munzee.com/m/Berg14/579/</t>
  </si>
  <si>
    <t>https://www.munzee.com/m/Niks13/555/</t>
  </si>
  <si>
    <t>https://www.munzee.com/m/babyw/3105/</t>
  </si>
  <si>
    <t>https://www.munzee.com/m/lison55/5344/</t>
  </si>
  <si>
    <t>https://www.munzee.com/m/J1Huisman/11301/</t>
  </si>
  <si>
    <t>https://www.munzee.com/m/Pinkeltje/1209/</t>
  </si>
  <si>
    <t>https://www.munzee.com/m/FromTheTardis/1386/</t>
  </si>
  <si>
    <t>https://www.munzee.com/m/Lanyasummer/4385/</t>
  </si>
  <si>
    <t>https://www.munzee.com/m/xrayneex/1414/</t>
  </si>
  <si>
    <t>https://www.munzee.com/m/JackSparrow/19747</t>
  </si>
  <si>
    <t>https://www.munzee.com/m/IggiePiggie/1858/</t>
  </si>
  <si>
    <t>https://www.munzee.com/m/upapou/987/</t>
  </si>
  <si>
    <t>https://www.munzee.com/m/TheFatCats/3562/</t>
  </si>
  <si>
    <t>https://www.munzee.com/m/123xilef/6918/</t>
  </si>
  <si>
    <t>https://www.munzee.com/m/Aniara/6614/</t>
  </si>
  <si>
    <t>https://www.munzee.com/m/TheFatCats/3572/</t>
  </si>
  <si>
    <t>https://www.munzee.com/m/Franca/545/</t>
  </si>
  <si>
    <t>https://www.munzee.com/m/barefootguru/3132/</t>
  </si>
  <si>
    <t>https://www.munzee.com/m/cbf600/2405/</t>
  </si>
  <si>
    <t>https://www.munzee.com/m/BrotherWilliam/3939/</t>
  </si>
  <si>
    <t>https://www.munzee.com/m/ArtofEco/2959/</t>
  </si>
  <si>
    <t>https://www.munzee.com/m/MadDogLady/2222/</t>
  </si>
  <si>
    <t>https://www.munzee.com/m/Sinister/2248/</t>
  </si>
  <si>
    <t>https://www.munzee.com/m/MunziMeg/4452/</t>
  </si>
  <si>
    <t>https://www.munzee.com/m/artofmunzeeing/3820/</t>
  </si>
  <si>
    <t>https://www.munzee.com/m/MunziMeg/4460/</t>
  </si>
  <si>
    <t>https://www.munzee.com/m/artofmunzeeing/3822/</t>
  </si>
  <si>
    <t>https://www.munzee.com/m/GroteSufferd/374</t>
  </si>
  <si>
    <t>https://www.munzee.com/m/MunziMeg/4449/</t>
  </si>
  <si>
    <t>https://www.munzee.com/m/artofmunzeeing/3809/</t>
  </si>
  <si>
    <t>https://www.munzee.com/m/5Star/5761</t>
  </si>
  <si>
    <t>https://www.munzee.com/m/TheFrog/4239/</t>
  </si>
  <si>
    <t>https://www.munzee.com/m/123xilef/7061/</t>
  </si>
  <si>
    <t>https://www.munzee.com/m/TheFatCats/3588/</t>
  </si>
  <si>
    <t>https://www.munzee.com/m/TheFrog/3436/</t>
  </si>
  <si>
    <t>https://www.munzee.com/m/Anetzet/2648/</t>
  </si>
  <si>
    <t>https://www.munzee.com/m/TheFatCats/3601/</t>
  </si>
  <si>
    <t>https://www.munzee.com/m/Derlame/12559/</t>
  </si>
  <si>
    <t>https://www.munzee.com/m/WiseOldWizard/3969/</t>
  </si>
  <si>
    <t>https://www.munzee.com/m/OdinsFiRe/1562/</t>
  </si>
  <si>
    <t>https://www.munzee.com/m/wangotango/1256</t>
  </si>
  <si>
    <t>https://www.munzee.com/m/Sinister/2249/</t>
  </si>
  <si>
    <t>https://www.munzee.com/m/MadDogLady/2225</t>
  </si>
  <si>
    <t>https://www.munzee.com/m/sverlaan/4311/</t>
  </si>
  <si>
    <t>https://www.munzee.com/map/dnrfx42np/15</t>
  </si>
  <si>
    <t>https://www.munzee.com/m/DHitz/3700/</t>
  </si>
  <si>
    <t>https://www.munzee.com/m/FromTheTardis/1339/</t>
  </si>
  <si>
    <t>https://www.munzee.com/m/lison55/5165/</t>
  </si>
  <si>
    <t>https://www.munzee.com/m/Andrew81/1362</t>
  </si>
  <si>
    <t>https://www.munzee.com/m/Lanyasummer/4103/</t>
  </si>
  <si>
    <t>https://www.munzee.com/m/J1Huisman/11167/</t>
  </si>
  <si>
    <t>https://www.munzee.com/m/Pinkeltje/1066/</t>
  </si>
  <si>
    <t>https://www.munzee.com/m/Bambinacattiva/667/</t>
  </si>
  <si>
    <t>https://www.munzee.com/m/sverlaan/4124/</t>
  </si>
  <si>
    <t>https://www.munzee.com/m/EmileP68/2896/</t>
  </si>
  <si>
    <t>https://www.munzee.com/m/PawPatrolThomas/2199/</t>
  </si>
  <si>
    <t>https://www.munzee.com/m/hoekraam/7004</t>
  </si>
  <si>
    <t>https://www.munzee.com/m/xrayneex/1292/</t>
  </si>
  <si>
    <t>https://www.munzee.com/m/WiseOldWizard/3956/</t>
  </si>
  <si>
    <t>https://www.munzee.com/m/BrotherWilliam/3871/</t>
  </si>
  <si>
    <t>https://www.munzee.com/m/Drazoria/712</t>
  </si>
  <si>
    <t>https://www.munzee.com/m/Tinake1309/688/</t>
  </si>
  <si>
    <t>https://www.munzee.com/m/Berg14/541/</t>
  </si>
  <si>
    <t>https://www.munzee.com/m/Niks13/461/</t>
  </si>
  <si>
    <t>https://www.munzee.com/m/babyw/2727/</t>
  </si>
  <si>
    <t>https://www.munzee.com/m/ArtofEco/2894/</t>
  </si>
  <si>
    <t>13-7-2020</t>
  </si>
  <si>
    <t>https://www.munzee.com/m/Anetzet/2538/</t>
  </si>
  <si>
    <t>https://www.munzee.com/m/fsafranek/4125/</t>
  </si>
  <si>
    <t>https://www.munzee.com/m/IggiePiggie/1779/</t>
  </si>
  <si>
    <t>JackSparrow</t>
  </si>
  <si>
    <t>https://www.munzee.com/m/JackSparrow/19353</t>
  </si>
  <si>
    <t>https://www.munzee.com/m/barefootguru/3094/</t>
  </si>
  <si>
    <t>https://www.munzee.com/m/benotje/1356/</t>
  </si>
  <si>
    <t>https://www.munzee.com/m/cbf600/2253/</t>
  </si>
  <si>
    <t>https://www.munzee.com/m/Aniara/6429/</t>
  </si>
  <si>
    <t>https://www.munzee.com/m/Bambinacattiva/659/</t>
  </si>
  <si>
    <t>https://www.munzee.com/m/GroteSufferd/321/</t>
  </si>
  <si>
    <t>https://www.munzee.com/m/Bisquick2/4230/</t>
  </si>
  <si>
    <t>https://www.munzee.com/m/OdinsFiRe/1533</t>
  </si>
  <si>
    <t>https://www.munzee.com/m/5Star/5720/</t>
  </si>
  <si>
    <t>https://www.munzee.com/m/Wangotango/1210/</t>
  </si>
  <si>
    <t>https://www.munzee.com/m/belladivadee/2975/</t>
  </si>
  <si>
    <t>pikespice</t>
  </si>
  <si>
    <t>https://www.munzee.com/m/pikespice/6074/</t>
  </si>
  <si>
    <t>https://www.munzee.com/m/jwg68/1251/</t>
  </si>
  <si>
    <t>https://www.munzee.com/m/FlatBlack/722/</t>
  </si>
  <si>
    <t>https://www.munzee.com/m/wally62/4798/</t>
  </si>
  <si>
    <t>https://www.munzee.com/m/TheFrog/4071/</t>
  </si>
  <si>
    <t>https://www.munzee.com/m/123xilef/6713/</t>
  </si>
  <si>
    <t>https://www.munzee.com/m/Trappertje/4596/</t>
  </si>
  <si>
    <t>https://www.munzee.com/m/EmileP68/3088/</t>
  </si>
  <si>
    <t>https://www.munzee.com/m/sverlaan/4104/</t>
  </si>
  <si>
    <t>https://www.munzee.com/m/PawPatrolThomas/2278/</t>
  </si>
  <si>
    <t>https://www.munzee.com/m/Questing4/7052</t>
  </si>
  <si>
    <t>https://www.munzee.com/m/Fossillady/3331/</t>
  </si>
  <si>
    <t>ivwarrior</t>
  </si>
  <si>
    <t>https://www.munzee.com/m/ivwarrior/4736/</t>
  </si>
  <si>
    <t>https://www.munzee.com/m/upapou/970/</t>
  </si>
  <si>
    <t>https://www.munzee.com/m/cbf600/2252/</t>
  </si>
  <si>
    <t>https://www.munzee.com/m/Andrew81/1359</t>
  </si>
  <si>
    <t>https://www.munzee.com/m/Derlame/19095/</t>
  </si>
  <si>
    <t>https://www.munzee.com/map/r1x2uxm49/17</t>
  </si>
  <si>
    <t>https://www.munzee.com/m/belladivadee/3097</t>
  </si>
  <si>
    <t>https://www.munzee.com/m/sverlaan/4636/</t>
  </si>
  <si>
    <t>https://www.munzee.com/m/EmileP68/3366/</t>
  </si>
  <si>
    <t>https://www.munzee.com/m/pawpatrolthomas/2674/</t>
  </si>
  <si>
    <t>https://www.munzee.com/m/Derlame/13867/</t>
  </si>
  <si>
    <t>https://www.munzee.com/m/Drazoria/971/</t>
  </si>
  <si>
    <t>https://www.munzee.com/m/Tinake1309/860/</t>
  </si>
  <si>
    <t>https://www.munzee.com/m/Berg14/676/</t>
  </si>
  <si>
    <t>https://www.munzee.com/m/Niks13/642/</t>
  </si>
  <si>
    <t>https://www.munzee.com/m/xrayneex/1639/</t>
  </si>
  <si>
    <t>https://www.munzee.com/m/BrotherWilliam/4248/</t>
  </si>
  <si>
    <t>https://www.munzee.com/m/ArtofEco/3062/</t>
  </si>
  <si>
    <t>https://www.munzee.com/m/barefootguru/3223/</t>
  </si>
  <si>
    <t>https://www.munzee.com/m/lison55/5688/</t>
  </si>
  <si>
    <t>https://www.munzee.com/m/J1Huisman/11809/</t>
  </si>
  <si>
    <t>deploy nov 26</t>
  </si>
  <si>
    <t>https://www.munzee.com/m/amadoreugen/5825</t>
  </si>
  <si>
    <t>https://www.munzee.com/m/Fossillady/3425</t>
  </si>
  <si>
    <t>https://www.munzee.com/m/TheFatCats/4132/</t>
  </si>
  <si>
    <t>https://www.munzee.com/m/WetCoaster/4144/</t>
  </si>
  <si>
    <t>https://www.munzee.com/m/TheFatCats/4194/</t>
  </si>
  <si>
    <t>https://www.munzee.com/m/IggiePiggie/2131/</t>
  </si>
  <si>
    <t>https://www.munzee.com/m/OdinsFiRe/1974/</t>
  </si>
  <si>
    <t>https://www.munzee.com/m/Anetzet/3259/</t>
  </si>
  <si>
    <t>https://www.munzee.com/m/Trappertje/5534/</t>
  </si>
  <si>
    <t>https://www.munzee.com/m/fsafranek/5342/</t>
  </si>
  <si>
    <t>https://www.munzee.com/m/cbf600/3992/</t>
  </si>
  <si>
    <t>https://www.munzee.com/m/GroteSufferd/452/</t>
  </si>
  <si>
    <t>https://www.munzee.com/m/cbf600/2541/</t>
  </si>
  <si>
    <t>https://www.munzee.com/m/xrayneex/1635/</t>
  </si>
  <si>
    <t>https://www.munzee.com/m/5Star/4687/</t>
  </si>
  <si>
    <t>Jasper95</t>
  </si>
  <si>
    <t>https://www.munzee.com/m/Jasper95/1511/</t>
  </si>
  <si>
    <t>https://www.munzee.com/m/ArtofEco/3154/</t>
  </si>
  <si>
    <t>https://www.munzee.com/m/BrotherWilliam/4459/</t>
  </si>
  <si>
    <t>https://www.munzee.com/m/lupo6/7018</t>
  </si>
  <si>
    <t>https://www.munzee.com/m/Bisquick2/4565/</t>
  </si>
  <si>
    <t>https://www.munzee.com/m/WiseOldWizard/4337/</t>
  </si>
  <si>
    <t>https://www.munzee.com/m/Wangotango/1554</t>
  </si>
  <si>
    <t>https://www.munzee.com/m/fsafranek/4756/</t>
  </si>
  <si>
    <t>https://www.munzee.com/m/cbf600/2747/</t>
  </si>
  <si>
    <t>https://www.munzee.com/m/TheFatCats/4266/</t>
  </si>
  <si>
    <t>https://www.munzee.com/m/TheFrog/4634/</t>
  </si>
  <si>
    <t>https://www.munzee.com/m/123xilef/7858/</t>
  </si>
  <si>
    <t>https://www.munzee.com/m/TheFatCats/4272/</t>
  </si>
  <si>
    <t>https://www.munzee.com/m/FlatBlack/972/</t>
  </si>
  <si>
    <t>https://www.munzee.com/m/wally62/4878/</t>
  </si>
  <si>
    <t>https://www.munzee.com/m/res2100/807</t>
  </si>
  <si>
    <t>https://www.munzee.com/m/Ellesche/784</t>
  </si>
  <si>
    <t>https://www.munzee.com/m/amadoreugen/6914</t>
  </si>
  <si>
    <t>https://www.munzee.com/m/raunas/7126</t>
  </si>
  <si>
    <t>https://www.munzee.com/m/PcLocator/4188/</t>
  </si>
  <si>
    <t>https://www.munzee.com/m/ddtsnorton/11375</t>
  </si>
  <si>
    <t>https://www.munzee.com/m/xrayneex/1632/</t>
  </si>
  <si>
    <t>https://www.munzee.com/m/Derlame/14004/</t>
  </si>
  <si>
    <t>https://www.munzee.com/map/u157znxfy/17</t>
  </si>
  <si>
    <t>https://www.munzee.com/m/belladivadee/3124/</t>
  </si>
  <si>
    <t>https://www.munzee.com/m/sverlaan/4397/</t>
  </si>
  <si>
    <t>https://www.munzee.com/m/PawPatrolThomas/2458/</t>
  </si>
  <si>
    <t>https://www.munzee.com/m/EmileP68/3159/</t>
  </si>
  <si>
    <t xml:space="preserve">OdinsFiRe </t>
  </si>
  <si>
    <t>https://www.munzee.com/m/OdinsFiRe/1642/</t>
  </si>
  <si>
    <t>https://www.munzee.com/m/Drazoria/793/</t>
  </si>
  <si>
    <t>https://www.munzee.com/m/Tinake1309/768/</t>
  </si>
  <si>
    <t>https://www.munzee.com/m/Berg14/613/</t>
  </si>
  <si>
    <t>https://www.munzee.com/m/Niks13/608/</t>
  </si>
  <si>
    <t>https://www.munzee.com/m/lison55/5414/</t>
  </si>
  <si>
    <t>https://www.munzee.com/m/J1Huisman/11439/</t>
  </si>
  <si>
    <t>https://www.munzee.com/m/Pinkeltje/1302/</t>
  </si>
  <si>
    <t>https://www.munzee.com/m/Lanyasummer/4430/</t>
  </si>
  <si>
    <t>https://www.munzee.com/m/babyw/3146/</t>
  </si>
  <si>
    <t>https://www.munzee.com/m/fsafranek/4255/</t>
  </si>
  <si>
    <t>https://www.munzee.com/m/xrayneex/1443/</t>
  </si>
  <si>
    <t>https://www.munzee.com/m/WiseOldWizard/4011/</t>
  </si>
  <si>
    <t>https://www.munzee.com/m/FromTheTardis/1416/</t>
  </si>
  <si>
    <t>https://www.munzee.com/m/barefootguru/3158/</t>
  </si>
  <si>
    <t>https://www.munzee.com/m/Wangotango/1284</t>
  </si>
  <si>
    <t>https://www.munzee.com/m/GroteSufferd/410/</t>
  </si>
  <si>
    <t>https://www.munzee.com/m/Anetzet/2923/</t>
  </si>
  <si>
    <t>https://www.munzee.com/m/denali0407/14437/</t>
  </si>
  <si>
    <t>https://www.munzee.com/m/IggiePiggie/1971/</t>
  </si>
  <si>
    <t>https://www.munzee.com/m/FlatBlack/689</t>
  </si>
  <si>
    <t>https://www.munzee.com/m/Derlame/12561/</t>
  </si>
  <si>
    <t>https://www.munzee.com/m/5Star/4693/</t>
  </si>
  <si>
    <t>https://www.munzee.com/m/cbf600/2437/</t>
  </si>
  <si>
    <t>https://www.munzee.com/m/BrotherWilliam/4092/</t>
  </si>
  <si>
    <t>https://www.munzee.com/m/TeamSarton/1208</t>
  </si>
  <si>
    <t>https://www.munzee.com/m/BartWullems/5604</t>
  </si>
  <si>
    <t>https://www.munzee.com/m/raftjen/2345</t>
  </si>
  <si>
    <t>https://www.munzee.com/m/TheFatCats/3895/</t>
  </si>
  <si>
    <t>https://www.munzee.com/m/Fossillady/3417</t>
  </si>
  <si>
    <t>https://www.munzee.com/m/Bisquick2/4558/</t>
  </si>
  <si>
    <t xml:space="preserve">ArtofEco </t>
  </si>
  <si>
    <t>https://www.munzee.com/m/ArtofEco/3052/</t>
  </si>
  <si>
    <t>dazzaf</t>
  </si>
  <si>
    <t>https://www.munzee.com/m/Dazzaf/4168/</t>
  </si>
  <si>
    <t>https://www.munzee.com/m/amadoreugen/5763</t>
  </si>
  <si>
    <t>https://www.munzee.com/m/ArtofEco/3009/</t>
  </si>
  <si>
    <t>https://www.munzee.com/m/BrotherWilliam/4049/</t>
  </si>
  <si>
    <t>https://www.munzee.com/m/TheFrog/4289/</t>
  </si>
  <si>
    <t>https://www.munzee.com/m/123xilef/7254/</t>
  </si>
  <si>
    <t>https://www.munzee.com/m/GroteSufferd/416/</t>
  </si>
  <si>
    <t>https://www.munzee.com/m/TheFatCats/3967/</t>
  </si>
  <si>
    <t>https://www.munzee.com/m/pawpatrolthomas/2672/</t>
  </si>
  <si>
    <t>klc1960</t>
  </si>
  <si>
    <t>https://www.munzee.com/m/klc1960/1457/</t>
  </si>
  <si>
    <t>https://www.munzee.com/m/Krauseengineer/2429</t>
  </si>
  <si>
    <t>https://www.munzee.com/m/amadoreugen/5762</t>
  </si>
  <si>
    <t>https://www.munzee.com/m/raftjen/1779</t>
  </si>
  <si>
    <t>https://www.munzee.com/m/Aniara/6945</t>
  </si>
  <si>
    <t>https://www.munzee.com/m/all0123/4296/</t>
  </si>
  <si>
    <t>Deploy for December Clan War</t>
  </si>
  <si>
    <t>https://www.munzee.com/m/TheFatCats/3912/</t>
  </si>
  <si>
    <t>sep=</t>
  </si>
  <si>
    <t>Color</t>
  </si>
  <si>
    <t>brown</t>
  </si>
  <si>
    <t>raw sienna</t>
  </si>
  <si>
    <t>Please do NOT delete the following line. You will need it if you want to load the CSV file back to the map!</t>
  </si>
  <si>
    <t>URL: gardenpainter.ide.sk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</si>
</sst>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4">
    <numFmt numFmtId="164" formatCode="m/d/yyyy"/>
    <numFmt numFmtId="165" formatCode="mmmm d"/>
    <numFmt numFmtId="166" formatCode="mmm. d"/>
    <numFmt numFmtId="167" formatCode="d mmmm"/>
    <numFmt numFmtId="168" formatCode="m-d-yyyy"/>
    <numFmt numFmtId="169" formatCode="d-mmm"/>
    <numFmt numFmtId="170" formatCode="d mmm"/>
    <numFmt numFmtId="171" formatCode="dd&quot;-&quot;mm&quot;-&quot;yyyy"/>
    <numFmt numFmtId="172" formatCode="m/d"/>
    <numFmt numFmtId="173" formatCode="mm/dd"/>
    <numFmt numFmtId="174" formatCode="mmm d"/>
    <numFmt numFmtId="175" formatCode="0.0000000000000"/>
    <numFmt numFmtId="176" formatCode="0.00000000000000"/>
    <numFmt numFmtId="177" formatCode="0.0000000000"/>
  </numFmts>
  <fonts count="64">
    <font>
      <sz val="10.0"/>
      <color rgb="FF000000"/>
      <name val="Arial"/>
      <scheme val="minor"/>
    </font>
    <font>
      <b/>
      <sz val="24.0"/>
      <color theme="1"/>
      <name val="Arial"/>
      <scheme val="minor"/>
    </font>
    <font>
      <b/>
      <color theme="1"/>
      <name val="Arial"/>
      <scheme val="minor"/>
    </font>
    <font>
      <i/>
      <color rgb="FF999999"/>
      <name val="Arial"/>
      <scheme val="minor"/>
    </font>
    <font>
      <b/>
      <u/>
      <color rgb="FF0000FF"/>
    </font>
    <font>
      <b/>
      <sz val="14.0"/>
      <color theme="1"/>
      <name val="Arial"/>
      <scheme val="minor"/>
    </font>
    <font>
      <i/>
      <sz val="14.0"/>
      <color rgb="FF999999"/>
      <name val="Arial"/>
      <scheme val="minor"/>
    </font>
    <font>
      <b/>
      <sz val="14.0"/>
      <color rgb="FFFF0000"/>
      <name val="Arial"/>
      <scheme val="minor"/>
    </font>
    <font>
      <i/>
      <color theme="1"/>
      <name val="Arial"/>
      <scheme val="minor"/>
    </font>
    <font>
      <color theme="1"/>
      <name val="Arial"/>
      <scheme val="minor"/>
    </font>
    <font>
      <b/>
      <sz val="14.0"/>
      <color rgb="FF0000FF"/>
      <name val="Arial"/>
      <scheme val="minor"/>
    </font>
    <font>
      <b/>
      <sz val="12.0"/>
      <color theme="1"/>
      <name val="Arial"/>
      <scheme val="minor"/>
    </font>
    <font>
      <b/>
      <u/>
      <sz val="12.0"/>
      <color rgb="FF1155CC"/>
    </font>
    <font>
      <sz val="12.0"/>
      <color theme="1"/>
      <name val="Arial"/>
      <scheme val="minor"/>
    </font>
    <font>
      <sz val="12.0"/>
      <color rgb="FF000000"/>
      <name val="Arial"/>
      <scheme val="minor"/>
    </font>
    <font>
      <i/>
      <sz val="10.0"/>
      <color rgb="FF999999"/>
      <name val="Arial"/>
      <scheme val="minor"/>
    </font>
    <font/>
    <font>
      <b/>
      <sz val="12.0"/>
      <color rgb="FF000000"/>
      <name val="Arial"/>
      <scheme val="minor"/>
    </font>
    <font>
      <b/>
      <u/>
      <sz val="12.0"/>
      <color rgb="FF1155CC"/>
    </font>
    <font>
      <b/>
      <color rgb="FF980000"/>
      <name val="Arial"/>
      <scheme val="minor"/>
    </font>
    <font>
      <b/>
      <color rgb="FFFFFFFF"/>
      <name val="Arial"/>
      <scheme val="minor"/>
    </font>
    <font>
      <b/>
      <color rgb="FF000000"/>
      <name val="Arial"/>
      <scheme val="minor"/>
    </font>
    <font>
      <u/>
      <color rgb="FF0000FF"/>
    </font>
    <font>
      <sz val="11.0"/>
      <color rgb="FF000000"/>
      <name val="Inconsolata"/>
    </font>
    <font>
      <color theme="1"/>
      <name val="Arial"/>
    </font>
    <font>
      <u/>
      <sz val="11.0"/>
      <color rgb="FF000000"/>
      <name val="Inconsolata"/>
    </font>
    <font>
      <u/>
      <color rgb="FF1155CC"/>
    </font>
    <font>
      <u/>
      <color rgb="FF1155CC"/>
    </font>
    <font>
      <u/>
      <color rgb="FF1155CC"/>
      <name val="Arial"/>
      <scheme val="minor"/>
    </font>
    <font>
      <i/>
      <u/>
      <color rgb="FF0000FF"/>
    </font>
    <font>
      <color rgb="FF000000"/>
      <name val="Roboto"/>
    </font>
    <font>
      <u/>
      <color rgb="FF0000FF"/>
    </font>
    <font>
      <b/>
      <i/>
      <color rgb="FF999999"/>
      <name val="Arial"/>
      <scheme val="minor"/>
    </font>
    <font>
      <u/>
      <color rgb="FF000000"/>
      <name val="Roboto"/>
    </font>
    <font>
      <u/>
      <color rgb="FF0000FF"/>
    </font>
    <font>
      <i/>
      <u/>
      <color rgb="FF999999"/>
    </font>
    <font>
      <u/>
      <color rgb="FF1155CC"/>
      <name val="Arial"/>
      <scheme val="minor"/>
    </font>
    <font>
      <u/>
      <color rgb="FF1155CC"/>
      <name val="Arial"/>
      <scheme val="minor"/>
    </font>
    <font>
      <i/>
      <u/>
      <color rgb="FF999999"/>
    </font>
    <font>
      <u/>
      <color rgb="FF0000FF"/>
    </font>
    <font>
      <b/>
      <i/>
      <sz val="24.0"/>
      <color rgb="FFFF0000"/>
      <name val="Arial"/>
      <scheme val="minor"/>
    </font>
    <font>
      <b/>
      <sz val="24.0"/>
      <color rgb="FF980000"/>
      <name val="Arial"/>
      <scheme val="minor"/>
    </font>
    <font>
      <b/>
      <u/>
      <color rgb="FF1155CC"/>
    </font>
    <font>
      <u/>
      <color rgb="FF0000FF"/>
    </font>
    <font>
      <u/>
      <color rgb="FF0000FF"/>
    </font>
    <font>
      <u/>
      <color rgb="FF1155CC"/>
    </font>
    <font>
      <u/>
      <color rgb="FF1155CC"/>
      <name val="Arial"/>
      <scheme val="minor"/>
    </font>
    <font>
      <sz val="11.0"/>
      <color theme="1"/>
      <name val="Arial"/>
      <scheme val="minor"/>
    </font>
    <font>
      <u/>
      <sz val="11.0"/>
      <color rgb="FF0000FF"/>
    </font>
    <font>
      <i/>
      <u/>
      <color rgb="FF999999"/>
    </font>
    <font>
      <b/>
      <u/>
      <color rgb="FF0000FF"/>
    </font>
    <font>
      <sz val="10.0"/>
      <color theme="1"/>
      <name val="Arial"/>
      <scheme val="minor"/>
    </font>
    <font>
      <sz val="11.0"/>
      <color rgb="FF000000"/>
      <name val="Calibri"/>
    </font>
    <font>
      <u/>
      <sz val="11.0"/>
      <color rgb="FF1155CC"/>
      <name val="Calibri"/>
    </font>
    <font>
      <u/>
      <sz val="11.0"/>
      <color rgb="FF1155CC"/>
      <name val="Calibri"/>
    </font>
    <font>
      <i/>
      <u/>
      <color rgb="FF1155CC"/>
    </font>
    <font>
      <u/>
      <color rgb="FF0000FF"/>
      <name val="Arial"/>
    </font>
    <font>
      <u/>
      <color rgb="FF1155CC"/>
      <name val="Roboto"/>
    </font>
    <font>
      <color rgb="FF1155CC"/>
      <name val="Roboto"/>
    </font>
    <font>
      <i/>
      <color rgb="FF000000"/>
    </font>
    <font>
      <i/>
      <u/>
      <color rgb="FF0000FF"/>
    </font>
    <font>
      <sz val="11.0"/>
      <color theme="1"/>
      <name val="'.SFUI-Regular'"/>
    </font>
    <font>
      <i/>
      <u/>
      <color rgb="FF0000FF"/>
    </font>
    <font>
      <i/>
      <u/>
      <color rgb="FF999999"/>
    </font>
  </fonts>
  <fills count="8">
    <fill>
      <patternFill patternType="none"/>
    </fill>
    <fill>
      <patternFill patternType="lightGray"/>
    </fill>
    <fill>
      <patternFill patternType="solid">
        <fgColor rgb="FFD9EAD3"/>
        <bgColor rgb="FFD9EAD3"/>
      </patternFill>
    </fill>
    <fill>
      <patternFill patternType="solid">
        <fgColor theme="7"/>
        <bgColor theme="7"/>
      </patternFill>
    </fill>
    <fill>
      <patternFill patternType="solid">
        <fgColor rgb="FFFFFF00"/>
        <bgColor rgb="FFFFFF00"/>
      </patternFill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theme="0"/>
      </patternFill>
    </fill>
  </fills>
  <borders count="5">
    <border/>
    <border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173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2" numFmtId="0" xfId="0" applyAlignment="1" applyFont="1">
      <alignment readingOrder="0"/>
    </xf>
    <xf borderId="0" fillId="0" fontId="3" numFmtId="0" xfId="0" applyFont="1"/>
    <xf borderId="0" fillId="0" fontId="4" numFmtId="0" xfId="0" applyAlignment="1" applyFont="1">
      <alignment readingOrder="0"/>
    </xf>
    <xf borderId="0" fillId="0" fontId="2" numFmtId="0" xfId="0" applyFont="1"/>
    <xf borderId="0" fillId="0" fontId="5" numFmtId="0" xfId="0" applyAlignment="1" applyFont="1">
      <alignment readingOrder="0"/>
    </xf>
    <xf borderId="0" fillId="0" fontId="5" numFmtId="0" xfId="0" applyFont="1"/>
    <xf borderId="0" fillId="0" fontId="6" numFmtId="0" xfId="0" applyFont="1"/>
    <xf borderId="0" fillId="0" fontId="7" numFmtId="0" xfId="0" applyAlignment="1" applyFont="1">
      <alignment readingOrder="0"/>
    </xf>
    <xf borderId="0" fillId="0" fontId="8" numFmtId="10" xfId="0" applyFont="1" applyNumberFormat="1"/>
    <xf borderId="0" fillId="0" fontId="9" numFmtId="0" xfId="0" applyAlignment="1" applyFont="1">
      <alignment readingOrder="0"/>
    </xf>
    <xf borderId="1" fillId="0" fontId="10" numFmtId="0" xfId="0" applyAlignment="1" applyBorder="1" applyFont="1">
      <alignment readingOrder="0"/>
    </xf>
    <xf borderId="1" fillId="0" fontId="5" numFmtId="0" xfId="0" applyAlignment="1" applyBorder="1" applyFont="1">
      <alignment readingOrder="0"/>
    </xf>
    <xf borderId="2" fillId="0" fontId="5" numFmtId="0" xfId="0" applyAlignment="1" applyBorder="1" applyFont="1">
      <alignment readingOrder="0"/>
    </xf>
    <xf borderId="2" fillId="2" fontId="11" numFmtId="0" xfId="0" applyAlignment="1" applyBorder="1" applyFill="1" applyFont="1">
      <alignment readingOrder="0"/>
    </xf>
    <xf borderId="2" fillId="2" fontId="12" numFmtId="0" xfId="0" applyAlignment="1" applyBorder="1" applyFont="1">
      <alignment readingOrder="0"/>
    </xf>
    <xf borderId="2" fillId="2" fontId="13" numFmtId="0" xfId="0" applyBorder="1" applyFont="1"/>
    <xf borderId="2" fillId="0" fontId="11" numFmtId="10" xfId="0" applyBorder="1" applyFont="1" applyNumberFormat="1"/>
    <xf borderId="2" fillId="3" fontId="14" numFmtId="0" xfId="0" applyAlignment="1" applyBorder="1" applyFill="1" applyFont="1">
      <alignment readingOrder="0" shrinkToFit="0" wrapText="0"/>
    </xf>
    <xf borderId="0" fillId="0" fontId="15" numFmtId="0" xfId="0" applyAlignment="1" applyFont="1">
      <alignment readingOrder="0"/>
    </xf>
    <xf borderId="2" fillId="0" fontId="11" numFmtId="0" xfId="0" applyAlignment="1" applyBorder="1" applyFont="1">
      <alignment readingOrder="0"/>
    </xf>
    <xf borderId="0" fillId="0" fontId="11" numFmtId="0" xfId="0" applyFont="1"/>
    <xf borderId="2" fillId="2" fontId="11" numFmtId="0" xfId="0" applyBorder="1" applyFont="1"/>
    <xf borderId="0" fillId="0" fontId="3" numFmtId="0" xfId="0" applyAlignment="1" applyFont="1">
      <alignment readingOrder="0"/>
    </xf>
    <xf borderId="3" fillId="0" fontId="11" numFmtId="0" xfId="0" applyAlignment="1" applyBorder="1" applyFont="1">
      <alignment readingOrder="0" shrinkToFit="0" wrapText="1"/>
    </xf>
    <xf borderId="4" fillId="0" fontId="16" numFmtId="0" xfId="0" applyBorder="1" applyFont="1"/>
    <xf borderId="0" fillId="0" fontId="13" numFmtId="0" xfId="0" applyFont="1"/>
    <xf borderId="0" fillId="0" fontId="13" numFmtId="14" xfId="0" applyAlignment="1" applyFont="1" applyNumberFormat="1">
      <alignment readingOrder="0"/>
    </xf>
    <xf borderId="2" fillId="4" fontId="13" numFmtId="0" xfId="0" applyAlignment="1" applyBorder="1" applyFill="1" applyFont="1">
      <alignment readingOrder="0" shrinkToFit="0" wrapText="0"/>
    </xf>
    <xf borderId="2" fillId="2" fontId="17" numFmtId="0" xfId="0" applyAlignment="1" applyBorder="1" applyFont="1">
      <alignment readingOrder="0"/>
    </xf>
    <xf borderId="2" fillId="0" fontId="13" numFmtId="0" xfId="0" applyBorder="1" applyFont="1"/>
    <xf borderId="2" fillId="0" fontId="11" numFmtId="0" xfId="0" applyBorder="1" applyFont="1"/>
    <xf borderId="2" fillId="0" fontId="18" numFmtId="0" xfId="0" applyAlignment="1" applyBorder="1" applyFont="1">
      <alignment readingOrder="0"/>
    </xf>
    <xf borderId="2" fillId="0" fontId="13" numFmtId="0" xfId="0" applyAlignment="1" applyBorder="1" applyFont="1">
      <alignment readingOrder="0" shrinkToFit="0" wrapText="0"/>
    </xf>
    <xf borderId="2" fillId="0" fontId="17" numFmtId="0" xfId="0" applyAlignment="1" applyBorder="1" applyFont="1">
      <alignment readingOrder="0"/>
    </xf>
    <xf borderId="2" fillId="5" fontId="13" numFmtId="0" xfId="0" applyAlignment="1" applyBorder="1" applyFill="1" applyFont="1">
      <alignment readingOrder="0" shrinkToFit="0" wrapText="0"/>
    </xf>
    <xf borderId="0" fillId="0" fontId="19" numFmtId="0" xfId="0" applyAlignment="1" applyFont="1">
      <alignment readingOrder="0"/>
    </xf>
    <xf borderId="0" fillId="0" fontId="20" numFmtId="0" xfId="0" applyAlignment="1" applyFont="1">
      <alignment readingOrder="0"/>
    </xf>
    <xf borderId="0" fillId="0" fontId="21" numFmtId="10" xfId="0" applyAlignment="1" applyFont="1" applyNumberFormat="1">
      <alignment readingOrder="0"/>
    </xf>
    <xf borderId="0" fillId="0" fontId="20" numFmtId="0" xfId="0" applyFont="1"/>
    <xf borderId="0" fillId="3" fontId="20" numFmtId="0" xfId="0" applyAlignment="1" applyFont="1">
      <alignment readingOrder="0"/>
    </xf>
    <xf borderId="0" fillId="3" fontId="20" numFmtId="0" xfId="0" applyAlignment="1" applyFont="1">
      <alignment horizontal="center" readingOrder="0"/>
    </xf>
    <xf borderId="0" fillId="2" fontId="9" numFmtId="0" xfId="0" applyAlignment="1" applyFont="1">
      <alignment readingOrder="0"/>
    </xf>
    <xf borderId="0" fillId="6" fontId="9" numFmtId="0" xfId="0" applyAlignment="1" applyFill="1" applyFont="1">
      <alignment readingOrder="0"/>
    </xf>
    <xf borderId="0" fillId="6" fontId="22" numFmtId="0" xfId="0" applyAlignment="1" applyFont="1">
      <alignment readingOrder="0"/>
    </xf>
    <xf borderId="0" fillId="6" fontId="9" numFmtId="0" xfId="0" applyAlignment="1" applyFont="1">
      <alignment readingOrder="0"/>
    </xf>
    <xf borderId="0" fillId="0" fontId="9" numFmtId="0" xfId="0" applyFont="1"/>
    <xf borderId="0" fillId="6" fontId="23" numFmtId="0" xfId="0" applyFont="1"/>
    <xf borderId="0" fillId="0" fontId="24" numFmtId="0" xfId="0" applyAlignment="1" applyFont="1">
      <alignment vertical="bottom"/>
    </xf>
    <xf borderId="0" fillId="6" fontId="25" numFmtId="0" xfId="0" applyAlignment="1" applyFont="1">
      <alignment vertical="bottom"/>
    </xf>
    <xf borderId="0" fillId="0" fontId="24" numFmtId="14" xfId="0" applyAlignment="1" applyFont="1" applyNumberFormat="1">
      <alignment readingOrder="0" vertical="bottom"/>
    </xf>
    <xf borderId="0" fillId="6" fontId="26" numFmtId="0" xfId="0" applyAlignment="1" applyFont="1">
      <alignment readingOrder="0"/>
    </xf>
    <xf borderId="0" fillId="0" fontId="9" numFmtId="164" xfId="0" applyAlignment="1" applyFont="1" applyNumberFormat="1">
      <alignment readingOrder="0"/>
    </xf>
    <xf borderId="0" fillId="0" fontId="27" numFmtId="0" xfId="0" applyAlignment="1" applyFont="1">
      <alignment readingOrder="0"/>
    </xf>
    <xf borderId="0" fillId="0" fontId="9" numFmtId="0" xfId="0" applyAlignment="1" applyFont="1">
      <alignment readingOrder="0"/>
    </xf>
    <xf borderId="0" fillId="6" fontId="28" numFmtId="0" xfId="0" applyAlignment="1" applyFont="1">
      <alignment readingOrder="0"/>
    </xf>
    <xf borderId="0" fillId="6" fontId="23" numFmtId="0" xfId="0" applyAlignment="1" applyFont="1">
      <alignment vertical="bottom"/>
    </xf>
    <xf borderId="0" fillId="0" fontId="9" numFmtId="14" xfId="0" applyFont="1" applyNumberFormat="1"/>
    <xf borderId="0" fillId="2" fontId="3" numFmtId="0" xfId="0" applyAlignment="1" applyFont="1">
      <alignment readingOrder="0"/>
    </xf>
    <xf borderId="0" fillId="7" fontId="29" numFmtId="0" xfId="0" applyAlignment="1" applyFill="1" applyFont="1">
      <alignment readingOrder="0"/>
    </xf>
    <xf borderId="0" fillId="0" fontId="30" numFmtId="0" xfId="0" applyAlignment="1" applyFont="1">
      <alignment readingOrder="0"/>
    </xf>
    <xf borderId="0" fillId="6" fontId="30" numFmtId="0" xfId="0" applyAlignment="1" applyFont="1">
      <alignment readingOrder="0"/>
    </xf>
    <xf borderId="0" fillId="6" fontId="9" numFmtId="165" xfId="0" applyAlignment="1" applyFont="1" applyNumberFormat="1">
      <alignment readingOrder="0"/>
    </xf>
    <xf borderId="0" fillId="0" fontId="3" numFmtId="0" xfId="0" applyAlignment="1" applyFont="1">
      <alignment readingOrder="0"/>
    </xf>
    <xf borderId="0" fillId="0" fontId="31" numFmtId="0" xfId="0" applyAlignment="1" applyFont="1">
      <alignment readingOrder="0"/>
    </xf>
    <xf borderId="0" fillId="0" fontId="32" numFmtId="0" xfId="0" applyAlignment="1" applyFont="1">
      <alignment readingOrder="0"/>
    </xf>
    <xf borderId="0" fillId="0" fontId="33" numFmtId="0" xfId="0" applyAlignment="1" applyFont="1">
      <alignment readingOrder="0"/>
    </xf>
    <xf borderId="0" fillId="6" fontId="34" numFmtId="0" xfId="0" applyAlignment="1" applyFont="1">
      <alignment readingOrder="0"/>
    </xf>
    <xf borderId="0" fillId="0" fontId="35" numFmtId="0" xfId="0" applyAlignment="1" applyFont="1">
      <alignment readingOrder="0"/>
    </xf>
    <xf borderId="0" fillId="6" fontId="36" numFmtId="0" xfId="0" applyAlignment="1" applyFont="1">
      <alignment readingOrder="0"/>
    </xf>
    <xf borderId="0" fillId="6" fontId="9" numFmtId="0" xfId="0" applyAlignment="1" applyFont="1">
      <alignment readingOrder="0"/>
    </xf>
    <xf borderId="0" fillId="6" fontId="37" numFmtId="0" xfId="0" applyAlignment="1" applyFont="1">
      <alignment readingOrder="0"/>
    </xf>
    <xf borderId="0" fillId="6" fontId="9" numFmtId="0" xfId="0" applyAlignment="1" applyFont="1">
      <alignment readingOrder="0"/>
    </xf>
    <xf borderId="0" fillId="6" fontId="9" numFmtId="166" xfId="0" applyAlignment="1" applyFont="1" applyNumberFormat="1">
      <alignment readingOrder="0"/>
    </xf>
    <xf borderId="0" fillId="0" fontId="2" numFmtId="14" xfId="0" applyAlignment="1" applyFont="1" applyNumberFormat="1">
      <alignment readingOrder="0"/>
    </xf>
    <xf borderId="0" fillId="0" fontId="38" numFmtId="0" xfId="0" applyAlignment="1" applyFont="1">
      <alignment readingOrder="0"/>
    </xf>
    <xf borderId="0" fillId="0" fontId="2" numFmtId="0" xfId="0" applyAlignment="1" applyFont="1">
      <alignment readingOrder="0" shrinkToFit="0" wrapText="1"/>
    </xf>
    <xf borderId="0" fillId="0" fontId="39" numFmtId="0" xfId="0" applyFont="1"/>
    <xf borderId="0" fillId="0" fontId="9" numFmtId="167" xfId="0" applyFont="1" applyNumberFormat="1"/>
    <xf borderId="0" fillId="0" fontId="9" numFmtId="168" xfId="0" applyFont="1" applyNumberFormat="1"/>
    <xf borderId="0" fillId="0" fontId="9" numFmtId="169" xfId="0" applyFont="1" applyNumberFormat="1"/>
    <xf borderId="0" fillId="0" fontId="9" numFmtId="170" xfId="0" applyFont="1" applyNumberFormat="1"/>
    <xf borderId="0" fillId="0" fontId="9" numFmtId="171" xfId="0" applyFont="1" applyNumberFormat="1"/>
    <xf borderId="0" fillId="0" fontId="9" numFmtId="172" xfId="0" applyFont="1" applyNumberFormat="1"/>
    <xf borderId="0" fillId="0" fontId="9" numFmtId="173" xfId="0" applyFont="1" applyNumberFormat="1"/>
    <xf borderId="0" fillId="0" fontId="9" numFmtId="171" xfId="0" applyFont="1" applyNumberFormat="1"/>
    <xf borderId="0" fillId="0" fontId="9" numFmtId="165" xfId="0" applyFont="1" applyNumberFormat="1"/>
    <xf borderId="0" fillId="0" fontId="9" numFmtId="164" xfId="0" applyFont="1" applyNumberFormat="1"/>
    <xf borderId="0" fillId="0" fontId="9" numFmtId="166" xfId="0" applyFont="1" applyNumberFormat="1"/>
    <xf borderId="0" fillId="0" fontId="9" numFmtId="174" xfId="0" applyFont="1" applyNumberFormat="1"/>
    <xf borderId="0" fillId="0" fontId="11" numFmtId="0" xfId="0" applyAlignment="1" applyFont="1">
      <alignment readingOrder="0"/>
    </xf>
    <xf borderId="0" fillId="0" fontId="11" numFmtId="0" xfId="0" applyAlignment="1" applyFont="1">
      <alignment readingOrder="0" textRotation="90"/>
    </xf>
    <xf borderId="0" fillId="0" fontId="2" numFmtId="0" xfId="0" applyAlignment="1" applyFont="1">
      <alignment readingOrder="0" textRotation="90"/>
    </xf>
    <xf borderId="0" fillId="0" fontId="9" numFmtId="0" xfId="0" applyAlignment="1" applyFont="1">
      <alignment readingOrder="0" textRotation="90"/>
    </xf>
    <xf borderId="0" fillId="2" fontId="9" numFmtId="0" xfId="0" applyAlignment="1" applyFont="1">
      <alignment readingOrder="0" textRotation="90"/>
    </xf>
    <xf borderId="0" fillId="0" fontId="24" numFmtId="0" xfId="0" applyFont="1"/>
    <xf borderId="0" fillId="0" fontId="40" numFmtId="0" xfId="0" applyAlignment="1" applyFont="1">
      <alignment horizontal="center" readingOrder="0"/>
    </xf>
    <xf borderId="0" fillId="0" fontId="41" numFmtId="0" xfId="0" applyAlignment="1" applyFont="1">
      <alignment readingOrder="0"/>
    </xf>
    <xf borderId="0" fillId="4" fontId="3" numFmtId="0" xfId="0" applyAlignment="1" applyFont="1">
      <alignment readingOrder="0"/>
    </xf>
    <xf borderId="0" fillId="0" fontId="2" numFmtId="171" xfId="0" applyFont="1" applyNumberFormat="1"/>
    <xf borderId="0" fillId="0" fontId="42" numFmtId="0" xfId="0" applyAlignment="1" applyFont="1">
      <alignment readingOrder="0"/>
    </xf>
    <xf borderId="0" fillId="0" fontId="20" numFmtId="171" xfId="0" applyFont="1" applyNumberFormat="1"/>
    <xf borderId="0" fillId="3" fontId="20" numFmtId="171" xfId="0" applyAlignment="1" applyFont="1" applyNumberFormat="1">
      <alignment readingOrder="0"/>
    </xf>
    <xf borderId="0" fillId="7" fontId="30" numFmtId="0" xfId="0" applyAlignment="1" applyFont="1">
      <alignment readingOrder="0"/>
    </xf>
    <xf borderId="0" fillId="0" fontId="9" numFmtId="171" xfId="0" applyAlignment="1" applyFont="1" applyNumberFormat="1">
      <alignment readingOrder="0"/>
    </xf>
    <xf borderId="0" fillId="0" fontId="19" numFmtId="175" xfId="0" applyAlignment="1" applyFont="1" applyNumberFormat="1">
      <alignment readingOrder="0"/>
    </xf>
    <xf borderId="0" fillId="2" fontId="43" numFmtId="0" xfId="0" applyAlignment="1" applyFont="1">
      <alignment readingOrder="0"/>
    </xf>
    <xf borderId="0" fillId="0" fontId="2" numFmtId="175" xfId="0" applyAlignment="1" applyFont="1" applyNumberFormat="1">
      <alignment readingOrder="0"/>
    </xf>
    <xf borderId="0" fillId="0" fontId="20" numFmtId="175" xfId="0" applyAlignment="1" applyFont="1" applyNumberFormat="1">
      <alignment readingOrder="0"/>
    </xf>
    <xf borderId="0" fillId="3" fontId="20" numFmtId="175" xfId="0" applyAlignment="1" applyFont="1" applyNumberFormat="1">
      <alignment readingOrder="0"/>
    </xf>
    <xf borderId="0" fillId="2" fontId="9" numFmtId="175" xfId="0" applyAlignment="1" applyFont="1" applyNumberFormat="1">
      <alignment readingOrder="0"/>
    </xf>
    <xf borderId="0" fillId="7" fontId="44" numFmtId="0" xfId="0" applyAlignment="1" applyFont="1">
      <alignment readingOrder="0"/>
    </xf>
    <xf borderId="0" fillId="0" fontId="24" numFmtId="0" xfId="0" applyAlignment="1" applyFont="1">
      <alignment readingOrder="0" vertical="bottom"/>
    </xf>
    <xf borderId="0" fillId="6" fontId="9" numFmtId="167" xfId="0" applyAlignment="1" applyFont="1" applyNumberFormat="1">
      <alignment readingOrder="0"/>
    </xf>
    <xf borderId="0" fillId="0" fontId="24" numFmtId="164" xfId="0" applyAlignment="1" applyFont="1" applyNumberFormat="1">
      <alignment readingOrder="0" vertical="bottom"/>
    </xf>
    <xf borderId="0" fillId="0" fontId="9" numFmtId="175" xfId="0" applyFont="1" applyNumberFormat="1"/>
    <xf borderId="0" fillId="7" fontId="45" numFmtId="0" xfId="0" applyAlignment="1" applyFont="1">
      <alignment readingOrder="0"/>
    </xf>
    <xf borderId="0" fillId="6" fontId="9" numFmtId="170" xfId="0" applyAlignment="1" applyFont="1" applyNumberFormat="1">
      <alignment readingOrder="0"/>
    </xf>
    <xf borderId="0" fillId="7" fontId="9" numFmtId="0" xfId="0" applyFont="1"/>
    <xf borderId="0" fillId="6" fontId="46" numFmtId="0" xfId="0" applyAlignment="1" applyFont="1">
      <alignment readingOrder="0"/>
    </xf>
    <xf borderId="0" fillId="6" fontId="47" numFmtId="0" xfId="0" applyAlignment="1" applyFont="1">
      <alignment readingOrder="0"/>
    </xf>
    <xf borderId="0" fillId="6" fontId="48" numFmtId="0" xfId="0" applyAlignment="1" applyFont="1">
      <alignment readingOrder="0"/>
    </xf>
    <xf borderId="0" fillId="0" fontId="9" numFmtId="14" xfId="0" applyAlignment="1" applyFont="1" applyNumberFormat="1">
      <alignment readingOrder="0"/>
    </xf>
    <xf borderId="0" fillId="6" fontId="49" numFmtId="0" xfId="0" applyAlignment="1" applyFont="1">
      <alignment readingOrder="0"/>
    </xf>
    <xf borderId="0" fillId="6" fontId="50" numFmtId="0" xfId="0" applyAlignment="1" applyFont="1">
      <alignment readingOrder="0"/>
    </xf>
    <xf borderId="0" fillId="6" fontId="2" numFmtId="0" xfId="0" applyAlignment="1" applyFont="1">
      <alignment readingOrder="0"/>
    </xf>
    <xf borderId="0" fillId="6" fontId="21" numFmtId="10" xfId="0" applyAlignment="1" applyFont="1" applyNumberFormat="1">
      <alignment readingOrder="0"/>
    </xf>
    <xf borderId="0" fillId="6" fontId="20" numFmtId="0" xfId="0" applyAlignment="1" applyFont="1">
      <alignment readingOrder="0"/>
    </xf>
    <xf borderId="0" fillId="6" fontId="51" numFmtId="0" xfId="0" applyAlignment="1" applyFont="1">
      <alignment readingOrder="0"/>
    </xf>
    <xf borderId="0" fillId="2" fontId="20" numFmtId="0" xfId="0" applyAlignment="1" applyFont="1">
      <alignment readingOrder="0"/>
    </xf>
    <xf borderId="0" fillId="0" fontId="9" numFmtId="168" xfId="0" applyAlignment="1" applyFont="1" applyNumberFormat="1">
      <alignment readingOrder="0"/>
    </xf>
    <xf borderId="0" fillId="0" fontId="9" numFmtId="175" xfId="0" applyAlignment="1" applyFont="1" applyNumberFormat="1">
      <alignment readingOrder="0"/>
    </xf>
    <xf borderId="0" fillId="6" fontId="9" numFmtId="169" xfId="0" applyAlignment="1" applyFont="1" applyNumberFormat="1">
      <alignment readingOrder="0"/>
    </xf>
    <xf borderId="0" fillId="6" fontId="9" numFmtId="0" xfId="0" applyFont="1"/>
    <xf borderId="0" fillId="0" fontId="2" numFmtId="171" xfId="0" applyFont="1" applyNumberFormat="1"/>
    <xf borderId="0" fillId="0" fontId="20" numFmtId="171" xfId="0" applyFont="1" applyNumberFormat="1"/>
    <xf borderId="0" fillId="3" fontId="20" numFmtId="171" xfId="0" applyAlignment="1" applyFont="1" applyNumberFormat="1">
      <alignment readingOrder="0"/>
    </xf>
    <xf borderId="0" fillId="2" fontId="52" numFmtId="0" xfId="0" applyAlignment="1" applyFont="1">
      <alignment readingOrder="0" shrinkToFit="0" vertical="bottom" wrapText="0"/>
    </xf>
    <xf borderId="0" fillId="6" fontId="52" numFmtId="0" xfId="0" applyAlignment="1" applyFont="1">
      <alignment readingOrder="0" shrinkToFit="0" vertical="bottom" wrapText="0"/>
    </xf>
    <xf borderId="0" fillId="6" fontId="9" numFmtId="172" xfId="0" applyAlignment="1" applyFont="1" applyNumberFormat="1">
      <alignment readingOrder="0"/>
    </xf>
    <xf borderId="0" fillId="0" fontId="9" numFmtId="171" xfId="0" applyAlignment="1" applyFont="1" applyNumberFormat="1">
      <alignment readingOrder="0"/>
    </xf>
    <xf borderId="0" fillId="0" fontId="53" numFmtId="0" xfId="0" applyAlignment="1" applyFont="1">
      <alignment readingOrder="0" shrinkToFit="0" vertical="bottom" wrapText="0"/>
    </xf>
    <xf borderId="0" fillId="6" fontId="54" numFmtId="0" xfId="0" applyAlignment="1" applyFont="1">
      <alignment readingOrder="0" shrinkToFit="0" vertical="bottom" wrapText="0"/>
    </xf>
    <xf borderId="0" fillId="6" fontId="9" numFmtId="174" xfId="0" applyAlignment="1" applyFont="1" applyNumberFormat="1">
      <alignment readingOrder="0"/>
    </xf>
    <xf borderId="0" fillId="6" fontId="9" numFmtId="173" xfId="0" applyAlignment="1" applyFont="1" applyNumberFormat="1">
      <alignment readingOrder="0"/>
    </xf>
    <xf borderId="0" fillId="6" fontId="9" numFmtId="172" xfId="0" applyAlignment="1" applyFont="1" applyNumberFormat="1">
      <alignment readingOrder="0"/>
    </xf>
    <xf borderId="0" fillId="0" fontId="55" numFmtId="0" xfId="0" applyAlignment="1" applyFont="1">
      <alignment readingOrder="0"/>
    </xf>
    <xf borderId="0" fillId="6" fontId="56" numFmtId="0" xfId="0" applyAlignment="1" applyFont="1">
      <alignment readingOrder="0"/>
    </xf>
    <xf borderId="0" fillId="2" fontId="9" numFmtId="176" xfId="0" applyAlignment="1" applyFont="1" applyNumberFormat="1">
      <alignment readingOrder="0"/>
    </xf>
    <xf borderId="0" fillId="6" fontId="57" numFmtId="0" xfId="0" applyAlignment="1" applyFont="1">
      <alignment readingOrder="0"/>
    </xf>
    <xf borderId="0" fillId="6" fontId="58" numFmtId="0" xfId="0" applyAlignment="1" applyFont="1">
      <alignment readingOrder="0"/>
    </xf>
    <xf borderId="0" fillId="3" fontId="9" numFmtId="0" xfId="0" applyFont="1"/>
    <xf borderId="0" fillId="0" fontId="19" numFmtId="177" xfId="0" applyAlignment="1" applyFont="1" applyNumberFormat="1">
      <alignment readingOrder="0"/>
    </xf>
    <xf borderId="0" fillId="0" fontId="59" numFmtId="0" xfId="0" applyAlignment="1" applyFont="1">
      <alignment readingOrder="0"/>
    </xf>
    <xf borderId="0" fillId="0" fontId="2" numFmtId="0" xfId="0" applyAlignment="1" applyFont="1">
      <alignment horizontal="right"/>
    </xf>
    <xf borderId="0" fillId="0" fontId="2" numFmtId="177" xfId="0" applyAlignment="1" applyFont="1" applyNumberFormat="1">
      <alignment readingOrder="0"/>
    </xf>
    <xf borderId="0" fillId="0" fontId="20" numFmtId="177" xfId="0" applyAlignment="1" applyFont="1" applyNumberFormat="1">
      <alignment readingOrder="0"/>
    </xf>
    <xf borderId="0" fillId="0" fontId="20" numFmtId="0" xfId="0" applyAlignment="1" applyFont="1">
      <alignment horizontal="right"/>
    </xf>
    <xf borderId="0" fillId="0" fontId="9" numFmtId="0" xfId="0" applyAlignment="1" applyFont="1">
      <alignment horizontal="right"/>
    </xf>
    <xf borderId="0" fillId="3" fontId="20" numFmtId="177" xfId="0" applyAlignment="1" applyFont="1" applyNumberFormat="1">
      <alignment readingOrder="0"/>
    </xf>
    <xf borderId="0" fillId="3" fontId="9" numFmtId="0" xfId="0" applyAlignment="1" applyFont="1">
      <alignment horizontal="right"/>
    </xf>
    <xf borderId="0" fillId="2" fontId="9" numFmtId="177" xfId="0" applyAlignment="1" applyFont="1" applyNumberFormat="1">
      <alignment readingOrder="0"/>
    </xf>
    <xf borderId="0" fillId="0" fontId="24" numFmtId="0" xfId="0" applyAlignment="1" applyFont="1">
      <alignment horizontal="right" readingOrder="0" vertical="bottom"/>
    </xf>
    <xf borderId="0" fillId="0" fontId="9" numFmtId="177" xfId="0" applyFont="1" applyNumberFormat="1"/>
    <xf borderId="0" fillId="0" fontId="60" numFmtId="0" xfId="0" applyAlignment="1" applyFont="1">
      <alignment readingOrder="0"/>
    </xf>
    <xf borderId="0" fillId="6" fontId="61" numFmtId="0" xfId="0" applyAlignment="1" applyFont="1">
      <alignment readingOrder="0"/>
    </xf>
    <xf borderId="0" fillId="0" fontId="9" numFmtId="0" xfId="0" applyAlignment="1" applyFont="1">
      <alignment horizontal="right" readingOrder="0"/>
    </xf>
    <xf borderId="0" fillId="2" fontId="8" numFmtId="0" xfId="0" applyAlignment="1" applyFont="1">
      <alignment readingOrder="0"/>
    </xf>
    <xf borderId="0" fillId="2" fontId="62" numFmtId="0" xfId="0" applyAlignment="1" applyFont="1">
      <alignment readingOrder="0"/>
    </xf>
    <xf borderId="0" fillId="6" fontId="24" numFmtId="0" xfId="0" applyAlignment="1" applyFont="1">
      <alignment vertical="bottom"/>
    </xf>
    <xf borderId="0" fillId="6" fontId="24" numFmtId="14" xfId="0" applyAlignment="1" applyFont="1" applyNumberFormat="1">
      <alignment readingOrder="0" vertical="bottom"/>
    </xf>
    <xf borderId="0" fillId="6" fontId="63" numFmtId="0" xfId="0" applyAlignment="1" applyFont="1">
      <alignment readingOrder="0"/>
    </xf>
  </cellXfs>
  <cellStyles count="1">
    <cellStyle xfId="0" name="Normal" builtinId="0"/>
  </cellStyles>
  <dxfs count="6">
    <dxf>
      <font/>
      <fill>
        <patternFill patternType="solid">
          <fgColor rgb="FFFCE8B2"/>
          <bgColor rgb="FFFCE8B2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rgb="FFEFEFEF"/>
          <bgColor rgb="FFEFEFEF"/>
        </patternFill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  <dxf>
      <font/>
      <fill>
        <patternFill patternType="solid">
          <fgColor rgb="FFB7E1CD"/>
          <bgColor rgb="FFB7E1CD"/>
        </patternFill>
      </fill>
      <border/>
    </dxf>
  </dxfs>
  <tableStyles count="37">
    <tableStyle count="3" pivot="0" name="Andover, UK-style">
      <tableStyleElement dxfId="2" type="headerRow"/>
      <tableStyleElement dxfId="3" type="firstRowStripe"/>
      <tableStyleElement dxfId="4" type="secondRowStripe"/>
    </tableStyle>
    <tableStyle count="3" pivot="0" name="Dapto, AUS-style">
      <tableStyleElement dxfId="2" type="headerRow"/>
      <tableStyleElement dxfId="3" type="firstRowStripe"/>
      <tableStyleElement dxfId="4" type="secondRowStripe"/>
    </tableStyle>
    <tableStyle count="3" pivot="0" name="Falling_Waters, USA-style">
      <tableStyleElement dxfId="2" type="headerRow"/>
      <tableStyleElement dxfId="3" type="firstRowStripe"/>
      <tableStyleElement dxfId="4" type="secondRowStripe"/>
    </tableStyle>
    <tableStyle count="3" pivot="0" name="Felsogalla, HU-style">
      <tableStyleElement dxfId="2" type="headerRow"/>
      <tableStyleElement dxfId="3" type="firstRowStripe"/>
      <tableStyleElement dxfId="4" type="secondRowStripe"/>
    </tableStyle>
    <tableStyle count="3" pivot="0" name="Hagerstown, USA-style">
      <tableStyleElement dxfId="2" type="headerRow"/>
      <tableStyleElement dxfId="3" type="firstRowStripe"/>
      <tableStyleElement dxfId="4" type="secondRowStripe"/>
    </tableStyle>
    <tableStyle count="3" pivot="0" name="Kelmscott, AUS-style">
      <tableStyleElement dxfId="2" type="headerRow"/>
      <tableStyleElement dxfId="3" type="firstRowStripe"/>
      <tableStyleElement dxfId="4" type="secondRowStripe"/>
    </tableStyle>
    <tableStyle count="3" pivot="0" name="Kingswood, UK-style">
      <tableStyleElement dxfId="2" type="headerRow"/>
      <tableStyleElement dxfId="3" type="firstRowStripe"/>
      <tableStyleElement dxfId="4" type="secondRowStripe"/>
    </tableStyle>
    <tableStyle count="3" pivot="0" name="Linköping, SW-style">
      <tableStyleElement dxfId="2" type="headerRow"/>
      <tableStyleElement dxfId="3" type="firstRowStripe"/>
      <tableStyleElement dxfId="4" type="secondRowStripe"/>
    </tableStyle>
    <tableStyle count="3" pivot="0" name="Meitingen, GER-style">
      <tableStyleElement dxfId="2" type="headerRow"/>
      <tableStyleElement dxfId="3" type="firstRowStripe"/>
      <tableStyleElement dxfId="4" type="secondRowStripe"/>
    </tableStyle>
    <tableStyle count="3" pivot="0" name="New Westminster, CAN-style">
      <tableStyleElement dxfId="2" type="headerRow"/>
      <tableStyleElement dxfId="3" type="firstRowStripe"/>
      <tableStyleElement dxfId="4" type="secondRowStripe"/>
    </tableStyle>
    <tableStyle count="3" pivot="0" name="Norlane, AUS-style">
      <tableStyleElement dxfId="2" type="headerRow"/>
      <tableStyleElement dxfId="3" type="firstRowStripe"/>
      <tableStyleElement dxfId="4" type="secondRowStripe"/>
    </tableStyle>
    <tableStyle count="3" pivot="0" name="Ospel, NL-style">
      <tableStyleElement dxfId="2" type="headerRow"/>
      <tableStyleElement dxfId="3" type="firstRowStripe"/>
      <tableStyleElement dxfId="4" type="secondRowStripe"/>
    </tableStyle>
    <tableStyle count="3" pivot="0" name="Thringstone, UK-style">
      <tableStyleElement dxfId="2" type="headerRow"/>
      <tableStyleElement dxfId="3" type="firstRowStripe"/>
      <tableStyleElement dxfId="4" type="secondRowStripe"/>
    </tableStyle>
    <tableStyle count="3" pivot="0" name="Austin, USA-style">
      <tableStyleElement dxfId="2" type="headerRow"/>
      <tableStyleElement dxfId="3" type="firstRowStripe"/>
      <tableStyleElement dxfId="4" type="secondRowStripe"/>
    </tableStyle>
    <tableStyle count="3" pivot="0" name="Wonthaggi, AUS-style">
      <tableStyleElement dxfId="2" type="headerRow"/>
      <tableStyleElement dxfId="3" type="firstRowStripe"/>
      <tableStyleElement dxfId="4" type="secondRowStripe"/>
    </tableStyle>
    <tableStyle count="3" pivot="0" name="Arnhem, NL-style">
      <tableStyleElement dxfId="2" type="headerRow"/>
      <tableStyleElement dxfId="3" type="firstRowStripe"/>
      <tableStyleElement dxfId="4" type="secondRowStripe"/>
    </tableStyle>
    <tableStyle count="3" pivot="0" name="Bedford, UK-style">
      <tableStyleElement dxfId="2" type="headerRow"/>
      <tableStyleElement dxfId="3" type="firstRowStripe"/>
      <tableStyleElement dxfId="4" type="secondRowStripe"/>
    </tableStyle>
    <tableStyle count="3" pivot="0" name="Berlin, GER-style">
      <tableStyleElement dxfId="2" type="headerRow"/>
      <tableStyleElement dxfId="3" type="firstRowStripe"/>
      <tableStyleElement dxfId="4" type="secondRowStripe"/>
    </tableStyle>
    <tableStyle count="3" pivot="0" name="Brossard, CAN-style">
      <tableStyleElement dxfId="2" type="headerRow"/>
      <tableStyleElement dxfId="3" type="firstRowStripe"/>
      <tableStyleElement dxfId="4" type="secondRowStripe"/>
    </tableStyle>
    <tableStyle count="3" pivot="0" name="Browns Plains, AUS-style">
      <tableStyleElement dxfId="2" type="headerRow"/>
      <tableStyleElement dxfId="3" type="firstRowStripe"/>
      <tableStyleElement dxfId="4" type="secondRowStripe"/>
    </tableStyle>
    <tableStyle count="3" pivot="0" name="Chemnitz, GER-style">
      <tableStyleElement dxfId="2" type="headerRow"/>
      <tableStyleElement dxfId="3" type="firstRowStripe"/>
      <tableStyleElement dxfId="4" type="secondRowStripe"/>
    </tableStyle>
    <tableStyle count="3" pivot="0" name="Desert Lodge, USA-style">
      <tableStyleElement dxfId="2" type="headerRow"/>
      <tableStyleElement dxfId="3" type="firstRowStripe"/>
      <tableStyleElement dxfId="4" type="secondRowStripe"/>
    </tableStyle>
    <tableStyle count="3" pivot="0" name="Escondido, USA-style">
      <tableStyleElement dxfId="2" type="headerRow"/>
      <tableStyleElement dxfId="3" type="firstRowStripe"/>
      <tableStyleElement dxfId="4" type="secondRowStripe"/>
    </tableStyle>
    <tableStyle count="3" pivot="0" name="Georgetown, CAN-style">
      <tableStyleElement dxfId="2" type="headerRow"/>
      <tableStyleElement dxfId="3" type="firstRowStripe"/>
      <tableStyleElement dxfId="4" type="secondRowStripe"/>
    </tableStyle>
    <tableStyle count="3" pivot="0" name="Glen Oaks, USA-style">
      <tableStyleElement dxfId="2" type="headerRow"/>
      <tableStyleElement dxfId="3" type="firstRowStripe"/>
      <tableStyleElement dxfId="4" type="secondRowStripe"/>
    </tableStyle>
    <tableStyle count="3" pivot="0" name="Gotenborg, SW-style">
      <tableStyleElement dxfId="2" type="headerRow"/>
      <tableStyleElement dxfId="3" type="firstRowStripe"/>
      <tableStyleElement dxfId="4" type="secondRowStripe"/>
    </tableStyle>
    <tableStyle count="3" pivot="0" name="Gouda, NL-style">
      <tableStyleElement dxfId="2" type="headerRow"/>
      <tableStyleElement dxfId="3" type="firstRowStripe"/>
      <tableStyleElement dxfId="4" type="secondRowStripe"/>
    </tableStyle>
    <tableStyle count="3" pivot="0" name="Groningen, NL-style">
      <tableStyleElement dxfId="2" type="headerRow"/>
      <tableStyleElement dxfId="3" type="firstRowStripe"/>
      <tableStyleElement dxfId="4" type="secondRowStripe"/>
    </tableStyle>
    <tableStyle count="3" pivot="0" name="Hoofddorp, NL-style">
      <tableStyleElement dxfId="2" type="headerRow"/>
      <tableStyleElement dxfId="3" type="firstRowStripe"/>
      <tableStyleElement dxfId="4" type="secondRowStripe"/>
    </tableStyle>
    <tableStyle count="3" pivot="0" name="MHQ, USA-style">
      <tableStyleElement dxfId="2" type="headerRow"/>
      <tableStyleElement dxfId="3" type="firstRowStripe"/>
      <tableStyleElement dxfId="4" type="secondRowStripe"/>
    </tableStyle>
    <tableStyle count="3" pivot="0" name="Morayfield, AUS-style">
      <tableStyleElement dxfId="2" type="headerRow"/>
      <tableStyleElement dxfId="3" type="firstRowStripe"/>
      <tableStyleElement dxfId="4" type="secondRowStripe"/>
    </tableStyle>
    <tableStyle count="3" pivot="0" name="Onkaparinga_Hills, AUS-style">
      <tableStyleElement dxfId="2" type="headerRow"/>
      <tableStyleElement dxfId="3" type="firstRowStripe"/>
      <tableStyleElement dxfId="4" type="secondRowStripe"/>
    </tableStyle>
    <tableStyle count="3" pivot="0" name="Perth, AUS-style">
      <tableStyleElement dxfId="2" type="headerRow"/>
      <tableStyleElement dxfId="3" type="firstRowStripe"/>
      <tableStyleElement dxfId="4" type="secondRowStripe"/>
    </tableStyle>
    <tableStyle count="3" pivot="0" name="Plympton, UK-style">
      <tableStyleElement dxfId="2" type="headerRow"/>
      <tableStyleElement dxfId="3" type="firstRowStripe"/>
      <tableStyleElement dxfId="4" type="secondRowStripe"/>
    </tableStyle>
    <tableStyle count="3" pivot="0" name="Raleigh, USA-style">
      <tableStyleElement dxfId="2" type="headerRow"/>
      <tableStyleElement dxfId="3" type="firstRowStripe"/>
      <tableStyleElement dxfId="4" type="secondRowStripe"/>
    </tableStyle>
    <tableStyle count="3" pivot="0" name="Shepparton, AUS-style">
      <tableStyleElement dxfId="2" type="headerRow"/>
      <tableStyleElement dxfId="3" type="firstRowStripe"/>
      <tableStyleElement dxfId="4" type="secondRowStripe"/>
    </tableStyle>
    <tableStyle count="3" pivot="0" name="Vosselaar, BE-style">
      <tableStyleElement dxfId="2" type="headerRow"/>
      <tableStyleElement dxfId="3" type="firstRowStripe"/>
      <tableStyleElement dxfId="4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40" Type="http://schemas.openxmlformats.org/officeDocument/2006/relationships/worksheet" Target="worksheets/sheet37.xml"/><Relationship Id="rId42" Type="http://schemas.openxmlformats.org/officeDocument/2006/relationships/worksheet" Target="worksheets/sheet39.xml"/><Relationship Id="rId41" Type="http://schemas.openxmlformats.org/officeDocument/2006/relationships/worksheet" Target="worksheets/sheet38.xml"/><Relationship Id="rId44" Type="http://schemas.openxmlformats.org/officeDocument/2006/relationships/worksheet" Target="worksheets/sheet41.xml"/><Relationship Id="rId43" Type="http://schemas.openxmlformats.org/officeDocument/2006/relationships/worksheet" Target="worksheets/sheet40.xml"/><Relationship Id="rId31" Type="http://schemas.openxmlformats.org/officeDocument/2006/relationships/worksheet" Target="worksheets/sheet28.xml"/><Relationship Id="rId30" Type="http://schemas.openxmlformats.org/officeDocument/2006/relationships/worksheet" Target="worksheets/sheet27.xml"/><Relationship Id="rId33" Type="http://schemas.openxmlformats.org/officeDocument/2006/relationships/worksheet" Target="worksheets/sheet30.xml"/><Relationship Id="rId32" Type="http://schemas.openxmlformats.org/officeDocument/2006/relationships/worksheet" Target="worksheets/sheet29.xml"/><Relationship Id="rId35" Type="http://schemas.openxmlformats.org/officeDocument/2006/relationships/worksheet" Target="worksheets/sheet32.xml"/><Relationship Id="rId34" Type="http://schemas.openxmlformats.org/officeDocument/2006/relationships/worksheet" Target="worksheets/sheet31.xml"/><Relationship Id="rId37" Type="http://schemas.openxmlformats.org/officeDocument/2006/relationships/worksheet" Target="worksheets/sheet34.xml"/><Relationship Id="rId36" Type="http://schemas.openxmlformats.org/officeDocument/2006/relationships/worksheet" Target="worksheets/sheet33.xml"/><Relationship Id="rId39" Type="http://schemas.openxmlformats.org/officeDocument/2006/relationships/worksheet" Target="worksheets/sheet36.xml"/><Relationship Id="rId38" Type="http://schemas.openxmlformats.org/officeDocument/2006/relationships/worksheet" Target="worksheets/sheet35.xml"/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26" Type="http://schemas.openxmlformats.org/officeDocument/2006/relationships/worksheet" Target="worksheets/sheet23.xml"/><Relationship Id="rId25" Type="http://schemas.openxmlformats.org/officeDocument/2006/relationships/worksheet" Target="worksheets/sheet22.xml"/><Relationship Id="rId28" Type="http://schemas.openxmlformats.org/officeDocument/2006/relationships/worksheet" Target="worksheets/sheet25.xml"/><Relationship Id="rId27" Type="http://schemas.openxmlformats.org/officeDocument/2006/relationships/worksheet" Target="worksheets/sheet24.xml"/><Relationship Id="rId29" Type="http://schemas.openxmlformats.org/officeDocument/2006/relationships/worksheet" Target="worksheets/sheet26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3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4.xml.rels><?xml version="1.0" encoding="UTF-8" standalone="yes"?>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5.xml.rels><?xml version="1.0" encoding="UTF-8" standalone="yes"?>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6.xml.rels><?xml version="1.0" encoding="UTF-8" standalone="yes"?>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27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8.xml.rels><?xml version="1.0" encoding="UTF-8" standalone="yes"?>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9.xml.rels><?xml version="1.0" encoding="UTF-8" standalone="yes"?>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0.xml.rels><?xml version="1.0" encoding="UTF-8" standalone="yes"?>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31.xml.rels><?xml version="1.0" encoding="UTF-8" standalone="yes"?>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2.xml.rels><?xml version="1.0" encoding="UTF-8" standalone="yes"?>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4.xml.rels><?xml version="1.0" encoding="UTF-8" standalone="yes"?>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5.xml.rels><?xml version="1.0" encoding="UTF-8" standalone="yes"?>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6.xml.rels><?xml version="1.0" encoding="UTF-8" standalone="yes"?>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7.xml.rels><?xml version="1.0" encoding="UTF-8" standalone="yes"?>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8.xml.rels><?xml version="1.0" encoding="UTF-8" standalone="yes"?>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9.xml.rels><?xml version="1.0" encoding="UTF-8" standalone="yes"?>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2095500</xdr:colOff>
      <xdr:row>0</xdr:row>
      <xdr:rowOff>123825</xdr:rowOff>
    </xdr:from>
    <xdr:ext cx="2552700" cy="2333625"/>
    <xdr:pic>
      <xdr:nvPicPr>
        <xdr:cNvPr id="0" name="image2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62</xdr:row>
      <xdr:rowOff>0</xdr:rowOff>
    </xdr:from>
    <xdr:ext cx="8115300" cy="5591175"/>
    <xdr:pic>
      <xdr:nvPicPr>
        <xdr:cNvPr id="0" name="image10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7153275" cy="5391150"/>
    <xdr:pic>
      <xdr:nvPicPr>
        <xdr:cNvPr id="0" name="image16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600075</xdr:colOff>
      <xdr:row>65</xdr:row>
      <xdr:rowOff>66675</xdr:rowOff>
    </xdr:from>
    <xdr:ext cx="3895725" cy="3857625"/>
    <xdr:pic>
      <xdr:nvPicPr>
        <xdr:cNvPr id="0" name="image11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5819775" cy="4619625"/>
    <xdr:pic>
      <xdr:nvPicPr>
        <xdr:cNvPr id="0" name="image14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62</xdr:row>
      <xdr:rowOff>0</xdr:rowOff>
    </xdr:from>
    <xdr:ext cx="8543925" cy="5629275"/>
    <xdr:pic>
      <xdr:nvPicPr>
        <xdr:cNvPr id="0" name="image13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6419850" cy="5133975"/>
    <xdr:pic>
      <xdr:nvPicPr>
        <xdr:cNvPr id="0" name="image12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64</xdr:row>
      <xdr:rowOff>0</xdr:rowOff>
    </xdr:from>
    <xdr:ext cx="4438650" cy="4286250"/>
    <xdr:pic>
      <xdr:nvPicPr>
        <xdr:cNvPr id="0" name="image15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9067800" cy="4943475"/>
    <xdr:pic>
      <xdr:nvPicPr>
        <xdr:cNvPr id="0" name="image17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571500</xdr:colOff>
      <xdr:row>62</xdr:row>
      <xdr:rowOff>19050</xdr:rowOff>
    </xdr:from>
    <xdr:ext cx="6724650" cy="4476750"/>
    <xdr:pic>
      <xdr:nvPicPr>
        <xdr:cNvPr id="0" name="image3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8448675" cy="5476875"/>
    <xdr:pic>
      <xdr:nvPicPr>
        <xdr:cNvPr id="0" name="image18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57150</xdr:colOff>
      <xdr:row>62</xdr:row>
      <xdr:rowOff>28575</xdr:rowOff>
    </xdr:from>
    <xdr:ext cx="7896225" cy="3933825"/>
    <xdr:pic>
      <xdr:nvPicPr>
        <xdr:cNvPr id="0" name="image19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6734175" cy="3962400"/>
    <xdr:pic>
      <xdr:nvPicPr>
        <xdr:cNvPr id="0" name="image21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9525</xdr:colOff>
      <xdr:row>62</xdr:row>
      <xdr:rowOff>104775</xdr:rowOff>
    </xdr:from>
    <xdr:ext cx="9010650" cy="5334000"/>
    <xdr:pic>
      <xdr:nvPicPr>
        <xdr:cNvPr id="0" name="image20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104775</xdr:colOff>
      <xdr:row>59</xdr:row>
      <xdr:rowOff>200025</xdr:rowOff>
    </xdr:from>
    <xdr:ext cx="7248525" cy="5257800"/>
    <xdr:pic>
      <xdr:nvPicPr>
        <xdr:cNvPr id="0" name="image23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7077075" cy="5038725"/>
    <xdr:pic>
      <xdr:nvPicPr>
        <xdr:cNvPr id="0" name="image26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62</xdr:row>
      <xdr:rowOff>0</xdr:rowOff>
    </xdr:from>
    <xdr:ext cx="7115175" cy="5448300"/>
    <xdr:pic>
      <xdr:nvPicPr>
        <xdr:cNvPr id="0" name="image24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28575</xdr:colOff>
      <xdr:row>64</xdr:row>
      <xdr:rowOff>95250</xdr:rowOff>
    </xdr:from>
    <xdr:ext cx="5800725" cy="4676775"/>
    <xdr:pic>
      <xdr:nvPicPr>
        <xdr:cNvPr id="0" name="image22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64</xdr:row>
      <xdr:rowOff>0</xdr:rowOff>
    </xdr:from>
    <xdr:ext cx="7343775" cy="4600575"/>
    <xdr:pic>
      <xdr:nvPicPr>
        <xdr:cNvPr id="0" name="image25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62</xdr:row>
      <xdr:rowOff>0</xdr:rowOff>
    </xdr:from>
    <xdr:ext cx="8029575" cy="5572125"/>
    <xdr:pic>
      <xdr:nvPicPr>
        <xdr:cNvPr id="0" name="image27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6381750" cy="4448175"/>
    <xdr:pic>
      <xdr:nvPicPr>
        <xdr:cNvPr id="0" name="image1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63</xdr:row>
      <xdr:rowOff>0</xdr:rowOff>
    </xdr:from>
    <xdr:ext cx="7334250" cy="5686425"/>
    <xdr:pic>
      <xdr:nvPicPr>
        <xdr:cNvPr id="0" name="image28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62</xdr:row>
      <xdr:rowOff>0</xdr:rowOff>
    </xdr:from>
    <xdr:ext cx="7591425" cy="4572000"/>
    <xdr:pic>
      <xdr:nvPicPr>
        <xdr:cNvPr id="0" name="image29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28575</xdr:colOff>
      <xdr:row>61</xdr:row>
      <xdr:rowOff>152400</xdr:rowOff>
    </xdr:from>
    <xdr:ext cx="8562975" cy="5105400"/>
    <xdr:pic>
      <xdr:nvPicPr>
        <xdr:cNvPr id="0" name="image30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61</xdr:row>
      <xdr:rowOff>0</xdr:rowOff>
    </xdr:from>
    <xdr:ext cx="7791450" cy="5448300"/>
    <xdr:pic>
      <xdr:nvPicPr>
        <xdr:cNvPr id="0" name="image31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8077200" cy="5534025"/>
    <xdr:pic>
      <xdr:nvPicPr>
        <xdr:cNvPr id="0" name="image32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8934450" cy="5619750"/>
    <xdr:pic>
      <xdr:nvPicPr>
        <xdr:cNvPr id="0" name="image33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65</xdr:row>
      <xdr:rowOff>-133350</xdr:rowOff>
    </xdr:from>
    <xdr:ext cx="6391275" cy="3648075"/>
    <xdr:pic>
      <xdr:nvPicPr>
        <xdr:cNvPr id="0" name="image34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0</xdr:colOff>
      <xdr:row>62</xdr:row>
      <xdr:rowOff>0</xdr:rowOff>
    </xdr:from>
    <xdr:ext cx="7315200" cy="4714875"/>
    <xdr:pic>
      <xdr:nvPicPr>
        <xdr:cNvPr id="0" name="image36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7086600" cy="5143500"/>
    <xdr:pic>
      <xdr:nvPicPr>
        <xdr:cNvPr id="0" name="image35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76200</xdr:colOff>
      <xdr:row>63</xdr:row>
      <xdr:rowOff>209550</xdr:rowOff>
    </xdr:from>
    <xdr:ext cx="6229350" cy="3333750"/>
    <xdr:pic>
      <xdr:nvPicPr>
        <xdr:cNvPr id="0" name="image4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933450</xdr:colOff>
      <xdr:row>62</xdr:row>
      <xdr:rowOff>152400</xdr:rowOff>
    </xdr:from>
    <xdr:ext cx="9124950" cy="5391150"/>
    <xdr:pic>
      <xdr:nvPicPr>
        <xdr:cNvPr id="0" name="image37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7943850" cy="5457825"/>
    <xdr:pic>
      <xdr:nvPicPr>
        <xdr:cNvPr id="0" name="image5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62</xdr:row>
      <xdr:rowOff>0</xdr:rowOff>
    </xdr:from>
    <xdr:ext cx="4819650" cy="4067175"/>
    <xdr:pic>
      <xdr:nvPicPr>
        <xdr:cNvPr id="0" name="image6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6315075" cy="5000625"/>
    <xdr:pic>
      <xdr:nvPicPr>
        <xdr:cNvPr id="0" name="image7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63</xdr:row>
      <xdr:rowOff>0</xdr:rowOff>
    </xdr:from>
    <xdr:ext cx="7943850" cy="5419725"/>
    <xdr:pic>
      <xdr:nvPicPr>
        <xdr:cNvPr id="0" name="image8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65</xdr:row>
      <xdr:rowOff>0</xdr:rowOff>
    </xdr:from>
    <xdr:ext cx="4086225" cy="3895725"/>
    <xdr:pic>
      <xdr:nvPicPr>
        <xdr:cNvPr id="0" name="image9.png" title="Afbeeldi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headerRowCount="0" ref="A8:H59" displayName="Table_1" id="1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Andover, UK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0.xml><?xml version="1.0" encoding="utf-8"?>
<table xmlns="http://schemas.openxmlformats.org/spreadsheetml/2006/main" headerRowCount="0" ref="A8:G59" displayName="Table_10" id="10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New Westminster, CAN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1.xml><?xml version="1.0" encoding="utf-8"?>
<table xmlns="http://schemas.openxmlformats.org/spreadsheetml/2006/main" headerRowCount="0" ref="A8:G59" displayName="Table_11" id="11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Norlane, AU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2.xml><?xml version="1.0" encoding="utf-8"?>
<table xmlns="http://schemas.openxmlformats.org/spreadsheetml/2006/main" headerRowCount="0" ref="A8:G59" displayName="Table_12" id="12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Ospel, NL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3.xml><?xml version="1.0" encoding="utf-8"?>
<table xmlns="http://schemas.openxmlformats.org/spreadsheetml/2006/main" headerRowCount="0" ref="A8:G59" displayName="Table_13" id="13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Thringstone, UK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4.xml><?xml version="1.0" encoding="utf-8"?>
<table xmlns="http://schemas.openxmlformats.org/spreadsheetml/2006/main" headerRowCount="0" ref="A8:H59" displayName="Table_14" id="14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Austin, USA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5.xml><?xml version="1.0" encoding="utf-8"?>
<table xmlns="http://schemas.openxmlformats.org/spreadsheetml/2006/main" headerRowCount="0" ref="A8:G59" displayName="Table_15" id="15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Wonthaggi, AU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6.xml><?xml version="1.0" encoding="utf-8"?>
<table xmlns="http://schemas.openxmlformats.org/spreadsheetml/2006/main" headerRowCount="0" ref="A8:G59" displayName="Table_16" id="16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Arnhem, NL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7.xml><?xml version="1.0" encoding="utf-8"?>
<table xmlns="http://schemas.openxmlformats.org/spreadsheetml/2006/main" headerRowCount="0" ref="A8:G59" displayName="Table_17" id="17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Bedford, UK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8.xml><?xml version="1.0" encoding="utf-8"?>
<table xmlns="http://schemas.openxmlformats.org/spreadsheetml/2006/main" headerRowCount="0" ref="A8:G59" displayName="Table_18" id="18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Berlin, GER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19.xml><?xml version="1.0" encoding="utf-8"?>
<table xmlns="http://schemas.openxmlformats.org/spreadsheetml/2006/main" headerRowCount="0" ref="A8:G59" displayName="Table_19" id="19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Brossard, CAN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.xml><?xml version="1.0" encoding="utf-8"?>
<table xmlns="http://schemas.openxmlformats.org/spreadsheetml/2006/main" headerRowCount="0" ref="A8:G59" displayName="Table_2" id="2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Dapto, AU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0.xml><?xml version="1.0" encoding="utf-8"?>
<table xmlns="http://schemas.openxmlformats.org/spreadsheetml/2006/main" headerRowCount="0" ref="A8:H59" displayName="Table_20" id="20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Browns Plains, AU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1.xml><?xml version="1.0" encoding="utf-8"?>
<table xmlns="http://schemas.openxmlformats.org/spreadsheetml/2006/main" headerRowCount="0" ref="A8:G59" displayName="Table_21" id="21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Chemnitz, GER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2.xml><?xml version="1.0" encoding="utf-8"?>
<table xmlns="http://schemas.openxmlformats.org/spreadsheetml/2006/main" headerRowCount="0" ref="A8:G59" displayName="Table_22" id="22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Desert Lodge, USA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3.xml><?xml version="1.0" encoding="utf-8"?>
<table xmlns="http://schemas.openxmlformats.org/spreadsheetml/2006/main" headerRowCount="0" ref="A8:H59" displayName="Table_23" id="23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Escondido, USA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4.xml><?xml version="1.0" encoding="utf-8"?>
<table xmlns="http://schemas.openxmlformats.org/spreadsheetml/2006/main" headerRowCount="0" ref="A8:H59" displayName="Table_24" id="24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Georgetown, CAN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5.xml><?xml version="1.0" encoding="utf-8"?>
<table xmlns="http://schemas.openxmlformats.org/spreadsheetml/2006/main" headerRowCount="0" ref="A8:G59" displayName="Table_25" id="25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Glen Oaks, USA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6.xml><?xml version="1.0" encoding="utf-8"?>
<table xmlns="http://schemas.openxmlformats.org/spreadsheetml/2006/main" headerRowCount="0" ref="A8:G59" displayName="Table_26" id="26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Gotenborg, SW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7.xml><?xml version="1.0" encoding="utf-8"?>
<table xmlns="http://schemas.openxmlformats.org/spreadsheetml/2006/main" headerRowCount="0" ref="A8:G59" displayName="Table_27" id="27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Gouda, NL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8.xml><?xml version="1.0" encoding="utf-8"?>
<table xmlns="http://schemas.openxmlformats.org/spreadsheetml/2006/main" headerRowCount="0" ref="A8:G59" displayName="Table_28" id="28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Groningen, NL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29.xml><?xml version="1.0" encoding="utf-8"?>
<table xmlns="http://schemas.openxmlformats.org/spreadsheetml/2006/main" headerRowCount="0" ref="A8:H59" displayName="Table_29" id="29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Hoofddorp, NL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.xml><?xml version="1.0" encoding="utf-8"?>
<table xmlns="http://schemas.openxmlformats.org/spreadsheetml/2006/main" headerRowCount="0" ref="A8:G59" displayName="Table_3" id="3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Falling_Waters, USA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0.xml><?xml version="1.0" encoding="utf-8"?>
<table xmlns="http://schemas.openxmlformats.org/spreadsheetml/2006/main" headerRowCount="0" ref="A8:H59" displayName="Table_30" id="30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MHQ, USA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1.xml><?xml version="1.0" encoding="utf-8"?>
<table xmlns="http://schemas.openxmlformats.org/spreadsheetml/2006/main" headerRowCount="0" ref="A8:G59" displayName="Table_31" id="31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Morayfield, AU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2.xml><?xml version="1.0" encoding="utf-8"?>
<table xmlns="http://schemas.openxmlformats.org/spreadsheetml/2006/main" headerRowCount="0" ref="A8:H59" displayName="Table_32" id="32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Onkaparinga_Hills, AU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3.xml><?xml version="1.0" encoding="utf-8"?>
<table xmlns="http://schemas.openxmlformats.org/spreadsheetml/2006/main" headerRowCount="0" ref="A8:H59" displayName="Table_33" id="33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Perth, AU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4.xml><?xml version="1.0" encoding="utf-8"?>
<table xmlns="http://schemas.openxmlformats.org/spreadsheetml/2006/main" headerRowCount="0" ref="A8:G59" displayName="Table_34" id="34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Plympton, UK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5.xml><?xml version="1.0" encoding="utf-8"?>
<table xmlns="http://schemas.openxmlformats.org/spreadsheetml/2006/main" headerRowCount="0" ref="A8:H59" displayName="Table_35" id="35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Raleigh, USA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6.xml><?xml version="1.0" encoding="utf-8"?>
<table xmlns="http://schemas.openxmlformats.org/spreadsheetml/2006/main" headerRowCount="0" ref="A8:G59" displayName="Table_36" id="36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Shepparton, AU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37.xml><?xml version="1.0" encoding="utf-8"?>
<table xmlns="http://schemas.openxmlformats.org/spreadsheetml/2006/main" headerRowCount="0" ref="A8:G59" displayName="Table_37" id="37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Vosselaar, BE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4.xml><?xml version="1.0" encoding="utf-8"?>
<table xmlns="http://schemas.openxmlformats.org/spreadsheetml/2006/main" headerRowCount="0" ref="A8:G59" displayName="Table_4" id="4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Felsogalla, HU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5.xml><?xml version="1.0" encoding="utf-8"?>
<table xmlns="http://schemas.openxmlformats.org/spreadsheetml/2006/main" headerRowCount="0" ref="A8:H59" displayName="Table_5" id="5">
  <tableColumns count="8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  <tableColumn name="Column8" id="8"/>
  </tableColumns>
  <tableStyleInfo name="Hagerstown, USA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6.xml><?xml version="1.0" encoding="utf-8"?>
<table xmlns="http://schemas.openxmlformats.org/spreadsheetml/2006/main" headerRowCount="0" ref="A8:G59" displayName="Table_6" id="6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Kelmscott, AUS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7.xml><?xml version="1.0" encoding="utf-8"?>
<table xmlns="http://schemas.openxmlformats.org/spreadsheetml/2006/main" headerRowCount="0" ref="A8:G59" displayName="Table_7" id="7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Kingswood, UK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8.xml><?xml version="1.0" encoding="utf-8"?>
<table xmlns="http://schemas.openxmlformats.org/spreadsheetml/2006/main" headerRowCount="0" ref="A8:G59" displayName="Table_8" id="8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Linköping, SW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ables/table9.xml><?xml version="1.0" encoding="utf-8"?>
<table xmlns="http://schemas.openxmlformats.org/spreadsheetml/2006/main" headerRowCount="0" ref="A8:G59" displayName="Table_9" id="9">
  <tableColumns count="7">
    <tableColumn name="Column1" id="1"/>
    <tableColumn name="Column2" id="2"/>
    <tableColumn name="Column3" id="3"/>
    <tableColumn name="Column4" id="4"/>
    <tableColumn name="Column5" id="5"/>
    <tableColumn name="Column6" id="6"/>
    <tableColumn name="Column7" id="7"/>
  </tableColumns>
  <tableStyleInfo name="Meitingen, GER-style" showColumnStripes="0" showFirstColumn="1" showLastColumn="1" showRowStripes="1"/>
  <extLst>
    <ext uri="GoogleSheetsCustomDataVersion1">
      <go:sheetsCustomData xmlns:go="http://customooxmlschemas.google.com/" headerRowCount="1"/>
    </ext>
  </extLst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bit.ly/2Zs3joj" TargetMode="External"/><Relationship Id="rId2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unzee.com/m/OdinsFiRe/2182/" TargetMode="External"/><Relationship Id="rId42" Type="http://schemas.openxmlformats.org/officeDocument/2006/relationships/hyperlink" Target="https://www.munzee.com/m/Bungle/10929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s://www.munzee.com/m/lupinchen/1903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s://www.munzee.com/m/Anetzet/3912/" TargetMode="External"/><Relationship Id="rId45" Type="http://schemas.openxmlformats.org/officeDocument/2006/relationships/hyperlink" Target="http://www.munzee.com" TargetMode="External"/><Relationship Id="rId48" Type="http://schemas.openxmlformats.org/officeDocument/2006/relationships/hyperlink" Target="https://www.munzee.com/m/lison55/15741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://www.munzee.com" TargetMode="External"/><Relationship Id="rId31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Ellesche/834" TargetMode="External"/><Relationship Id="rId33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Drazoria/1602/" TargetMode="External"/><Relationship Id="rId35" Type="http://schemas.openxmlformats.org/officeDocument/2006/relationships/hyperlink" Target="http://www.munzee.com" TargetMode="External"/><Relationship Id="rId34" Type="http://schemas.openxmlformats.org/officeDocument/2006/relationships/hyperlink" Target="https://www.munzee.com/m/Tinake1309/1663/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Berg14/1510/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s://www.munzee.com/m/Niks13/1524/" TargetMode="External"/><Relationship Id="rId20" Type="http://schemas.openxmlformats.org/officeDocument/2006/relationships/hyperlink" Target="https://www.munzee.com/m/xrayneex/2571/" TargetMode="External"/><Relationship Id="rId22" Type="http://schemas.openxmlformats.org/officeDocument/2006/relationships/hyperlink" Target="https://www.munzee.com/m/lupo6/6823" TargetMode="External"/><Relationship Id="rId21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crscousins/7366/" TargetMode="External"/><Relationship Id="rId23" Type="http://schemas.openxmlformats.org/officeDocument/2006/relationships/hyperlink" Target="http://www.munzee.com" TargetMode="External"/><Relationship Id="rId26" Type="http://schemas.openxmlformats.org/officeDocument/2006/relationships/hyperlink" Target="https://www.munzee.com/m/raunas/12415" TargetMode="External"/><Relationship Id="rId25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res2100/879/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11" Type="http://schemas.openxmlformats.org/officeDocument/2006/relationships/hyperlink" Target="http://www.munzee.com" TargetMode="External"/><Relationship Id="rId10" Type="http://schemas.openxmlformats.org/officeDocument/2006/relationships/hyperlink" Target="https://www.munzee.com/m/BrotherWilliam/5401/" TargetMode="External"/><Relationship Id="rId13" Type="http://schemas.openxmlformats.org/officeDocument/2006/relationships/hyperlink" Target="http://www.munzee.com" TargetMode="External"/><Relationship Id="rId12" Type="http://schemas.openxmlformats.org/officeDocument/2006/relationships/hyperlink" Target="https://www.munzee.com/m/ArtofEco/3685/" TargetMode="External"/><Relationship Id="rId15" Type="http://schemas.openxmlformats.org/officeDocument/2006/relationships/hyperlink" Target="http://www.munzee.com" TargetMode="External"/><Relationship Id="rId14" Type="http://schemas.openxmlformats.org/officeDocument/2006/relationships/hyperlink" Target="https://www.munzee.com/m/J1Huisman/14246/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fsafranek/5462/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rita85gto/3804/" TargetMode="External"/><Relationship Id="rId83" Type="http://schemas.openxmlformats.org/officeDocument/2006/relationships/drawing" Target="../drawings/drawing10.xml"/><Relationship Id="rId85" Type="http://schemas.openxmlformats.org/officeDocument/2006/relationships/table" Target="../tables/table9.xm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barefootguru/3697/" TargetMode="External"/><Relationship Id="rId1" Type="http://schemas.openxmlformats.org/officeDocument/2006/relationships/hyperlink" Target="https://www.munzee.com/map/u0xspjhtk/16" TargetMode="External"/><Relationship Id="rId2" Type="http://schemas.openxmlformats.org/officeDocument/2006/relationships/hyperlink" Target="https://www.munzee.com/m/belladivadee/3209/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sverlaan/6204/" TargetMode="External"/><Relationship Id="rId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PawPatrolThomas/4175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EmileP68/4939/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mortonfox/24559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123xilef/13721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Bisquick2/7256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://www.munzee.com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Derlame/21210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TheFrog/5785/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cbf600/3727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://www.munzee.com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://www.munzee.com" TargetMode="External"/><Relationship Id="rId58" Type="http://schemas.openxmlformats.org/officeDocument/2006/relationships/hyperlink" Target="http://www.munzee.com" TargetMode="External"/></Relationships>
</file>

<file path=xl/worksheets/_rels/sheet11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unzee.com/m/dQuest/6379" TargetMode="External"/><Relationship Id="rId42" Type="http://schemas.openxmlformats.org/officeDocument/2006/relationships/hyperlink" Target="https://www.munzee.com/m/lupo6/6968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s://www.munzee.com/m/Anetzet/3921/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s://www.munzee.com/m/crscousins/7429/" TargetMode="External"/><Relationship Id="rId45" Type="http://schemas.openxmlformats.org/officeDocument/2006/relationships/hyperlink" Target="http://www.munzee.com" TargetMode="External"/><Relationship Id="rId48" Type="http://schemas.openxmlformats.org/officeDocument/2006/relationships/hyperlink" Target="https://www.munzee.com/m/lison55/6321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://www.munzee.com" TargetMode="External"/><Relationship Id="rId31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Niks13/1355/" TargetMode="External"/><Relationship Id="rId33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fsafranek/5159/" TargetMode="External"/><Relationship Id="rId35" Type="http://schemas.openxmlformats.org/officeDocument/2006/relationships/hyperlink" Target="http://www.munzee.com" TargetMode="External"/><Relationship Id="rId34" Type="http://schemas.openxmlformats.org/officeDocument/2006/relationships/hyperlink" Target="https://www.munzee.com/m/ArtofEco/3347/admin/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BrotherWilliam/4545/admin/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s://www.munzee.com/m/WetCoaster/4087/" TargetMode="External"/><Relationship Id="rId20" Type="http://schemas.openxmlformats.org/officeDocument/2006/relationships/hyperlink" Target="https://www.munzee.com/m/Pinkeltje/1928/" TargetMode="External"/><Relationship Id="rId22" Type="http://schemas.openxmlformats.org/officeDocument/2006/relationships/hyperlink" Target="https://www.munzee.com/m/Derlame/16221/" TargetMode="External"/><Relationship Id="rId21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Drazoria/1532/" TargetMode="External"/><Relationship Id="rId23" Type="http://schemas.openxmlformats.org/officeDocument/2006/relationships/hyperlink" Target="http://www.munzee.com" TargetMode="External"/><Relationship Id="rId26" Type="http://schemas.openxmlformats.org/officeDocument/2006/relationships/hyperlink" Target="https://www.munzee.com/m/Tinake1309/1533/" TargetMode="External"/><Relationship Id="rId25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Berg14/1316/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95" Type="http://schemas.openxmlformats.org/officeDocument/2006/relationships/table" Target="../tables/table10.xml"/><Relationship Id="rId11" Type="http://schemas.openxmlformats.org/officeDocument/2006/relationships/hyperlink" Target="http://www.munzee.com" TargetMode="External"/><Relationship Id="rId10" Type="http://schemas.openxmlformats.org/officeDocument/2006/relationships/hyperlink" Target="https://www.munzee.com/m/xrayneex/2138/" TargetMode="External"/><Relationship Id="rId13" Type="http://schemas.openxmlformats.org/officeDocument/2006/relationships/hyperlink" Target="http://www.munzee.com" TargetMode="External"/><Relationship Id="rId12" Type="http://schemas.openxmlformats.org/officeDocument/2006/relationships/hyperlink" Target="https://www.munzee.com/m/raunas/12414" TargetMode="External"/><Relationship Id="rId91" Type="http://schemas.openxmlformats.org/officeDocument/2006/relationships/hyperlink" Target="https://www.munzee.com/m/PcLocator/4256/admin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drawing" Target="../drawings/drawing11.xml"/><Relationship Id="rId92" Type="http://schemas.openxmlformats.org/officeDocument/2006/relationships/hyperlink" Target="http://www.munzee.com" TargetMode="External"/><Relationship Id="rId15" Type="http://schemas.openxmlformats.org/officeDocument/2006/relationships/hyperlink" Target="http://www.munzee.com" TargetMode="External"/><Relationship Id="rId14" Type="http://schemas.openxmlformats.org/officeDocument/2006/relationships/hyperlink" Target="https://www.munzee.com/m/barefootguru/3321/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GroteSufferd/653/admin/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J1Huisman/11218/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://www.munzee.com" TargetMode="External"/><Relationship Id="rId86" Type="http://schemas.openxmlformats.org/officeDocument/2006/relationships/hyperlink" Target="https://www.munzee.com/m/mortonfox/22627/" TargetMode="External"/><Relationship Id="rId85" Type="http://schemas.openxmlformats.org/officeDocument/2006/relationships/hyperlink" Target="http://www.munzee.com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://www.munzee.com" TargetMode="External"/><Relationship Id="rId89" Type="http://schemas.openxmlformats.org/officeDocument/2006/relationships/hyperlink" Target="https://www.munzee.com/m/dQuest/6372" TargetMode="External"/><Relationship Id="rId80" Type="http://schemas.openxmlformats.org/officeDocument/2006/relationships/hyperlink" Target="https://www.munzee.com/m/123xilef/9186/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ap/c28xfy4mw/16" TargetMode="External"/><Relationship Id="rId2" Type="http://schemas.openxmlformats.org/officeDocument/2006/relationships/hyperlink" Target="https://www.munzee.com/m/Belladivadee/3547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sverlaan/4471/" TargetMode="External"/><Relationship Id="rId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EmileP68/3357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PawPatrolThomas/2887/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s://www.munzee.com/m/rita85gto/5139/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s://www.munzee.com/m/TheFrog/5226/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s://www.munzee.com/m/Bisquick2/5324/" TargetMode="External"/><Relationship Id="rId62" Type="http://schemas.openxmlformats.org/officeDocument/2006/relationships/hyperlink" Target="https://www.munzee.com/m/MeanderingMonkeys/22530/" TargetMode="External"/><Relationship Id="rId61" Type="http://schemas.openxmlformats.org/officeDocument/2006/relationships/hyperlink" Target="http://www.munzee.com" TargetMode="External"/><Relationship Id="rId64" Type="http://schemas.openxmlformats.org/officeDocument/2006/relationships/hyperlink" Target="https://www.munzee.com/m/Girlteddy5/35/" TargetMode="External"/><Relationship Id="rId63" Type="http://schemas.openxmlformats.org/officeDocument/2006/relationships/hyperlink" Target="http://www.munzee.com" TargetMode="External"/><Relationship Id="rId66" Type="http://schemas.openxmlformats.org/officeDocument/2006/relationships/hyperlink" Target="https://www.munzee.com/m/OdinsFiRe/2073/" TargetMode="External"/><Relationship Id="rId65" Type="http://schemas.openxmlformats.org/officeDocument/2006/relationships/hyperlink" Target="http://www.munzee.com" TargetMode="External"/><Relationship Id="rId68" Type="http://schemas.openxmlformats.org/officeDocument/2006/relationships/hyperlink" Target="https://www.munzee.com/m/dQuest/6378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s://www.munzee.com/m/Bungle/10931" TargetMode="External"/><Relationship Id="rId69" Type="http://schemas.openxmlformats.org/officeDocument/2006/relationships/hyperlink" Target="http://www.munzee.com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s://www.munzee.com/m/res2100/808/" TargetMode="External"/><Relationship Id="rId53" Type="http://schemas.openxmlformats.org/officeDocument/2006/relationships/hyperlink" Target="http://www.munzee.com" TargetMode="External"/><Relationship Id="rId52" Type="http://schemas.openxmlformats.org/officeDocument/2006/relationships/hyperlink" Target="https://www.munzee.com/m/Ellesche/788" TargetMode="External"/><Relationship Id="rId55" Type="http://schemas.openxmlformats.org/officeDocument/2006/relationships/hyperlink" Target="http://www.munzee.com" TargetMode="External"/><Relationship Id="rId54" Type="http://schemas.openxmlformats.org/officeDocument/2006/relationships/hyperlink" Target="https://www.munzee.com/m/pinlight/236/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s://www.munzee.com/m/cbf600/2792/admin" TargetMode="External"/><Relationship Id="rId59" Type="http://schemas.openxmlformats.org/officeDocument/2006/relationships/hyperlink" Target="http://www.munzee.com" TargetMode="External"/><Relationship Id="rId58" Type="http://schemas.openxmlformats.org/officeDocument/2006/relationships/hyperlink" Target="https://www.munzee.com/m/xrayneex/2137/" TargetMode="External"/></Relationships>
</file>

<file path=xl/worksheets/_rels/sheet12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unzee.com/m/OdinsFiRe/2067/" TargetMode="External"/><Relationship Id="rId42" Type="http://schemas.openxmlformats.org/officeDocument/2006/relationships/hyperlink" Target="https://www.munzee.com/m/raunas/12347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s://www.munzee.com/m/Anetzet/4607/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s://www.munzee.com/m/Bungle/10932" TargetMode="External"/><Relationship Id="rId45" Type="http://schemas.openxmlformats.org/officeDocument/2006/relationships/hyperlink" Target="http://www.munzee.com" TargetMode="External"/><Relationship Id="rId48" Type="http://schemas.openxmlformats.org/officeDocument/2006/relationships/hyperlink" Target="https://www.munzee.com/m/23speds/11054/admin/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://www.munzee.com" TargetMode="External"/><Relationship Id="rId31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Tinake1309/1664/" TargetMode="External"/><Relationship Id="rId33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Berg14/1540/" TargetMode="External"/><Relationship Id="rId35" Type="http://schemas.openxmlformats.org/officeDocument/2006/relationships/hyperlink" Target="http://www.munzee.com" TargetMode="External"/><Relationship Id="rId34" Type="http://schemas.openxmlformats.org/officeDocument/2006/relationships/hyperlink" Target="https://www.munzee.com/m/Niks13/1525/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crscousins/6802/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s://www.munzee.com/m/Girlteddy5/31/" TargetMode="External"/><Relationship Id="rId20" Type="http://schemas.openxmlformats.org/officeDocument/2006/relationships/hyperlink" Target="https://www.munzee.com/m/lupo6/6877" TargetMode="External"/><Relationship Id="rId22" Type="http://schemas.openxmlformats.org/officeDocument/2006/relationships/hyperlink" Target="https://www.munzee.com/m/ddtsnorton/11384/" TargetMode="External"/><Relationship Id="rId21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Ellesche/802" TargetMode="External"/><Relationship Id="rId23" Type="http://schemas.openxmlformats.org/officeDocument/2006/relationships/hyperlink" Target="http://www.munzee.com" TargetMode="External"/><Relationship Id="rId26" Type="http://schemas.openxmlformats.org/officeDocument/2006/relationships/hyperlink" Target="https://www.munzee.com/m/res2100/878" TargetMode="External"/><Relationship Id="rId25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Drazoria/1586/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11" Type="http://schemas.openxmlformats.org/officeDocument/2006/relationships/hyperlink" Target="http://www.munzee.com" TargetMode="External"/><Relationship Id="rId10" Type="http://schemas.openxmlformats.org/officeDocument/2006/relationships/hyperlink" Target="https://www.munzee.com/m/BrotherWilliam/5399/" TargetMode="External"/><Relationship Id="rId13" Type="http://schemas.openxmlformats.org/officeDocument/2006/relationships/hyperlink" Target="http://www.munzee.com" TargetMode="External"/><Relationship Id="rId12" Type="http://schemas.openxmlformats.org/officeDocument/2006/relationships/hyperlink" Target="https://www.munzee.com/m/ArtofEco/3658/" TargetMode="External"/><Relationship Id="rId90" Type="http://schemas.openxmlformats.org/officeDocument/2006/relationships/drawing" Target="../drawings/drawing12.xml"/><Relationship Id="rId92" Type="http://schemas.openxmlformats.org/officeDocument/2006/relationships/table" Target="../tables/table11.xml"/><Relationship Id="rId15" Type="http://schemas.openxmlformats.org/officeDocument/2006/relationships/hyperlink" Target="http://www.munzee.com" TargetMode="External"/><Relationship Id="rId14" Type="http://schemas.openxmlformats.org/officeDocument/2006/relationships/hyperlink" Target="https://www.munzee.com/m/J1Huisman/14279/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fsafranek/5375/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xrayneex/2536/" TargetMode="External"/><Relationship Id="rId84" Type="http://schemas.openxmlformats.org/officeDocument/2006/relationships/hyperlink" Target="https://www.munzee.com/m/skyfox/14469/" TargetMode="External"/><Relationship Id="rId83" Type="http://schemas.openxmlformats.org/officeDocument/2006/relationships/hyperlink" Target="http://www.munzee.com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://www.munzee.com" TargetMode="External"/><Relationship Id="rId88" Type="http://schemas.openxmlformats.org/officeDocument/2006/relationships/hyperlink" Target="https://www.munzee.com/m/barefootguru/3966/" TargetMode="External"/><Relationship Id="rId87" Type="http://schemas.openxmlformats.org/officeDocument/2006/relationships/hyperlink" Target="http://www.munzee.com" TargetMode="External"/><Relationship Id="rId89" Type="http://schemas.openxmlformats.org/officeDocument/2006/relationships/hyperlink" Target="http://www.munzee.com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s://www.munzee.com/m/mortonfox/24564/" TargetMode="External"/><Relationship Id="rId81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ap/r1nxks0tv/17" TargetMode="External"/><Relationship Id="rId2" Type="http://schemas.openxmlformats.org/officeDocument/2006/relationships/hyperlink" Target="https://www.munzee.com/m/belladivadee/3207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sverlaan/6188/" TargetMode="External"/><Relationship Id="rId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PawPatrolThomas/4057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EmileP68/4931/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s://www.munzee.com/m/TheFrog/5972/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s://www.munzee.com/m/123xilef/13728/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://www.munzee.com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skyfox/14456/" TargetMode="External"/><Relationship Id="rId66" Type="http://schemas.openxmlformats.org/officeDocument/2006/relationships/hyperlink" Target="https://www.munzee.com/m/Bisquick2/7257/" TargetMode="External"/><Relationship Id="rId65" Type="http://schemas.openxmlformats.org/officeDocument/2006/relationships/hyperlink" Target="http://www.munzee.com" TargetMode="External"/><Relationship Id="rId68" Type="http://schemas.openxmlformats.org/officeDocument/2006/relationships/hyperlink" Target="https://www.munzee.com/m/lison55/19404/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://www.munzee.com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s://www.munzee.com/m/rita85gto/5142/" TargetMode="External"/><Relationship Id="rId53" Type="http://schemas.openxmlformats.org/officeDocument/2006/relationships/hyperlink" Target="https://www.munzee.com/m/skyfox/14439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cbf600/3726/admin/map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Fossillady/5359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skyfox/14455/" TargetMode="External"/><Relationship Id="rId58" Type="http://schemas.openxmlformats.org/officeDocument/2006/relationships/hyperlink" Target="http://www.munzee.com" TargetMode="External"/></Relationships>
</file>

<file path=xl/worksheets/_rels/sheet13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unzee.com/m/Kastella/169" TargetMode="External"/><Relationship Id="rId42" Type="http://schemas.openxmlformats.org/officeDocument/2006/relationships/hyperlink" Target="https://www.munzee.com/m/Andrew81/1600/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s://www.munzee.com/m/Outlander21/139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s://www.munzee.com/m/Kastella/181" TargetMode="External"/><Relationship Id="rId45" Type="http://schemas.openxmlformats.org/officeDocument/2006/relationships/hyperlink" Target="http://www.munzee.com" TargetMode="External"/><Relationship Id="rId48" Type="http://schemas.openxmlformats.org/officeDocument/2006/relationships/hyperlink" Target="https://www.munzee.com/m/crscousins/7576/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://www.munzee.com" TargetMode="External"/><Relationship Id="rId100" Type="http://schemas.openxmlformats.org/officeDocument/2006/relationships/table" Target="../tables/table12.xml"/><Relationship Id="rId31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barefootguru/4194/" TargetMode="External"/><Relationship Id="rId33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Arendsoog/8882/" TargetMode="External"/><Relationship Id="rId35" Type="http://schemas.openxmlformats.org/officeDocument/2006/relationships/hyperlink" Target="http://www.munzee.com" TargetMode="External"/><Relationship Id="rId34" Type="http://schemas.openxmlformats.org/officeDocument/2006/relationships/hyperlink" Target="https://www.munzee.com/m/Andrew81/1593/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Outlander21/121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s://www.munzee.com/m/Arendsoog/8883/" TargetMode="External"/><Relationship Id="rId20" Type="http://schemas.openxmlformats.org/officeDocument/2006/relationships/hyperlink" Target="https://www.munzee.com/m/Drazoria/1652/" TargetMode="External"/><Relationship Id="rId22" Type="http://schemas.openxmlformats.org/officeDocument/2006/relationships/hyperlink" Target="https://www.munzee.com/m/Tinake1309/1667/" TargetMode="External"/><Relationship Id="rId21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Berg14/1574/" TargetMode="External"/><Relationship Id="rId23" Type="http://schemas.openxmlformats.org/officeDocument/2006/relationships/hyperlink" Target="http://www.munzee.com" TargetMode="External"/><Relationship Id="rId26" Type="http://schemas.openxmlformats.org/officeDocument/2006/relationships/hyperlink" Target="https://www.munzee.com/m/Niks13/1560/" TargetMode="External"/><Relationship Id="rId25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lupo6/6721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95" Type="http://schemas.openxmlformats.org/officeDocument/2006/relationships/hyperlink" Target="http://www.munzee.com" TargetMode="External"/><Relationship Id="rId94" Type="http://schemas.openxmlformats.org/officeDocument/2006/relationships/hyperlink" Target="https://www.munzee.com/m/lison55/23778/" TargetMode="External"/><Relationship Id="rId97" Type="http://schemas.openxmlformats.org/officeDocument/2006/relationships/hyperlink" Target="http://www.munzee.com" TargetMode="External"/><Relationship Id="rId96" Type="http://schemas.openxmlformats.org/officeDocument/2006/relationships/hyperlink" Target="https://www.munzee.com/m/djeagle/7415/" TargetMode="External"/><Relationship Id="rId11" Type="http://schemas.openxmlformats.org/officeDocument/2006/relationships/hyperlink" Target="http://www.munzee.com" TargetMode="External"/><Relationship Id="rId10" Type="http://schemas.openxmlformats.org/officeDocument/2006/relationships/hyperlink" Target="https://www.munzee.com/m/BrotherWilliam/5430/" TargetMode="External"/><Relationship Id="rId98" Type="http://schemas.openxmlformats.org/officeDocument/2006/relationships/drawing" Target="../drawings/drawing13.xml"/><Relationship Id="rId13" Type="http://schemas.openxmlformats.org/officeDocument/2006/relationships/hyperlink" Target="http://www.munzee.com" TargetMode="External"/><Relationship Id="rId12" Type="http://schemas.openxmlformats.org/officeDocument/2006/relationships/hyperlink" Target="https://www.munzee.com/m/ArtofEco/3660/" TargetMode="External"/><Relationship Id="rId91" Type="http://schemas.openxmlformats.org/officeDocument/2006/relationships/hyperlink" Target="http://www.munzee.com" TargetMode="External"/><Relationship Id="rId90" Type="http://schemas.openxmlformats.org/officeDocument/2006/relationships/hyperlink" Target="https://www.munzee.com/m/mortonfox/23077/" TargetMode="External"/><Relationship Id="rId93" Type="http://schemas.openxmlformats.org/officeDocument/2006/relationships/hyperlink" Target="http://www.munzee.com" TargetMode="External"/><Relationship Id="rId92" Type="http://schemas.openxmlformats.org/officeDocument/2006/relationships/hyperlink" Target="https://www.munzee.com/m/djeagle/7559/" TargetMode="External"/><Relationship Id="rId15" Type="http://schemas.openxmlformats.org/officeDocument/2006/relationships/hyperlink" Target="http://www.munzee.com" TargetMode="External"/><Relationship Id="rId14" Type="http://schemas.openxmlformats.org/officeDocument/2006/relationships/hyperlink" Target="https://www.munzee.com/m/J1Huisman/13072/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fsafranek/5483/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xrayneex/2533/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123xilef/13708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://www.munzee.com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Anetzet/4696/" TargetMode="External"/><Relationship Id="rId89" Type="http://schemas.openxmlformats.org/officeDocument/2006/relationships/hyperlink" Target="http://www.munzee.com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TheFrog/6336/" TargetMode="External"/><Relationship Id="rId1" Type="http://schemas.openxmlformats.org/officeDocument/2006/relationships/hyperlink" Target="https://www.munzee.com/map/u1h5gdumd/16" TargetMode="External"/><Relationship Id="rId2" Type="http://schemas.openxmlformats.org/officeDocument/2006/relationships/hyperlink" Target="https://www.munzee.com/m/raunas/12273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sverlaan/6187/" TargetMode="External"/><Relationship Id="rId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EmileP68/5007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PawPatrolThomas/4108/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s://www.munzee.com/m/res2100/836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s://www.munzee.com/m/Ellesche/797/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s://www.munzee.com/m/Arendsoog/9057/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s://www.munzee.com/m/Trappertje/15205/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s://www.munzee.com/m/Bisquick2/7258/" TargetMode="External"/><Relationship Id="rId62" Type="http://schemas.openxmlformats.org/officeDocument/2006/relationships/hyperlink" Target="https://www.munzee.com/m/Aniara/17554/" TargetMode="External"/><Relationship Id="rId61" Type="http://schemas.openxmlformats.org/officeDocument/2006/relationships/hyperlink" Target="http://www.munzee.com" TargetMode="External"/><Relationship Id="rId64" Type="http://schemas.openxmlformats.org/officeDocument/2006/relationships/hyperlink" Target="https://www.munzee.com/m/rita85gto/5143/" TargetMode="External"/><Relationship Id="rId63" Type="http://schemas.openxmlformats.org/officeDocument/2006/relationships/hyperlink" Target="http://www.munzee.com" TargetMode="External"/><Relationship Id="rId66" Type="http://schemas.openxmlformats.org/officeDocument/2006/relationships/hyperlink" Target="https://www.munzee.com/m/djeagle/7566/" TargetMode="External"/><Relationship Id="rId65" Type="http://schemas.openxmlformats.org/officeDocument/2006/relationships/hyperlink" Target="http://www.munzee.com" TargetMode="External"/><Relationship Id="rId68" Type="http://schemas.openxmlformats.org/officeDocument/2006/relationships/hyperlink" Target="https://www.munzee.com/m/IggiePiggie/11108/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s://www.munzee.com/m/djeagle/7567/" TargetMode="External"/><Relationship Id="rId69" Type="http://schemas.openxmlformats.org/officeDocument/2006/relationships/hyperlink" Target="http://www.munzee.com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s://www.munzee.com/m/Bungle/11159" TargetMode="External"/><Relationship Id="rId53" Type="http://schemas.openxmlformats.org/officeDocument/2006/relationships/hyperlink" Target="http://www.munzee.com" TargetMode="External"/><Relationship Id="rId52" Type="http://schemas.openxmlformats.org/officeDocument/2006/relationships/hyperlink" Target="https://www.munzee.com/m/Girlteddy5/29/" TargetMode="External"/><Relationship Id="rId55" Type="http://schemas.openxmlformats.org/officeDocument/2006/relationships/hyperlink" Target="http://www.munzee.com" TargetMode="External"/><Relationship Id="rId54" Type="http://schemas.openxmlformats.org/officeDocument/2006/relationships/hyperlink" Target="https://www.munzee.com/m/djeagle/7602/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s://www.munzee.com/m/cbf600/3782/" TargetMode="External"/><Relationship Id="rId59" Type="http://schemas.openxmlformats.org/officeDocument/2006/relationships/hyperlink" Target="http://www.munzee.com" TargetMode="External"/><Relationship Id="rId58" Type="http://schemas.openxmlformats.org/officeDocument/2006/relationships/hyperlink" Target="https://www.munzee.com/m/OdinsFiRe/2075/" TargetMode="External"/></Relationships>
</file>

<file path=xl/worksheets/_rels/sheet14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GroteSufferd/758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Anetzet/4521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BrotherWilliam/5489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crscousins/4100/" TargetMode="External"/><Relationship Id="rId49" Type="http://schemas.openxmlformats.org/officeDocument/2006/relationships/hyperlink" Target="https://www.munzee.com/m/Girlteddy5/83/" TargetMode="External"/><Relationship Id="rId31" Type="http://schemas.openxmlformats.org/officeDocument/2006/relationships/hyperlink" Target="https://www.munzee.com/m/Berg14/1582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Niks13/1570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Ellesche/840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lupo6/6805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crscousins/4101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xrayneex/2517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Bungle/11161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res2100/763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Drazoria/1650/" TargetMode="External"/><Relationship Id="rId29" Type="http://schemas.openxmlformats.org/officeDocument/2006/relationships/hyperlink" Target="https://www.munzee.com/m/Tinake1309/1688/" TargetMode="External"/><Relationship Id="rId11" Type="http://schemas.openxmlformats.org/officeDocument/2006/relationships/hyperlink" Target="https://www.munzee.com/m/BrotherWilliam/5439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ArtofEco/3661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J1Huisman/13461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fsafranek/5475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rita85gto/3824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drawing" Target="../drawings/drawing14.xml"/><Relationship Id="rId83" Type="http://schemas.openxmlformats.org/officeDocument/2006/relationships/hyperlink" Target="http://www.munzee.com" TargetMode="External"/><Relationship Id="rId86" Type="http://schemas.openxmlformats.org/officeDocument/2006/relationships/table" Target="../tables/table13.xm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s://www.munzee.com/m/barefootguru/4258/" TargetMode="External"/><Relationship Id="rId81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barefootguru/12321/" TargetMode="External"/><Relationship Id="rId2" Type="http://schemas.openxmlformats.org/officeDocument/2006/relationships/hyperlink" Target="https://www.munzee.com/map/gcrh0up8v/17" TargetMode="External"/><Relationship Id="rId3" Type="http://schemas.openxmlformats.org/officeDocument/2006/relationships/hyperlink" Target="https://www.munzee.com/m/raunas/12272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4929/" TargetMode="External"/><Relationship Id="rId5" Type="http://schemas.openxmlformats.org/officeDocument/2006/relationships/hyperlink" Target="https://www.munzee.com/m/sverlaan/6174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4172/" TargetMode="External"/><Relationship Id="rId8" Type="http://schemas.openxmlformats.org/officeDocument/2006/relationships/hyperlink" Target="http://www.munzee.com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s://www.munzee.com/m/crscousins/4099/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s://www.munzee.com/m/mortonfox/23234/" TargetMode="External"/><Relationship Id="rId71" Type="http://schemas.openxmlformats.org/officeDocument/2006/relationships/hyperlink" Target="https://www.munzee.com/m/123xilef/13727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s://www.munzee.com/m/Bisquick2/7271/" TargetMode="External"/><Relationship Id="rId61" Type="http://schemas.openxmlformats.org/officeDocument/2006/relationships/hyperlink" Target="http://www.munzee.com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://www.munzee.com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://www.munzee.com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TheFrog/6343/" TargetMode="External"/><Relationship Id="rId51" Type="http://schemas.openxmlformats.org/officeDocument/2006/relationships/hyperlink" Target="https://www.munzee.com/m/OdinsFiRe/2077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://www.munzee.com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://www.munzee.com" TargetMode="External"/><Relationship Id="rId54" Type="http://schemas.openxmlformats.org/officeDocument/2006/relationships/hyperlink" Target="https://www.munzee.com/m/cbf600/3779/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://www.munzee.com" TargetMode="External"/><Relationship Id="rId58" Type="http://schemas.openxmlformats.org/officeDocument/2006/relationships/hyperlink" Target="http://www.munzee.com" TargetMode="External"/></Relationships>
</file>

<file path=xl/worksheets/_rels/sheet15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://www.munzee.com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://www.munzee.com" TargetMode="External"/><Relationship Id="rId31" Type="http://schemas.openxmlformats.org/officeDocument/2006/relationships/hyperlink" Target="http://www.munzee.com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://www.munzee.com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://www.munzee.com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://www.munzee.com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://www.munzee.com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://www.munzee.com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11" Type="http://schemas.openxmlformats.org/officeDocument/2006/relationships/hyperlink" Target="http://www.munzee.com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://www.munzee.com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://www.munzee.com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ap/9v67xqee1/17" TargetMode="External"/><Relationship Id="rId2" Type="http://schemas.openxmlformats.org/officeDocument/2006/relationships/hyperlink" Target="http://www.munzee.com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://www.munzee.com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drawing" Target="../drawings/drawing15.xml"/><Relationship Id="rId52" Type="http://schemas.openxmlformats.org/officeDocument/2006/relationships/hyperlink" Target="http://www.munzee.com" TargetMode="External"/><Relationship Id="rId55" Type="http://schemas.openxmlformats.org/officeDocument/2006/relationships/table" Target="../tables/table14.xml"/></Relationships>
</file>

<file path=xl/worksheets/_rels/sheet16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unzee.com/m/OdinsFiRe/2078/" TargetMode="External"/><Relationship Id="rId42" Type="http://schemas.openxmlformats.org/officeDocument/2006/relationships/hyperlink" Target="https://www.munzee.com/m/skyfox/14477/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s://www.munzee.com/m/Anetzet/4508/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://www.munzee.com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skyfox/14476/" TargetMode="External"/><Relationship Id="rId49" Type="http://schemas.openxmlformats.org/officeDocument/2006/relationships/hyperlink" Target="https://www.munzee.com/m/Anseldelux/1269" TargetMode="External"/><Relationship Id="rId31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Niks13/1475/" TargetMode="External"/><Relationship Id="rId33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lupo6/2716" TargetMode="External"/><Relationship Id="rId35" Type="http://schemas.openxmlformats.org/officeDocument/2006/relationships/hyperlink" Target="http://www.munzee.com" TargetMode="External"/><Relationship Id="rId34" Type="http://schemas.openxmlformats.org/officeDocument/2006/relationships/hyperlink" Target="https://www.munzee.com/m/crscousins/7544/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Bungle/11243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s://www.munzee.com/m/Trappertje/9352/" TargetMode="External"/><Relationship Id="rId20" Type="http://schemas.openxmlformats.org/officeDocument/2006/relationships/hyperlink" Target="https://www.munzee.com/m/xrayneex/2447/" TargetMode="External"/><Relationship Id="rId22" Type="http://schemas.openxmlformats.org/officeDocument/2006/relationships/hyperlink" Target="https://www.munzee.com/m/res2100/744/" TargetMode="External"/><Relationship Id="rId21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Drazoria/1591/" TargetMode="External"/><Relationship Id="rId23" Type="http://schemas.openxmlformats.org/officeDocument/2006/relationships/hyperlink" Target="http://www.munzee.com" TargetMode="External"/><Relationship Id="rId26" Type="http://schemas.openxmlformats.org/officeDocument/2006/relationships/hyperlink" Target="https://www.munzee.com/m/Tinake1309/1591" TargetMode="External"/><Relationship Id="rId25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Berg14/1505/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11" Type="http://schemas.openxmlformats.org/officeDocument/2006/relationships/hyperlink" Target="http://www.munzee.com" TargetMode="External"/><Relationship Id="rId10" Type="http://schemas.openxmlformats.org/officeDocument/2006/relationships/hyperlink" Target="https://www.munzee.com/m/BrotherWilliam/5474/" TargetMode="External"/><Relationship Id="rId13" Type="http://schemas.openxmlformats.org/officeDocument/2006/relationships/hyperlink" Target="http://www.munzee.com" TargetMode="External"/><Relationship Id="rId12" Type="http://schemas.openxmlformats.org/officeDocument/2006/relationships/hyperlink" Target="https://www.munzee.com/m/ArtofEco/3688/" TargetMode="External"/><Relationship Id="rId90" Type="http://schemas.openxmlformats.org/officeDocument/2006/relationships/drawing" Target="../drawings/drawing16.xml"/><Relationship Id="rId92" Type="http://schemas.openxmlformats.org/officeDocument/2006/relationships/table" Target="../tables/table15.xml"/><Relationship Id="rId15" Type="http://schemas.openxmlformats.org/officeDocument/2006/relationships/hyperlink" Target="http://www.munzee.com" TargetMode="External"/><Relationship Id="rId14" Type="http://schemas.openxmlformats.org/officeDocument/2006/relationships/hyperlink" Target="https://www.munzee.com/m/J1Huisman/13016/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fsafranek/5488/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rita85gto/3870/" TargetMode="External"/><Relationship Id="rId84" Type="http://schemas.openxmlformats.org/officeDocument/2006/relationships/hyperlink" Target="https://www.munzee.com/m/barefootguru/5055/" TargetMode="External"/><Relationship Id="rId83" Type="http://schemas.openxmlformats.org/officeDocument/2006/relationships/hyperlink" Target="http://www.munzee.com" TargetMode="External"/><Relationship Id="rId86" Type="http://schemas.openxmlformats.org/officeDocument/2006/relationships/hyperlink" Target="https://www.munzee.com/m/Wangotango/1397/" TargetMode="External"/><Relationship Id="rId85" Type="http://schemas.openxmlformats.org/officeDocument/2006/relationships/hyperlink" Target="http://www.munzee.com" TargetMode="External"/><Relationship Id="rId88" Type="http://schemas.openxmlformats.org/officeDocument/2006/relationships/hyperlink" Target="https://www.munzee.com/m/Ellesche/771" TargetMode="External"/><Relationship Id="rId87" Type="http://schemas.openxmlformats.org/officeDocument/2006/relationships/hyperlink" Target="http://www.munzee.com" TargetMode="External"/><Relationship Id="rId89" Type="http://schemas.openxmlformats.org/officeDocument/2006/relationships/hyperlink" Target="http://www.munzee.com" TargetMode="External"/><Relationship Id="rId80" Type="http://schemas.openxmlformats.org/officeDocument/2006/relationships/hyperlink" Target="https://www.munzee.com/m/shaynemarks/12373/" TargetMode="External"/><Relationship Id="rId82" Type="http://schemas.openxmlformats.org/officeDocument/2006/relationships/hyperlink" Target="https://www.munzee.com/m/mortonfox/23501/" TargetMode="External"/><Relationship Id="rId81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ap/r1ps2gqws/17" TargetMode="External"/><Relationship Id="rId2" Type="http://schemas.openxmlformats.org/officeDocument/2006/relationships/hyperlink" Target="https://www.munzee.com/m/raunas/12264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sverlaan/6171/" TargetMode="External"/><Relationship Id="rId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PawPatrolThomas/4105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EmileP68/4928/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s://www.munzee.com/m/123xilef/13707/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s://www.munzee.com/m/skyfox/14472/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s://www.munzee.com/m/skyfox/14470/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s://www.munzee.com/m/TheFrog/7190/" TargetMode="External"/><Relationship Id="rId62" Type="http://schemas.openxmlformats.org/officeDocument/2006/relationships/hyperlink" Target="https://www.munzee.com/m/Bisquick2/7386/" TargetMode="External"/><Relationship Id="rId61" Type="http://schemas.openxmlformats.org/officeDocument/2006/relationships/hyperlink" Target="http://www.munzee.com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://www.munzee.com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TeamSarton/2365/admin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://www.munzee.com" TargetMode="External"/><Relationship Id="rId51" Type="http://schemas.openxmlformats.org/officeDocument/2006/relationships/hyperlink" Target="https://www.munzee.com/m/MeanderingMonkeys/22528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://www.munzee.com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://www.munzee.com" TargetMode="External"/><Relationship Id="rId54" Type="http://schemas.openxmlformats.org/officeDocument/2006/relationships/hyperlink" Target="https://www.munzee.com/m/cbf600/3784/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://www.munzee.com" TargetMode="External"/><Relationship Id="rId58" Type="http://schemas.openxmlformats.org/officeDocument/2006/relationships/hyperlink" Target="http://www.munzee.com" TargetMode="External"/></Relationships>
</file>

<file path=xl/worksheets/_rels/sheet17.xml.rels><?xml version="1.0" encoding="UTF-8" standalone="yes"?><Relationships xmlns="http://schemas.openxmlformats.org/package/2006/relationships"><Relationship Id="rId392" Type="http://schemas.openxmlformats.org/officeDocument/2006/relationships/hyperlink" Target="http://www.munzee.com" TargetMode="External"/><Relationship Id="rId391" Type="http://schemas.openxmlformats.org/officeDocument/2006/relationships/hyperlink" Target="https://www.munzee.com/m/WiseOldWizard/3936/" TargetMode="External"/><Relationship Id="rId390" Type="http://schemas.openxmlformats.org/officeDocument/2006/relationships/hyperlink" Target="http://www.munzee.com" TargetMode="External"/><Relationship Id="rId2180" Type="http://schemas.openxmlformats.org/officeDocument/2006/relationships/hyperlink" Target="https://www.munzee.com/m/tommobil/1404" TargetMode="External"/><Relationship Id="rId2181" Type="http://schemas.openxmlformats.org/officeDocument/2006/relationships/hyperlink" Target="http://www.munzee.com" TargetMode="External"/><Relationship Id="rId2182" Type="http://schemas.openxmlformats.org/officeDocument/2006/relationships/hyperlink" Target="https://www.munzee.com/m/Csiki86/450/" TargetMode="External"/><Relationship Id="rId2183" Type="http://schemas.openxmlformats.org/officeDocument/2006/relationships/hyperlink" Target="http://www.munzee.com" TargetMode="External"/><Relationship Id="rId385" Type="http://schemas.openxmlformats.org/officeDocument/2006/relationships/hyperlink" Target="https://www.munzee.com/m/Trappertje/4601/" TargetMode="External"/><Relationship Id="rId2184" Type="http://schemas.openxmlformats.org/officeDocument/2006/relationships/hyperlink" Target="https://www.munzee.com/m/Anetzet/4656/" TargetMode="External"/><Relationship Id="rId384" Type="http://schemas.openxmlformats.org/officeDocument/2006/relationships/hyperlink" Target="http://www.munzee.com" TargetMode="External"/><Relationship Id="rId2185" Type="http://schemas.openxmlformats.org/officeDocument/2006/relationships/hyperlink" Target="http://www.munzee.com" TargetMode="External"/><Relationship Id="rId383" Type="http://schemas.openxmlformats.org/officeDocument/2006/relationships/hyperlink" Target="https://www.munzee.com/m/GroteSufferd/319/admin/" TargetMode="External"/><Relationship Id="rId2186" Type="http://schemas.openxmlformats.org/officeDocument/2006/relationships/hyperlink" Target="https://www.munzee.com/m/tommobil/1405/" TargetMode="External"/><Relationship Id="rId382" Type="http://schemas.openxmlformats.org/officeDocument/2006/relationships/hyperlink" Target="http://www.munzee.com" TargetMode="External"/><Relationship Id="rId2187" Type="http://schemas.openxmlformats.org/officeDocument/2006/relationships/hyperlink" Target="http://www.munzee.com" TargetMode="External"/><Relationship Id="rId389" Type="http://schemas.openxmlformats.org/officeDocument/2006/relationships/hyperlink" Target="https://www.munzee.com/m/upapou/991/" TargetMode="External"/><Relationship Id="rId2188" Type="http://schemas.openxmlformats.org/officeDocument/2006/relationships/hyperlink" Target="https://www.munzee.com/m/Csiki86/456/" TargetMode="External"/><Relationship Id="rId388" Type="http://schemas.openxmlformats.org/officeDocument/2006/relationships/hyperlink" Target="http://www.munzee.com" TargetMode="External"/><Relationship Id="rId2189" Type="http://schemas.openxmlformats.org/officeDocument/2006/relationships/hyperlink" Target="http://www.munzee.com" TargetMode="External"/><Relationship Id="rId387" Type="http://schemas.openxmlformats.org/officeDocument/2006/relationships/hyperlink" Target="https://www.munzee.com/m/Bisquick2/4224" TargetMode="External"/><Relationship Id="rId386" Type="http://schemas.openxmlformats.org/officeDocument/2006/relationships/hyperlink" Target="http://www.munzee.com" TargetMode="External"/><Relationship Id="rId381" Type="http://schemas.openxmlformats.org/officeDocument/2006/relationships/hyperlink" Target="https://www.munzee.com/m/Questing4/7153" TargetMode="External"/><Relationship Id="rId380" Type="http://schemas.openxmlformats.org/officeDocument/2006/relationships/hyperlink" Target="http://www.munzee.com" TargetMode="External"/><Relationship Id="rId379" Type="http://schemas.openxmlformats.org/officeDocument/2006/relationships/hyperlink" Target="https://www.munzee.com/m/5Star/5595/" TargetMode="External"/><Relationship Id="rId2170" Type="http://schemas.openxmlformats.org/officeDocument/2006/relationships/hyperlink" Target="https://www.munzee.com/m/lupo6/6878" TargetMode="External"/><Relationship Id="rId2171" Type="http://schemas.openxmlformats.org/officeDocument/2006/relationships/hyperlink" Target="http://www.munzee.com" TargetMode="External"/><Relationship Id="rId2172" Type="http://schemas.openxmlformats.org/officeDocument/2006/relationships/hyperlink" Target="https://www.munzee.com/m/Ellesche/724" TargetMode="External"/><Relationship Id="rId374" Type="http://schemas.openxmlformats.org/officeDocument/2006/relationships/hyperlink" Target="http://www.munzee.com" TargetMode="External"/><Relationship Id="rId2173" Type="http://schemas.openxmlformats.org/officeDocument/2006/relationships/hyperlink" Target="http://www.munzee.com" TargetMode="External"/><Relationship Id="rId373" Type="http://schemas.openxmlformats.org/officeDocument/2006/relationships/hyperlink" Target="https://www.munzee.com/m/IXE13/206/" TargetMode="External"/><Relationship Id="rId2174" Type="http://schemas.openxmlformats.org/officeDocument/2006/relationships/hyperlink" Target="https://www.munzee.com/m/OdinsFiRe/2018/" TargetMode="External"/><Relationship Id="rId372" Type="http://schemas.openxmlformats.org/officeDocument/2006/relationships/hyperlink" Target="http://www.munzee.com" TargetMode="External"/><Relationship Id="rId2175" Type="http://schemas.openxmlformats.org/officeDocument/2006/relationships/hyperlink" Target="http://www.munzee.com" TargetMode="External"/><Relationship Id="rId371" Type="http://schemas.openxmlformats.org/officeDocument/2006/relationships/hyperlink" Target="https://www.munzee.com/m/CrazyLadyLisa/14448/" TargetMode="External"/><Relationship Id="rId2176" Type="http://schemas.openxmlformats.org/officeDocument/2006/relationships/hyperlink" Target="https://www.munzee.com/m/tommobil/1401" TargetMode="External"/><Relationship Id="rId378" Type="http://schemas.openxmlformats.org/officeDocument/2006/relationships/hyperlink" Target="http://www.munzee.com" TargetMode="External"/><Relationship Id="rId2177" Type="http://schemas.openxmlformats.org/officeDocument/2006/relationships/hyperlink" Target="http://www.munzee.com" TargetMode="External"/><Relationship Id="rId377" Type="http://schemas.openxmlformats.org/officeDocument/2006/relationships/hyperlink" Target="https://www.munzee.com/m/cbf600/2246/admin/" TargetMode="External"/><Relationship Id="rId2178" Type="http://schemas.openxmlformats.org/officeDocument/2006/relationships/hyperlink" Target="https://www.munzee.com/m/res2100/886/" TargetMode="External"/><Relationship Id="rId376" Type="http://schemas.openxmlformats.org/officeDocument/2006/relationships/hyperlink" Target="http://www.munzee.com" TargetMode="External"/><Relationship Id="rId2179" Type="http://schemas.openxmlformats.org/officeDocument/2006/relationships/hyperlink" Target="http://www.munzee.com" TargetMode="External"/><Relationship Id="rId375" Type="http://schemas.openxmlformats.org/officeDocument/2006/relationships/hyperlink" Target="https://www.munzee.com/m/Laouate/315/" TargetMode="External"/><Relationship Id="rId2190" Type="http://schemas.openxmlformats.org/officeDocument/2006/relationships/hyperlink" Target="https://www.munzee.com/m/alexmester/1235/" TargetMode="External"/><Relationship Id="rId2191" Type="http://schemas.openxmlformats.org/officeDocument/2006/relationships/hyperlink" Target="http://www.munzee.com" TargetMode="External"/><Relationship Id="rId2192" Type="http://schemas.openxmlformats.org/officeDocument/2006/relationships/hyperlink" Target="https://www.munzee.com/m/crscousins/7148/" TargetMode="External"/><Relationship Id="rId2193" Type="http://schemas.openxmlformats.org/officeDocument/2006/relationships/hyperlink" Target="http://www.munzee.com" TargetMode="External"/><Relationship Id="rId2194" Type="http://schemas.openxmlformats.org/officeDocument/2006/relationships/hyperlink" Target="https://www.munzee.com/m/alexmester/1234/" TargetMode="External"/><Relationship Id="rId396" Type="http://schemas.openxmlformats.org/officeDocument/2006/relationships/hyperlink" Target="http://www.munzee.com" TargetMode="External"/><Relationship Id="rId2195" Type="http://schemas.openxmlformats.org/officeDocument/2006/relationships/hyperlink" Target="http://www.munzee.com" TargetMode="External"/><Relationship Id="rId395" Type="http://schemas.openxmlformats.org/officeDocument/2006/relationships/hyperlink" Target="https://www.munzee.com/m/123xilef/6714/" TargetMode="External"/><Relationship Id="rId2196" Type="http://schemas.openxmlformats.org/officeDocument/2006/relationships/hyperlink" Target="https://www.munzee.com/m/cbf600/3662/" TargetMode="External"/><Relationship Id="rId394" Type="http://schemas.openxmlformats.org/officeDocument/2006/relationships/hyperlink" Target="http://www.munzee.com" TargetMode="External"/><Relationship Id="rId2197" Type="http://schemas.openxmlformats.org/officeDocument/2006/relationships/hyperlink" Target="http://www.munzee.com" TargetMode="External"/><Relationship Id="rId393" Type="http://schemas.openxmlformats.org/officeDocument/2006/relationships/hyperlink" Target="https://www.munzee.com/m/TheFrog/4068/" TargetMode="External"/><Relationship Id="rId2198" Type="http://schemas.openxmlformats.org/officeDocument/2006/relationships/hyperlink" Target="https://www.munzee.com/m/Derlame/45500/" TargetMode="External"/><Relationship Id="rId2199" Type="http://schemas.openxmlformats.org/officeDocument/2006/relationships/hyperlink" Target="http://www.munzee.com" TargetMode="External"/><Relationship Id="rId399" Type="http://schemas.openxmlformats.org/officeDocument/2006/relationships/hyperlink" Target="https://www.munzee.com/m/benotje/1354" TargetMode="External"/><Relationship Id="rId398" Type="http://schemas.openxmlformats.org/officeDocument/2006/relationships/hyperlink" Target="http://www.munzee.com" TargetMode="External"/><Relationship Id="rId397" Type="http://schemas.openxmlformats.org/officeDocument/2006/relationships/hyperlink" Target="https://www.munzee.com/m/TheFatCats/3638/" TargetMode="External"/><Relationship Id="rId1730" Type="http://schemas.openxmlformats.org/officeDocument/2006/relationships/hyperlink" Target="https://www.munzee.com/m/wally62/4343/" TargetMode="External"/><Relationship Id="rId1731" Type="http://schemas.openxmlformats.org/officeDocument/2006/relationships/hyperlink" Target="http://www.munzee.com" TargetMode="External"/><Relationship Id="rId1732" Type="http://schemas.openxmlformats.org/officeDocument/2006/relationships/hyperlink" Target="https://www.munzee.com/m/Trappertje/5537/" TargetMode="External"/><Relationship Id="rId1733" Type="http://schemas.openxmlformats.org/officeDocument/2006/relationships/hyperlink" Target="http://www.munzee.com" TargetMode="External"/><Relationship Id="rId1734" Type="http://schemas.openxmlformats.org/officeDocument/2006/relationships/hyperlink" Target="https://www.munzee.com/m/Ellesche/748/" TargetMode="External"/><Relationship Id="rId1735" Type="http://schemas.openxmlformats.org/officeDocument/2006/relationships/hyperlink" Target="http://www.munzee.com" TargetMode="External"/><Relationship Id="rId1736" Type="http://schemas.openxmlformats.org/officeDocument/2006/relationships/hyperlink" Target="https://www.munzee.com/m/Aniara/7868/" TargetMode="External"/><Relationship Id="rId1737" Type="http://schemas.openxmlformats.org/officeDocument/2006/relationships/hyperlink" Target="http://www.munzee.com" TargetMode="External"/><Relationship Id="rId1738" Type="http://schemas.openxmlformats.org/officeDocument/2006/relationships/hyperlink" Target="https://www.munzee.com/m/ChudleighTraveller/1338/" TargetMode="External"/><Relationship Id="rId1739" Type="http://schemas.openxmlformats.org/officeDocument/2006/relationships/hyperlink" Target="http://www.munzee.com" TargetMode="External"/><Relationship Id="rId1720" Type="http://schemas.openxmlformats.org/officeDocument/2006/relationships/hyperlink" Target="https://www.munzee.com/m/TheFatCats/4327/" TargetMode="External"/><Relationship Id="rId1721" Type="http://schemas.openxmlformats.org/officeDocument/2006/relationships/hyperlink" Target="http://www.munzee.com" TargetMode="External"/><Relationship Id="rId1722" Type="http://schemas.openxmlformats.org/officeDocument/2006/relationships/hyperlink" Target="https://www.munzee.com/m/EmileP68/3902/" TargetMode="External"/><Relationship Id="rId1723" Type="http://schemas.openxmlformats.org/officeDocument/2006/relationships/hyperlink" Target="http://www.munzee.com" TargetMode="External"/><Relationship Id="rId1724" Type="http://schemas.openxmlformats.org/officeDocument/2006/relationships/hyperlink" Target="https://www.munzee.com/m/OdinsFiRe/1958/" TargetMode="External"/><Relationship Id="rId1725" Type="http://schemas.openxmlformats.org/officeDocument/2006/relationships/hyperlink" Target="http://www.munzee.com" TargetMode="External"/><Relationship Id="rId1726" Type="http://schemas.openxmlformats.org/officeDocument/2006/relationships/hyperlink" Target="https://www.munzee.com/m/res2100/761" TargetMode="External"/><Relationship Id="rId1727" Type="http://schemas.openxmlformats.org/officeDocument/2006/relationships/hyperlink" Target="http://www.munzee.com" TargetMode="External"/><Relationship Id="rId1728" Type="http://schemas.openxmlformats.org/officeDocument/2006/relationships/hyperlink" Target="https://www.munzee.com/m/Bisquick2/4773/" TargetMode="External"/><Relationship Id="rId1729" Type="http://schemas.openxmlformats.org/officeDocument/2006/relationships/hyperlink" Target="http://www.munzee.com" TargetMode="External"/><Relationship Id="rId1752" Type="http://schemas.openxmlformats.org/officeDocument/2006/relationships/hyperlink" Target="https://www.munzee.com/m/cbf600/4085/" TargetMode="External"/><Relationship Id="rId1753" Type="http://schemas.openxmlformats.org/officeDocument/2006/relationships/hyperlink" Target="http://www.munzee.com" TargetMode="External"/><Relationship Id="rId1754" Type="http://schemas.openxmlformats.org/officeDocument/2006/relationships/hyperlink" Target="https://www.munzee.com/m/lupo6/2668/" TargetMode="External"/><Relationship Id="rId1755" Type="http://schemas.openxmlformats.org/officeDocument/2006/relationships/hyperlink" Target="http://www.munzee.com" TargetMode="External"/><Relationship Id="rId1756" Type="http://schemas.openxmlformats.org/officeDocument/2006/relationships/hyperlink" Target="https://www.munzee.com/m/cbf600/4086/" TargetMode="External"/><Relationship Id="rId1757" Type="http://schemas.openxmlformats.org/officeDocument/2006/relationships/hyperlink" Target="http://www.munzee.com" TargetMode="External"/><Relationship Id="rId1758" Type="http://schemas.openxmlformats.org/officeDocument/2006/relationships/hyperlink" Target="https://www.munzee.com/m/TheFatCats/4331/" TargetMode="External"/><Relationship Id="rId1759" Type="http://schemas.openxmlformats.org/officeDocument/2006/relationships/hyperlink" Target="http://www.munzee.com" TargetMode="External"/><Relationship Id="rId1750" Type="http://schemas.openxmlformats.org/officeDocument/2006/relationships/hyperlink" Target="https://www.munzee.com/m/Wangotango/1591/" TargetMode="External"/><Relationship Id="rId1751" Type="http://schemas.openxmlformats.org/officeDocument/2006/relationships/hyperlink" Target="http://www.munzee.com" TargetMode="External"/><Relationship Id="rId1741" Type="http://schemas.openxmlformats.org/officeDocument/2006/relationships/hyperlink" Target="http://www.munzee.com" TargetMode="External"/><Relationship Id="rId1742" Type="http://schemas.openxmlformats.org/officeDocument/2006/relationships/hyperlink" Target="https://www.munzee.com/m/123xilef/8201/" TargetMode="External"/><Relationship Id="rId1743" Type="http://schemas.openxmlformats.org/officeDocument/2006/relationships/hyperlink" Target="http://www.munzee.com" TargetMode="External"/><Relationship Id="rId1744" Type="http://schemas.openxmlformats.org/officeDocument/2006/relationships/hyperlink" Target="https://www.munzee.com/m/amadoreugen/5822/" TargetMode="External"/><Relationship Id="rId1745" Type="http://schemas.openxmlformats.org/officeDocument/2006/relationships/hyperlink" Target="http://www.munzee.com" TargetMode="External"/><Relationship Id="rId1746" Type="http://schemas.openxmlformats.org/officeDocument/2006/relationships/hyperlink" Target="https://www.munzee.com/m/lupo6/2663/" TargetMode="External"/><Relationship Id="rId1747" Type="http://schemas.openxmlformats.org/officeDocument/2006/relationships/hyperlink" Target="http://www.munzee.com" TargetMode="External"/><Relationship Id="rId1748" Type="http://schemas.openxmlformats.org/officeDocument/2006/relationships/hyperlink" Target="https://www.munzee.com/m/raunas/7127" TargetMode="External"/><Relationship Id="rId1749" Type="http://schemas.openxmlformats.org/officeDocument/2006/relationships/hyperlink" Target="http://www.munzee.com" TargetMode="External"/><Relationship Id="rId1740" Type="http://schemas.openxmlformats.org/officeDocument/2006/relationships/hyperlink" Target="https://www.munzee.com/m/TheFrog/5204/" TargetMode="External"/><Relationship Id="rId1710" Type="http://schemas.openxmlformats.org/officeDocument/2006/relationships/hyperlink" Target="https://www.munzee.com/m/mding4gold/4983" TargetMode="External"/><Relationship Id="rId1711" Type="http://schemas.openxmlformats.org/officeDocument/2006/relationships/hyperlink" Target="http://www.munzee.com" TargetMode="External"/><Relationship Id="rId1712" Type="http://schemas.openxmlformats.org/officeDocument/2006/relationships/hyperlink" Target="https://www.munzee.com/m/lison55/5750/" TargetMode="External"/><Relationship Id="rId1713" Type="http://schemas.openxmlformats.org/officeDocument/2006/relationships/hyperlink" Target="http://www.munzee.com" TargetMode="External"/><Relationship Id="rId1714" Type="http://schemas.openxmlformats.org/officeDocument/2006/relationships/hyperlink" Target="https://www.munzee.com/m/cbf600/2586/" TargetMode="External"/><Relationship Id="rId1715" Type="http://schemas.openxmlformats.org/officeDocument/2006/relationships/hyperlink" Target="http://www.munzee.com" TargetMode="External"/><Relationship Id="rId1716" Type="http://schemas.openxmlformats.org/officeDocument/2006/relationships/hyperlink" Target="https://www.munzee.com/m/fsafranek/4982/" TargetMode="External"/><Relationship Id="rId1717" Type="http://schemas.openxmlformats.org/officeDocument/2006/relationships/hyperlink" Target="http://www.munzee.com" TargetMode="External"/><Relationship Id="rId1718" Type="http://schemas.openxmlformats.org/officeDocument/2006/relationships/hyperlink" Target="https://www.munzee.com/m/Fossillady/3500" TargetMode="External"/><Relationship Id="rId1719" Type="http://schemas.openxmlformats.org/officeDocument/2006/relationships/hyperlink" Target="http://www.munzee.com" TargetMode="External"/><Relationship Id="rId1700" Type="http://schemas.openxmlformats.org/officeDocument/2006/relationships/hyperlink" Target="https://www.munzee.com/m/Derlame/18656/" TargetMode="External"/><Relationship Id="rId1701" Type="http://schemas.openxmlformats.org/officeDocument/2006/relationships/hyperlink" Target="http://www.munzee.com" TargetMode="External"/><Relationship Id="rId1702" Type="http://schemas.openxmlformats.org/officeDocument/2006/relationships/hyperlink" Target="https://www.munzee.com/m/Anetzet/3404/" TargetMode="External"/><Relationship Id="rId1703" Type="http://schemas.openxmlformats.org/officeDocument/2006/relationships/hyperlink" Target="http://www.munzee.com" TargetMode="External"/><Relationship Id="rId1704" Type="http://schemas.openxmlformats.org/officeDocument/2006/relationships/hyperlink" Target="https://www.munzee.com/m/Franca/1068/" TargetMode="External"/><Relationship Id="rId1705" Type="http://schemas.openxmlformats.org/officeDocument/2006/relationships/hyperlink" Target="http://www.munzee.com" TargetMode="External"/><Relationship Id="rId1706" Type="http://schemas.openxmlformats.org/officeDocument/2006/relationships/hyperlink" Target="https://www.munzee.com/m/amadoreugen/5868/" TargetMode="External"/><Relationship Id="rId1707" Type="http://schemas.openxmlformats.org/officeDocument/2006/relationships/hyperlink" Target="http://www.munzee.com" TargetMode="External"/><Relationship Id="rId1708" Type="http://schemas.openxmlformats.org/officeDocument/2006/relationships/hyperlink" Target="https://www.munzee.com/m/JackSparrow/22161" TargetMode="External"/><Relationship Id="rId1709" Type="http://schemas.openxmlformats.org/officeDocument/2006/relationships/hyperlink" Target="http://www.munzee.com" TargetMode="External"/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ArtofEco/2871/admin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Anetzet/2682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babyw/2957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Trappertje/4583/" TargetMode="External"/><Relationship Id="rId49" Type="http://schemas.openxmlformats.org/officeDocument/2006/relationships/hyperlink" Target="https://www.munzee.com/m/belladivadee/2988/" TargetMode="External"/><Relationship Id="rId31" Type="http://schemas.openxmlformats.org/officeDocument/2006/relationships/hyperlink" Target="https://www.munzee.com/m/hoekraam/6623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xrayneex/1328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barefootguru/3090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rotherWilliam/3858/admin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IggiePiggie/1766/" TargetMode="External"/><Relationship Id="rId38" Type="http://schemas.openxmlformats.org/officeDocument/2006/relationships/hyperlink" Target="http://www.munzee.com" TargetMode="External"/><Relationship Id="rId2203" Type="http://schemas.openxmlformats.org/officeDocument/2006/relationships/hyperlink" Target="http://www.munzee.com" TargetMode="External"/><Relationship Id="rId2204" Type="http://schemas.openxmlformats.org/officeDocument/2006/relationships/hyperlink" Target="https://www.munzee.com/m/Aniara/17961/" TargetMode="External"/><Relationship Id="rId20" Type="http://schemas.openxmlformats.org/officeDocument/2006/relationships/hyperlink" Target="http://www.munzee.com" TargetMode="External"/><Relationship Id="rId2205" Type="http://schemas.openxmlformats.org/officeDocument/2006/relationships/hyperlink" Target="http://www.munzee.com" TargetMode="External"/><Relationship Id="rId2206" Type="http://schemas.openxmlformats.org/officeDocument/2006/relationships/hyperlink" Target="https://www.munzee.com/m/lison55/16649" TargetMode="External"/><Relationship Id="rId22" Type="http://schemas.openxmlformats.org/officeDocument/2006/relationships/hyperlink" Target="http://www.munzee.com" TargetMode="External"/><Relationship Id="rId2207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Bambinacattiva/706/" TargetMode="External"/><Relationship Id="rId2208" Type="http://schemas.openxmlformats.org/officeDocument/2006/relationships/hyperlink" Target="https://www.munzee.com/m/cbf600/12154/admin/convert/" TargetMode="External"/><Relationship Id="rId24" Type="http://schemas.openxmlformats.org/officeDocument/2006/relationships/hyperlink" Target="http://www.munzee.com" TargetMode="External"/><Relationship Id="rId2209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sverlaan/4146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EmileP68/2925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PawPatrolThomas/2214/" TargetMode="External"/><Relationship Id="rId29" Type="http://schemas.openxmlformats.org/officeDocument/2006/relationships/hyperlink" Target="https://www.munzee.com/m/WiseOldWizard/3930/" TargetMode="External"/><Relationship Id="rId2200" Type="http://schemas.openxmlformats.org/officeDocument/2006/relationships/hyperlink" Target="https://www.munzee.com/m/alexmester/1236/" TargetMode="External"/><Relationship Id="rId2201" Type="http://schemas.openxmlformats.org/officeDocument/2006/relationships/hyperlink" Target="http://www.munzee.com" TargetMode="External"/><Relationship Id="rId2202" Type="http://schemas.openxmlformats.org/officeDocument/2006/relationships/hyperlink" Target="https://www.munzee.com/m/CzPeet/6764/" TargetMode="External"/><Relationship Id="rId11" Type="http://schemas.openxmlformats.org/officeDocument/2006/relationships/hyperlink" Target="https://www.munzee.com/m/Lanyasummer/4145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J1Huisman/11202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Dazzle007/768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lison55/5129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Pinkeltje/1082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1774" Type="http://schemas.openxmlformats.org/officeDocument/2006/relationships/hyperlink" Target="https://www.munzee.com/m/ArtofEco/3564/admin/" TargetMode="External"/><Relationship Id="rId83" Type="http://schemas.openxmlformats.org/officeDocument/2006/relationships/hyperlink" Target="https://www.munzee.com/m/123xilef/6737/" TargetMode="External"/><Relationship Id="rId1775" Type="http://schemas.openxmlformats.org/officeDocument/2006/relationships/hyperlink" Target="http://www.munzee.com" TargetMode="External"/><Relationship Id="rId86" Type="http://schemas.openxmlformats.org/officeDocument/2006/relationships/hyperlink" Target="http://www.munzee.com" TargetMode="External"/><Relationship Id="rId1776" Type="http://schemas.openxmlformats.org/officeDocument/2006/relationships/hyperlink" Target="https://www.munzee.com/m/xrayneex/2794/" TargetMode="External"/><Relationship Id="rId85" Type="http://schemas.openxmlformats.org/officeDocument/2006/relationships/hyperlink" Target="https://www.munzee.com/m/amigoth2de/1659/" TargetMode="External"/><Relationship Id="rId1777" Type="http://schemas.openxmlformats.org/officeDocument/2006/relationships/hyperlink" Target="http://www.munzee.com" TargetMode="External"/><Relationship Id="rId88" Type="http://schemas.openxmlformats.org/officeDocument/2006/relationships/hyperlink" Target="http://www.munzee.com" TargetMode="External"/><Relationship Id="rId1778" Type="http://schemas.openxmlformats.org/officeDocument/2006/relationships/hyperlink" Target="https://www.munzee.com/m/Ellesche/855" TargetMode="External"/><Relationship Id="rId87" Type="http://schemas.openxmlformats.org/officeDocument/2006/relationships/hyperlink" Target="https://www.munzee.com/m/halizwein/11149/" TargetMode="External"/><Relationship Id="rId1779" Type="http://schemas.openxmlformats.org/officeDocument/2006/relationships/hyperlink" Target="http://www.munzee.com" TargetMode="External"/><Relationship Id="rId89" Type="http://schemas.openxmlformats.org/officeDocument/2006/relationships/hyperlink" Target="https://www.munzee.com/m/Tinake1309/642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TheFrog/4046/" TargetMode="External"/><Relationship Id="rId1770" Type="http://schemas.openxmlformats.org/officeDocument/2006/relationships/hyperlink" Target="https://www.munzee.com/m/PawPatrolThomas/4324/" TargetMode="External"/><Relationship Id="rId1771" Type="http://schemas.openxmlformats.org/officeDocument/2006/relationships/hyperlink" Target="http://www.munzee.com" TargetMode="External"/><Relationship Id="rId1772" Type="http://schemas.openxmlformats.org/officeDocument/2006/relationships/hyperlink" Target="https://www.munzee.com/m/BrotherWilliam/5257/" TargetMode="External"/><Relationship Id="rId1773" Type="http://schemas.openxmlformats.org/officeDocument/2006/relationships/hyperlink" Target="http://www.munzee.com" TargetMode="External"/><Relationship Id="rId73" Type="http://schemas.openxmlformats.org/officeDocument/2006/relationships/hyperlink" Target="https://www.munzee.com/m/Bambinacattiva/700" TargetMode="External"/><Relationship Id="rId176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1764" Type="http://schemas.openxmlformats.org/officeDocument/2006/relationships/hyperlink" Target="https://www.munzee.com/m/raunas/12673" TargetMode="External"/><Relationship Id="rId75" Type="http://schemas.openxmlformats.org/officeDocument/2006/relationships/hyperlink" Target="https://www.munzee.com/m/hoekraam/6629" TargetMode="External"/><Relationship Id="rId1765" Type="http://schemas.openxmlformats.org/officeDocument/2006/relationships/hyperlink" Target="http://www.munzee.com" TargetMode="External"/><Relationship Id="rId74" Type="http://schemas.openxmlformats.org/officeDocument/2006/relationships/hyperlink" Target="http://www.munzee.com" TargetMode="External"/><Relationship Id="rId1766" Type="http://schemas.openxmlformats.org/officeDocument/2006/relationships/hyperlink" Target="https://www.munzee.com/m/sverlaan/6307/" TargetMode="External"/><Relationship Id="rId77" Type="http://schemas.openxmlformats.org/officeDocument/2006/relationships/hyperlink" Target="https://www.munzee.com/m/Drazoria/642" TargetMode="External"/><Relationship Id="rId1767" Type="http://schemas.openxmlformats.org/officeDocument/2006/relationships/hyperlink" Target="http://www.munzee.com" TargetMode="External"/><Relationship Id="rId76" Type="http://schemas.openxmlformats.org/officeDocument/2006/relationships/hyperlink" Target="http://www.munzee.com" TargetMode="External"/><Relationship Id="rId1768" Type="http://schemas.openxmlformats.org/officeDocument/2006/relationships/hyperlink" Target="https://www.munzee.com/m/EmileP68/5201/" TargetMode="External"/><Relationship Id="rId79" Type="http://schemas.openxmlformats.org/officeDocument/2006/relationships/hyperlink" Target="https://www.munzee.com/m/xrayneex/1321/" TargetMode="External"/><Relationship Id="rId1769" Type="http://schemas.openxmlformats.org/officeDocument/2006/relationships/hyperlink" Target="http://www.munzee.com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GroteSufferd/300/admin/" TargetMode="External"/><Relationship Id="rId70" Type="http://schemas.openxmlformats.org/officeDocument/2006/relationships/hyperlink" Target="http://www.munzee.com" TargetMode="External"/><Relationship Id="rId1760" Type="http://schemas.openxmlformats.org/officeDocument/2006/relationships/hyperlink" Target="https://www.munzee.com/m/xrayneex/1702/" TargetMode="External"/><Relationship Id="rId1761" Type="http://schemas.openxmlformats.org/officeDocument/2006/relationships/hyperlink" Target="http://www.munzee.com" TargetMode="External"/><Relationship Id="rId1762" Type="http://schemas.openxmlformats.org/officeDocument/2006/relationships/hyperlink" Target="https://www.munzee.com/m/amadoreugen/5756" TargetMode="External"/><Relationship Id="rId62" Type="http://schemas.openxmlformats.org/officeDocument/2006/relationships/hyperlink" Target="http://www.munzee.com" TargetMode="External"/><Relationship Id="rId1796" Type="http://schemas.openxmlformats.org/officeDocument/2006/relationships/hyperlink" Target="https://www.munzee.com/m/lupo6/2727/" TargetMode="External"/><Relationship Id="rId61" Type="http://schemas.openxmlformats.org/officeDocument/2006/relationships/hyperlink" Target="https://www.munzee.com/m/JackSparrow/19344" TargetMode="External"/><Relationship Id="rId1797" Type="http://schemas.openxmlformats.org/officeDocument/2006/relationships/hyperlink" Target="http://www.munzee.com" TargetMode="External"/><Relationship Id="rId64" Type="http://schemas.openxmlformats.org/officeDocument/2006/relationships/hyperlink" Target="http://www.munzee.com" TargetMode="External"/><Relationship Id="rId1798" Type="http://schemas.openxmlformats.org/officeDocument/2006/relationships/hyperlink" Target="https://www.munzee.com/m/lison55/12385/" TargetMode="External"/><Relationship Id="rId63" Type="http://schemas.openxmlformats.org/officeDocument/2006/relationships/hyperlink" Target="https://www.munzee.com/m/MeanderingMonkeys/13289/" TargetMode="External"/><Relationship Id="rId1799" Type="http://schemas.openxmlformats.org/officeDocument/2006/relationships/hyperlink" Target="http://www.munzee.com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Clareppuccino/4003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JackSparrow/19419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hoekraam/6624" TargetMode="External"/><Relationship Id="rId1790" Type="http://schemas.openxmlformats.org/officeDocument/2006/relationships/hyperlink" Target="https://www.munzee.com/m/Tinake1309/1600/" TargetMode="External"/><Relationship Id="rId1791" Type="http://schemas.openxmlformats.org/officeDocument/2006/relationships/hyperlink" Target="http://www.munzee.com" TargetMode="External"/><Relationship Id="rId1792" Type="http://schemas.openxmlformats.org/officeDocument/2006/relationships/hyperlink" Target="https://www.munzee.com/m/Berg14/1521/" TargetMode="External"/><Relationship Id="rId1793" Type="http://schemas.openxmlformats.org/officeDocument/2006/relationships/hyperlink" Target="http://www.munzee.com" TargetMode="External"/><Relationship Id="rId1794" Type="http://schemas.openxmlformats.org/officeDocument/2006/relationships/hyperlink" Target="https://www.munzee.com/m/Niks13/1483/" TargetMode="External"/><Relationship Id="rId1795" Type="http://schemas.openxmlformats.org/officeDocument/2006/relationships/hyperlink" Target="http://www.munzee.com" TargetMode="External"/><Relationship Id="rId51" Type="http://schemas.openxmlformats.org/officeDocument/2006/relationships/hyperlink" Target="https://www.munzee.com/m/geckofreund/4323/" TargetMode="External"/><Relationship Id="rId1785" Type="http://schemas.openxmlformats.org/officeDocument/2006/relationships/hyperlink" Target="http://www.munzee.com" TargetMode="External"/><Relationship Id="rId50" Type="http://schemas.openxmlformats.org/officeDocument/2006/relationships/hyperlink" Target="http://www.munzee.com" TargetMode="External"/><Relationship Id="rId1786" Type="http://schemas.openxmlformats.org/officeDocument/2006/relationships/hyperlink" Target="https://www.munzee.com/m/Wangotango/1376/" TargetMode="External"/><Relationship Id="rId53" Type="http://schemas.openxmlformats.org/officeDocument/2006/relationships/hyperlink" Target="https://www.munzee.com/m/benotje/1327/" TargetMode="External"/><Relationship Id="rId1787" Type="http://schemas.openxmlformats.org/officeDocument/2006/relationships/hyperlink" Target="http://www.munzee.com" TargetMode="External"/><Relationship Id="rId52" Type="http://schemas.openxmlformats.org/officeDocument/2006/relationships/hyperlink" Target="http://www.munzee.com" TargetMode="External"/><Relationship Id="rId1788" Type="http://schemas.openxmlformats.org/officeDocument/2006/relationships/hyperlink" Target="https://www.munzee.com/m/Drazoria/1675/" TargetMode="External"/><Relationship Id="rId55" Type="http://schemas.openxmlformats.org/officeDocument/2006/relationships/hyperlink" Target="https://www.munzee.com/m/cbf600/2384" TargetMode="External"/><Relationship Id="rId1789" Type="http://schemas.openxmlformats.org/officeDocument/2006/relationships/hyperlink" Target="http://www.munzee.com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Bisquick2/3976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ChickenRun/10578" TargetMode="External"/><Relationship Id="rId58" Type="http://schemas.openxmlformats.org/officeDocument/2006/relationships/hyperlink" Target="http://www.munzee.com" TargetMode="External"/><Relationship Id="rId1780" Type="http://schemas.openxmlformats.org/officeDocument/2006/relationships/hyperlink" Target="https://www.munzee.com/m/res2100/894" TargetMode="External"/><Relationship Id="rId1781" Type="http://schemas.openxmlformats.org/officeDocument/2006/relationships/hyperlink" Target="http://www.munzee.com" TargetMode="External"/><Relationship Id="rId1782" Type="http://schemas.openxmlformats.org/officeDocument/2006/relationships/hyperlink" Target="https://www.munzee.com/m/OdinsFiRe/2013/" TargetMode="External"/><Relationship Id="rId1783" Type="http://schemas.openxmlformats.org/officeDocument/2006/relationships/hyperlink" Target="http://www.munzee.com" TargetMode="External"/><Relationship Id="rId1784" Type="http://schemas.openxmlformats.org/officeDocument/2006/relationships/hyperlink" Target="https://www.munzee.com/m/Whatsoverthere/8942/" TargetMode="External"/><Relationship Id="rId2269" Type="http://schemas.openxmlformats.org/officeDocument/2006/relationships/hyperlink" Target="http://www.munzee.com" TargetMode="External"/><Relationship Id="rId349" Type="http://schemas.openxmlformats.org/officeDocument/2006/relationships/hyperlink" Target="https://www.munzee.com/m/Drazoria/691" TargetMode="External"/><Relationship Id="rId348" Type="http://schemas.openxmlformats.org/officeDocument/2006/relationships/hyperlink" Target="http://www.munzee.com" TargetMode="External"/><Relationship Id="rId347" Type="http://schemas.openxmlformats.org/officeDocument/2006/relationships/hyperlink" Target="https://www.munzee.com/m/Anetzet/2669/" TargetMode="External"/><Relationship Id="rId346" Type="http://schemas.openxmlformats.org/officeDocument/2006/relationships/hyperlink" Target="http://www.munzee.com" TargetMode="External"/><Relationship Id="rId2260" Type="http://schemas.openxmlformats.org/officeDocument/2006/relationships/hyperlink" Target="https://www.munzee.com/m/ddtsnorton/11384/" TargetMode="External"/><Relationship Id="rId341" Type="http://schemas.openxmlformats.org/officeDocument/2006/relationships/hyperlink" Target="https://www.munzee.com/m/fsafranek/4276/" TargetMode="External"/><Relationship Id="rId2261" Type="http://schemas.openxmlformats.org/officeDocument/2006/relationships/hyperlink" Target="http://www.munzee.com" TargetMode="External"/><Relationship Id="rId340" Type="http://schemas.openxmlformats.org/officeDocument/2006/relationships/hyperlink" Target="http://www.munzee.com" TargetMode="External"/><Relationship Id="rId2262" Type="http://schemas.openxmlformats.org/officeDocument/2006/relationships/hyperlink" Target="https://www.munzee.com/m/Ellesche/802" TargetMode="External"/><Relationship Id="rId2263" Type="http://schemas.openxmlformats.org/officeDocument/2006/relationships/hyperlink" Target="http://www.munzee.com" TargetMode="External"/><Relationship Id="rId2264" Type="http://schemas.openxmlformats.org/officeDocument/2006/relationships/hyperlink" Target="https://www.munzee.com/m/res2100/878" TargetMode="External"/><Relationship Id="rId345" Type="http://schemas.openxmlformats.org/officeDocument/2006/relationships/hyperlink" Target="https://www.munzee.com/m/Wangotango/1192/" TargetMode="External"/><Relationship Id="rId2265" Type="http://schemas.openxmlformats.org/officeDocument/2006/relationships/hyperlink" Target="http://www.munzee.com" TargetMode="External"/><Relationship Id="rId344" Type="http://schemas.openxmlformats.org/officeDocument/2006/relationships/hyperlink" Target="http://www.munzee.com" TargetMode="External"/><Relationship Id="rId2266" Type="http://schemas.openxmlformats.org/officeDocument/2006/relationships/hyperlink" Target="https://www.munzee.com/m/Drazoria/1586/" TargetMode="External"/><Relationship Id="rId343" Type="http://schemas.openxmlformats.org/officeDocument/2006/relationships/hyperlink" Target="https://www.munzee.com/m/babyw/2847/" TargetMode="External"/><Relationship Id="rId2267" Type="http://schemas.openxmlformats.org/officeDocument/2006/relationships/hyperlink" Target="http://www.munzee.com" TargetMode="External"/><Relationship Id="rId342" Type="http://schemas.openxmlformats.org/officeDocument/2006/relationships/hyperlink" Target="http://www.munzee.com" TargetMode="External"/><Relationship Id="rId2268" Type="http://schemas.openxmlformats.org/officeDocument/2006/relationships/hyperlink" Target="https://www.munzee.com/m/Tinake1309/1664/" TargetMode="External"/><Relationship Id="rId2258" Type="http://schemas.openxmlformats.org/officeDocument/2006/relationships/hyperlink" Target="https://www.munzee.com/m/lupo6/6877" TargetMode="External"/><Relationship Id="rId2259" Type="http://schemas.openxmlformats.org/officeDocument/2006/relationships/hyperlink" Target="http://www.munzee.com" TargetMode="External"/><Relationship Id="rId338" Type="http://schemas.openxmlformats.org/officeDocument/2006/relationships/hyperlink" Target="http://www.munzee.com" TargetMode="External"/><Relationship Id="rId337" Type="http://schemas.openxmlformats.org/officeDocument/2006/relationships/hyperlink" Target="https://www.munzee.com/m/xrayneex/1293/" TargetMode="External"/><Relationship Id="rId336" Type="http://schemas.openxmlformats.org/officeDocument/2006/relationships/hyperlink" Target="http://www.munzee.com" TargetMode="External"/><Relationship Id="rId335" Type="http://schemas.openxmlformats.org/officeDocument/2006/relationships/hyperlink" Target="https://www.munzee.com/m/hoekraam/7003" TargetMode="External"/><Relationship Id="rId339" Type="http://schemas.openxmlformats.org/officeDocument/2006/relationships/hyperlink" Target="https://www.munzee.com/m/BrotherWilliam/3863/" TargetMode="External"/><Relationship Id="rId330" Type="http://schemas.openxmlformats.org/officeDocument/2006/relationships/hyperlink" Target="http://www.munzee.com" TargetMode="External"/><Relationship Id="rId2250" Type="http://schemas.openxmlformats.org/officeDocument/2006/relationships/hyperlink" Target="https://www.munzee.com/m/ArtofEco/3658/" TargetMode="External"/><Relationship Id="rId2251" Type="http://schemas.openxmlformats.org/officeDocument/2006/relationships/hyperlink" Target="http://www.munzee.com" TargetMode="External"/><Relationship Id="rId2252" Type="http://schemas.openxmlformats.org/officeDocument/2006/relationships/hyperlink" Target="https://www.munzee.com/m/J1Huisman/14279/" TargetMode="External"/><Relationship Id="rId2253" Type="http://schemas.openxmlformats.org/officeDocument/2006/relationships/hyperlink" Target="http://www.munzee.com" TargetMode="External"/><Relationship Id="rId334" Type="http://schemas.openxmlformats.org/officeDocument/2006/relationships/hyperlink" Target="http://www.munzee.com" TargetMode="External"/><Relationship Id="rId2254" Type="http://schemas.openxmlformats.org/officeDocument/2006/relationships/hyperlink" Target="https://www.munzee.com/m/fsafranek/5375/" TargetMode="External"/><Relationship Id="rId333" Type="http://schemas.openxmlformats.org/officeDocument/2006/relationships/hyperlink" Target="https://www.munzee.com/m/PawPatrolThomas/2202/" TargetMode="External"/><Relationship Id="rId2255" Type="http://schemas.openxmlformats.org/officeDocument/2006/relationships/hyperlink" Target="http://www.munzee.com" TargetMode="External"/><Relationship Id="rId332" Type="http://schemas.openxmlformats.org/officeDocument/2006/relationships/hyperlink" Target="http://www.munzee.com" TargetMode="External"/><Relationship Id="rId2256" Type="http://schemas.openxmlformats.org/officeDocument/2006/relationships/hyperlink" Target="https://www.munzee.com/m/xrayneex/2536/" TargetMode="External"/><Relationship Id="rId331" Type="http://schemas.openxmlformats.org/officeDocument/2006/relationships/hyperlink" Target="https://www.munzee.com/m/EmileP68/2897/" TargetMode="External"/><Relationship Id="rId2257" Type="http://schemas.openxmlformats.org/officeDocument/2006/relationships/hyperlink" Target="http://www.munzee.com" TargetMode="External"/><Relationship Id="rId370" Type="http://schemas.openxmlformats.org/officeDocument/2006/relationships/hyperlink" Target="http://www.munzee.com" TargetMode="External"/><Relationship Id="rId369" Type="http://schemas.openxmlformats.org/officeDocument/2006/relationships/hyperlink" Target="https://www.munzee.com/m/IggiePiggie/1777/" TargetMode="External"/><Relationship Id="rId368" Type="http://schemas.openxmlformats.org/officeDocument/2006/relationships/hyperlink" Target="http://www.munzee.com" TargetMode="External"/><Relationship Id="rId2280" Type="http://schemas.openxmlformats.org/officeDocument/2006/relationships/hyperlink" Target="https://www.munzee.com/m/raunas/12347" TargetMode="External"/><Relationship Id="rId2281" Type="http://schemas.openxmlformats.org/officeDocument/2006/relationships/hyperlink" Target="http://www.munzee.com" TargetMode="External"/><Relationship Id="rId2282" Type="http://schemas.openxmlformats.org/officeDocument/2006/relationships/hyperlink" Target="https://www.munzee.com/m/Anetzet/4607/" TargetMode="External"/><Relationship Id="rId363" Type="http://schemas.openxmlformats.org/officeDocument/2006/relationships/hyperlink" Target="https://www.munzee.com/m/barefootguru/3093/" TargetMode="External"/><Relationship Id="rId2283" Type="http://schemas.openxmlformats.org/officeDocument/2006/relationships/hyperlink" Target="http://www.munzee.com" TargetMode="External"/><Relationship Id="rId362" Type="http://schemas.openxmlformats.org/officeDocument/2006/relationships/hyperlink" Target="http://www.munzee.com" TargetMode="External"/><Relationship Id="rId2284" Type="http://schemas.openxmlformats.org/officeDocument/2006/relationships/hyperlink" Target="https://www.munzee.com/m/Bungle/10932" TargetMode="External"/><Relationship Id="rId361" Type="http://schemas.openxmlformats.org/officeDocument/2006/relationships/hyperlink" Target="https://www.munzee.com/m/Derlame/12299/" TargetMode="External"/><Relationship Id="rId2285" Type="http://schemas.openxmlformats.org/officeDocument/2006/relationships/hyperlink" Target="http://www.munzee.com" TargetMode="External"/><Relationship Id="rId360" Type="http://schemas.openxmlformats.org/officeDocument/2006/relationships/hyperlink" Target="http://www.munzee.com" TargetMode="External"/><Relationship Id="rId2286" Type="http://schemas.openxmlformats.org/officeDocument/2006/relationships/hyperlink" Target="https://www.munzee.com/m/23speds/11054/admin/" TargetMode="External"/><Relationship Id="rId367" Type="http://schemas.openxmlformats.org/officeDocument/2006/relationships/hyperlink" Target="https://www.munzee.com/m/cbf600/2385/admin/convert/" TargetMode="External"/><Relationship Id="rId2287" Type="http://schemas.openxmlformats.org/officeDocument/2006/relationships/hyperlink" Target="http://www.munzee.com" TargetMode="External"/><Relationship Id="rId366" Type="http://schemas.openxmlformats.org/officeDocument/2006/relationships/hyperlink" Target="http://www.munzee.com" TargetMode="External"/><Relationship Id="rId2288" Type="http://schemas.openxmlformats.org/officeDocument/2006/relationships/hyperlink" Target="https://www.munzee.com/m/rita85gto/5142/" TargetMode="External"/><Relationship Id="rId365" Type="http://schemas.openxmlformats.org/officeDocument/2006/relationships/hyperlink" Target="https://www.munzee.com/m/Aniara/6430/" TargetMode="External"/><Relationship Id="rId2289" Type="http://schemas.openxmlformats.org/officeDocument/2006/relationships/hyperlink" Target="http://www.munzee.com" TargetMode="External"/><Relationship Id="rId364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Derlame/12347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JackSparrow/19320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Aniara/6516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Berg14/428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Niks13/395/" TargetMode="External"/><Relationship Id="rId92" Type="http://schemas.openxmlformats.org/officeDocument/2006/relationships/hyperlink" Target="http://www.munzee.com" TargetMode="External"/><Relationship Id="rId359" Type="http://schemas.openxmlformats.org/officeDocument/2006/relationships/hyperlink" Target="https://www.munzee.com/m/belladivadee/2969/" TargetMode="External"/><Relationship Id="rId358" Type="http://schemas.openxmlformats.org/officeDocument/2006/relationships/hyperlink" Target="http://www.munzee.com" TargetMode="External"/><Relationship Id="rId357" Type="http://schemas.openxmlformats.org/officeDocument/2006/relationships/hyperlink" Target="https://www.munzee.com/m/ArtofEco/2889/" TargetMode="External"/><Relationship Id="rId2270" Type="http://schemas.openxmlformats.org/officeDocument/2006/relationships/hyperlink" Target="https://www.munzee.com/m/Berg14/1540/" TargetMode="External"/><Relationship Id="rId2271" Type="http://schemas.openxmlformats.org/officeDocument/2006/relationships/hyperlink" Target="http://www.munzee.com" TargetMode="External"/><Relationship Id="rId352" Type="http://schemas.openxmlformats.org/officeDocument/2006/relationships/hyperlink" Target="http://www.munzee.com" TargetMode="External"/><Relationship Id="rId2272" Type="http://schemas.openxmlformats.org/officeDocument/2006/relationships/hyperlink" Target="https://www.munzee.com/m/Niks13/1525/" TargetMode="External"/><Relationship Id="rId351" Type="http://schemas.openxmlformats.org/officeDocument/2006/relationships/hyperlink" Target="https://www.munzee.com/m/Berg14/452" TargetMode="External"/><Relationship Id="rId2273" Type="http://schemas.openxmlformats.org/officeDocument/2006/relationships/hyperlink" Target="http://www.munzee.com" TargetMode="External"/><Relationship Id="rId350" Type="http://schemas.openxmlformats.org/officeDocument/2006/relationships/hyperlink" Target="http://www.munzee.com" TargetMode="External"/><Relationship Id="rId2274" Type="http://schemas.openxmlformats.org/officeDocument/2006/relationships/hyperlink" Target="https://www.munzee.com/m/crscousins/6802/" TargetMode="External"/><Relationship Id="rId2275" Type="http://schemas.openxmlformats.org/officeDocument/2006/relationships/hyperlink" Target="http://www.munzee.com" TargetMode="External"/><Relationship Id="rId356" Type="http://schemas.openxmlformats.org/officeDocument/2006/relationships/hyperlink" Target="http://www.munzee.com" TargetMode="External"/><Relationship Id="rId2276" Type="http://schemas.openxmlformats.org/officeDocument/2006/relationships/hyperlink" Target="https://www.munzee.com/m/Girlteddy5/31/" TargetMode="External"/><Relationship Id="rId355" Type="http://schemas.openxmlformats.org/officeDocument/2006/relationships/hyperlink" Target="https://www.munzee.com/m/Niks13/428" TargetMode="External"/><Relationship Id="rId2277" Type="http://schemas.openxmlformats.org/officeDocument/2006/relationships/hyperlink" Target="http://www.munzee.com" TargetMode="External"/><Relationship Id="rId354" Type="http://schemas.openxmlformats.org/officeDocument/2006/relationships/hyperlink" Target="http://www.munzee.com" TargetMode="External"/><Relationship Id="rId2278" Type="http://schemas.openxmlformats.org/officeDocument/2006/relationships/hyperlink" Target="https://www.munzee.com/m/OdinsFiRe/2067/" TargetMode="External"/><Relationship Id="rId353" Type="http://schemas.openxmlformats.org/officeDocument/2006/relationships/hyperlink" Target="https://www.munzee.com/m/Tinake1309/669/" TargetMode="External"/><Relationship Id="rId2279" Type="http://schemas.openxmlformats.org/officeDocument/2006/relationships/hyperlink" Target="http://www.munzee.com" TargetMode="External"/><Relationship Id="rId2225" Type="http://schemas.openxmlformats.org/officeDocument/2006/relationships/hyperlink" Target="http://www.munzee.com" TargetMode="External"/><Relationship Id="rId2226" Type="http://schemas.openxmlformats.org/officeDocument/2006/relationships/hyperlink" Target="https://www.munzee.com/m/mortonfox/22624/" TargetMode="External"/><Relationship Id="rId2227" Type="http://schemas.openxmlformats.org/officeDocument/2006/relationships/hyperlink" Target="http://www.munzee.com" TargetMode="External"/><Relationship Id="rId2228" Type="http://schemas.openxmlformats.org/officeDocument/2006/relationships/hyperlink" Target="https://www.munzee.com/m/Fossillady/5417" TargetMode="External"/><Relationship Id="rId2229" Type="http://schemas.openxmlformats.org/officeDocument/2006/relationships/hyperlink" Target="http://www.munzee.com" TargetMode="External"/><Relationship Id="rId305" Type="http://schemas.openxmlformats.org/officeDocument/2006/relationships/hyperlink" Target="https://www.munzee.com/m/PawPatrolThomas/2283/" TargetMode="External"/><Relationship Id="rId304" Type="http://schemas.openxmlformats.org/officeDocument/2006/relationships/hyperlink" Target="http://www.munzee.com" TargetMode="External"/><Relationship Id="rId303" Type="http://schemas.openxmlformats.org/officeDocument/2006/relationships/hyperlink" Target="https://www.munzee.com/m/sverlaan/4193/" TargetMode="External"/><Relationship Id="rId302" Type="http://schemas.openxmlformats.org/officeDocument/2006/relationships/hyperlink" Target="http://www.munzee.com" TargetMode="External"/><Relationship Id="rId309" Type="http://schemas.openxmlformats.org/officeDocument/2006/relationships/hyperlink" Target="https://www.munzee.com/m/cbf600/2339/admin/" TargetMode="External"/><Relationship Id="rId308" Type="http://schemas.openxmlformats.org/officeDocument/2006/relationships/hyperlink" Target="http://www.munzee.com" TargetMode="External"/><Relationship Id="rId307" Type="http://schemas.openxmlformats.org/officeDocument/2006/relationships/hyperlink" Target="https://www.munzee.com/m/OdinsFiRe/1527" TargetMode="External"/><Relationship Id="rId306" Type="http://schemas.openxmlformats.org/officeDocument/2006/relationships/hyperlink" Target="http://www.munzee.com" TargetMode="External"/><Relationship Id="rId2220" Type="http://schemas.openxmlformats.org/officeDocument/2006/relationships/hyperlink" Target="https://www.munzee.com/m/TheFrog/5375/" TargetMode="External"/><Relationship Id="rId301" Type="http://schemas.openxmlformats.org/officeDocument/2006/relationships/hyperlink" Target="https://www.munzee.com/m/Beermaven/2926/" TargetMode="External"/><Relationship Id="rId2221" Type="http://schemas.openxmlformats.org/officeDocument/2006/relationships/hyperlink" Target="http://www.munzee.com" TargetMode="External"/><Relationship Id="rId300" Type="http://schemas.openxmlformats.org/officeDocument/2006/relationships/hyperlink" Target="http://www.munzee.com" TargetMode="External"/><Relationship Id="rId2222" Type="http://schemas.openxmlformats.org/officeDocument/2006/relationships/hyperlink" Target="https://www.munzee.com/m/123xilef/13724/" TargetMode="External"/><Relationship Id="rId2223" Type="http://schemas.openxmlformats.org/officeDocument/2006/relationships/hyperlink" Target="http://www.munzee.com" TargetMode="External"/><Relationship Id="rId2224" Type="http://schemas.openxmlformats.org/officeDocument/2006/relationships/hyperlink" Target="https://www.munzee.com/m/tommobil/1407/" TargetMode="External"/><Relationship Id="rId2214" Type="http://schemas.openxmlformats.org/officeDocument/2006/relationships/hyperlink" Target="https://www.munzee.com/m/barefootguru/5278/" TargetMode="External"/><Relationship Id="rId2215" Type="http://schemas.openxmlformats.org/officeDocument/2006/relationships/hyperlink" Target="http://www.munzee.com" TargetMode="External"/><Relationship Id="rId2216" Type="http://schemas.openxmlformats.org/officeDocument/2006/relationships/hyperlink" Target="https://www.munzee.com/m/cbf600/12155/admin/" TargetMode="External"/><Relationship Id="rId2217" Type="http://schemas.openxmlformats.org/officeDocument/2006/relationships/hyperlink" Target="http://www.munzee.com" TargetMode="External"/><Relationship Id="rId2218" Type="http://schemas.openxmlformats.org/officeDocument/2006/relationships/hyperlink" Target="https://www.munzee.com/m/Bungle/10437" TargetMode="External"/><Relationship Id="rId2219" Type="http://schemas.openxmlformats.org/officeDocument/2006/relationships/hyperlink" Target="http://www.munzee.com" TargetMode="External"/><Relationship Id="rId2210" Type="http://schemas.openxmlformats.org/officeDocument/2006/relationships/hyperlink" Target="https://www.munzee.com/m/Bisquick2/7109/" TargetMode="External"/><Relationship Id="rId2211" Type="http://schemas.openxmlformats.org/officeDocument/2006/relationships/hyperlink" Target="http://www.munzee.com" TargetMode="External"/><Relationship Id="rId2212" Type="http://schemas.openxmlformats.org/officeDocument/2006/relationships/hyperlink" Target="https://www.munzee.com/m/raunas/12598" TargetMode="External"/><Relationship Id="rId2213" Type="http://schemas.openxmlformats.org/officeDocument/2006/relationships/hyperlink" Target="http://www.munzee.com" TargetMode="External"/><Relationship Id="rId2247" Type="http://schemas.openxmlformats.org/officeDocument/2006/relationships/hyperlink" Target="http://www.munzee.com" TargetMode="External"/><Relationship Id="rId2248" Type="http://schemas.openxmlformats.org/officeDocument/2006/relationships/hyperlink" Target="https://www.munzee.com/m/BrotherWilliam/5399/" TargetMode="External"/><Relationship Id="rId2249" Type="http://schemas.openxmlformats.org/officeDocument/2006/relationships/hyperlink" Target="http://www.munzee.com" TargetMode="External"/><Relationship Id="rId327" Type="http://schemas.openxmlformats.org/officeDocument/2006/relationships/hyperlink" Target="https://www.munzee.com/m/Bambinacattiva/684/" TargetMode="External"/><Relationship Id="rId326" Type="http://schemas.openxmlformats.org/officeDocument/2006/relationships/hyperlink" Target="http://www.munzee.com" TargetMode="External"/><Relationship Id="rId325" Type="http://schemas.openxmlformats.org/officeDocument/2006/relationships/hyperlink" Target="https://www.munzee.com/m/Pinkeltje/1068/" TargetMode="External"/><Relationship Id="rId324" Type="http://schemas.openxmlformats.org/officeDocument/2006/relationships/hyperlink" Target="http://www.munzee.com" TargetMode="External"/><Relationship Id="rId329" Type="http://schemas.openxmlformats.org/officeDocument/2006/relationships/hyperlink" Target="https://www.munzee.com/m/sverlaan/4125/" TargetMode="External"/><Relationship Id="rId328" Type="http://schemas.openxmlformats.org/officeDocument/2006/relationships/hyperlink" Target="http://www.munzee.com" TargetMode="External"/><Relationship Id="rId2240" Type="http://schemas.openxmlformats.org/officeDocument/2006/relationships/hyperlink" Target="https://www.munzee.com/m/belladivadee/3207" TargetMode="External"/><Relationship Id="rId2241" Type="http://schemas.openxmlformats.org/officeDocument/2006/relationships/hyperlink" Target="http://www.munzee.com" TargetMode="External"/><Relationship Id="rId2242" Type="http://schemas.openxmlformats.org/officeDocument/2006/relationships/hyperlink" Target="https://www.munzee.com/m/sverlaan/6188/" TargetMode="External"/><Relationship Id="rId323" Type="http://schemas.openxmlformats.org/officeDocument/2006/relationships/hyperlink" Target="https://www.munzee.com/m/J1Huisman/11168/" TargetMode="External"/><Relationship Id="rId2243" Type="http://schemas.openxmlformats.org/officeDocument/2006/relationships/hyperlink" Target="http://www.munzee.com" TargetMode="External"/><Relationship Id="rId322" Type="http://schemas.openxmlformats.org/officeDocument/2006/relationships/hyperlink" Target="http://www.munzee.com" TargetMode="External"/><Relationship Id="rId2244" Type="http://schemas.openxmlformats.org/officeDocument/2006/relationships/hyperlink" Target="https://www.munzee.com/m/PawPatrolThomas/4057/" TargetMode="External"/><Relationship Id="rId321" Type="http://schemas.openxmlformats.org/officeDocument/2006/relationships/hyperlink" Target="https://www.munzee.com/m/Lanyasummer/4104/" TargetMode="External"/><Relationship Id="rId2245" Type="http://schemas.openxmlformats.org/officeDocument/2006/relationships/hyperlink" Target="http://www.munzee.com" TargetMode="External"/><Relationship Id="rId320" Type="http://schemas.openxmlformats.org/officeDocument/2006/relationships/hyperlink" Target="http://www.munzee.com" TargetMode="External"/><Relationship Id="rId2246" Type="http://schemas.openxmlformats.org/officeDocument/2006/relationships/hyperlink" Target="https://www.munzee.com/m/EmileP68/4931/" TargetMode="External"/><Relationship Id="rId2236" Type="http://schemas.openxmlformats.org/officeDocument/2006/relationships/hyperlink" Target="https://www.munzee.com/m/Trappertje/15129/" TargetMode="External"/><Relationship Id="rId2237" Type="http://schemas.openxmlformats.org/officeDocument/2006/relationships/hyperlink" Target="http://www.munzee.com" TargetMode="External"/><Relationship Id="rId2238" Type="http://schemas.openxmlformats.org/officeDocument/2006/relationships/hyperlink" Target="https://www.munzee.com/m/Csiki86/457/" TargetMode="External"/><Relationship Id="rId2239" Type="http://schemas.openxmlformats.org/officeDocument/2006/relationships/hyperlink" Target="http://www.munzee.com" TargetMode="External"/><Relationship Id="rId316" Type="http://schemas.openxmlformats.org/officeDocument/2006/relationships/hyperlink" Target="http://www.munzee.com" TargetMode="External"/><Relationship Id="rId315" Type="http://schemas.openxmlformats.org/officeDocument/2006/relationships/hyperlink" Target="https://www.munzee.com/m/FromTheTardis/1332/" TargetMode="External"/><Relationship Id="rId314" Type="http://schemas.openxmlformats.org/officeDocument/2006/relationships/hyperlink" Target="http://www.munzee.com" TargetMode="External"/><Relationship Id="rId313" Type="http://schemas.openxmlformats.org/officeDocument/2006/relationships/hyperlink" Target="https://www.munzee.com/m/DHitz/3707/" TargetMode="External"/><Relationship Id="rId319" Type="http://schemas.openxmlformats.org/officeDocument/2006/relationships/hyperlink" Target="https://www.munzee.com/m/Andrew81/1340" TargetMode="External"/><Relationship Id="rId318" Type="http://schemas.openxmlformats.org/officeDocument/2006/relationships/hyperlink" Target="http://www.munzee.com" TargetMode="External"/><Relationship Id="rId317" Type="http://schemas.openxmlformats.org/officeDocument/2006/relationships/hyperlink" Target="https://www.munzee.com/m/lison55/5159/" TargetMode="External"/><Relationship Id="rId2230" Type="http://schemas.openxmlformats.org/officeDocument/2006/relationships/hyperlink" Target="https://www.munzee.com/m/tommobil/1409/" TargetMode="External"/><Relationship Id="rId2231" Type="http://schemas.openxmlformats.org/officeDocument/2006/relationships/hyperlink" Target="http://www.munzee.com" TargetMode="External"/><Relationship Id="rId312" Type="http://schemas.openxmlformats.org/officeDocument/2006/relationships/hyperlink" Target="http://www.munzee.com" TargetMode="External"/><Relationship Id="rId2232" Type="http://schemas.openxmlformats.org/officeDocument/2006/relationships/hyperlink" Target="https://www.munzee.com/m/alexmester/1257/" TargetMode="External"/><Relationship Id="rId311" Type="http://schemas.openxmlformats.org/officeDocument/2006/relationships/hyperlink" Target="https://www.munzee.com/m/LonelyWalker/392/" TargetMode="External"/><Relationship Id="rId2233" Type="http://schemas.openxmlformats.org/officeDocument/2006/relationships/hyperlink" Target="http://www.munzee.com" TargetMode="External"/><Relationship Id="rId310" Type="http://schemas.openxmlformats.org/officeDocument/2006/relationships/hyperlink" Target="http://www.munzee.com" TargetMode="External"/><Relationship Id="rId2234" Type="http://schemas.openxmlformats.org/officeDocument/2006/relationships/hyperlink" Target="https://www.munzee.com/m/alexmester/1237/" TargetMode="External"/><Relationship Id="rId2235" Type="http://schemas.openxmlformats.org/officeDocument/2006/relationships/hyperlink" Target="http://www.munzee.com" TargetMode="External"/><Relationship Id="rId297" Type="http://schemas.openxmlformats.org/officeDocument/2006/relationships/hyperlink" Target="https://www.munzee.com/m/TheFatCats/3637/" TargetMode="External"/><Relationship Id="rId296" Type="http://schemas.openxmlformats.org/officeDocument/2006/relationships/hyperlink" Target="http://www.munzee.com" TargetMode="External"/><Relationship Id="rId295" Type="http://schemas.openxmlformats.org/officeDocument/2006/relationships/hyperlink" Target="https://www.munzee.com/m/PhatCapper/758/" TargetMode="External"/><Relationship Id="rId294" Type="http://schemas.openxmlformats.org/officeDocument/2006/relationships/hyperlink" Target="http://www.munzee.com" TargetMode="External"/><Relationship Id="rId299" Type="http://schemas.openxmlformats.org/officeDocument/2006/relationships/hyperlink" Target="https://www.munzee.com/m/KublaKhan/693/" TargetMode="External"/><Relationship Id="rId298" Type="http://schemas.openxmlformats.org/officeDocument/2006/relationships/hyperlink" Target="http://www.munzee.com" TargetMode="External"/><Relationship Id="rId271" Type="http://schemas.openxmlformats.org/officeDocument/2006/relationships/hyperlink" Target="https://www.munzee.com/m/Berg14/444" TargetMode="External"/><Relationship Id="rId270" Type="http://schemas.openxmlformats.org/officeDocument/2006/relationships/hyperlink" Target="http://www.munzee.com" TargetMode="External"/><Relationship Id="rId269" Type="http://schemas.openxmlformats.org/officeDocument/2006/relationships/hyperlink" Target="https://www.munzee.com/m/Tinake1309/668" TargetMode="External"/><Relationship Id="rId264" Type="http://schemas.openxmlformats.org/officeDocument/2006/relationships/hyperlink" Target="http://www.munzee.com" TargetMode="External"/><Relationship Id="rId263" Type="http://schemas.openxmlformats.org/officeDocument/2006/relationships/hyperlink" Target="https://www.munzee.com/m/cbf600/2307/admin/" TargetMode="External"/><Relationship Id="rId262" Type="http://schemas.openxmlformats.org/officeDocument/2006/relationships/hyperlink" Target="http://www.munzee.com" TargetMode="External"/><Relationship Id="rId261" Type="http://schemas.openxmlformats.org/officeDocument/2006/relationships/hyperlink" Target="https://www.munzee.com/m/fsafranek/4261/" TargetMode="External"/><Relationship Id="rId268" Type="http://schemas.openxmlformats.org/officeDocument/2006/relationships/hyperlink" Target="http://www.munzee.com" TargetMode="External"/><Relationship Id="rId267" Type="http://schemas.openxmlformats.org/officeDocument/2006/relationships/hyperlink" Target="https://www.munzee.com/m/Drazoria/661" TargetMode="External"/><Relationship Id="rId266" Type="http://schemas.openxmlformats.org/officeDocument/2006/relationships/hyperlink" Target="http://www.munzee.com" TargetMode="External"/><Relationship Id="rId265" Type="http://schemas.openxmlformats.org/officeDocument/2006/relationships/hyperlink" Target="https://www.munzee.com/m/IggiePiggie/1772/" TargetMode="External"/><Relationship Id="rId260" Type="http://schemas.openxmlformats.org/officeDocument/2006/relationships/hyperlink" Target="http://www.munzee.com" TargetMode="External"/><Relationship Id="rId259" Type="http://schemas.openxmlformats.org/officeDocument/2006/relationships/hyperlink" Target="https://www.munzee.com/m/PhatCapper/784/" TargetMode="External"/><Relationship Id="rId258" Type="http://schemas.openxmlformats.org/officeDocument/2006/relationships/hyperlink" Target="http://www.munzee.com" TargetMode="External"/><Relationship Id="rId2290" Type="http://schemas.openxmlformats.org/officeDocument/2006/relationships/hyperlink" Target="https://www.munzee.com/m/skyfox/14439/" TargetMode="External"/><Relationship Id="rId2291" Type="http://schemas.openxmlformats.org/officeDocument/2006/relationships/hyperlink" Target="http://www.munzee.com" TargetMode="External"/><Relationship Id="rId2292" Type="http://schemas.openxmlformats.org/officeDocument/2006/relationships/hyperlink" Target="https://www.munzee.com/m/cbf600/3726/admin/map/" TargetMode="External"/><Relationship Id="rId2293" Type="http://schemas.openxmlformats.org/officeDocument/2006/relationships/hyperlink" Target="http://www.munzee.com" TargetMode="External"/><Relationship Id="rId253" Type="http://schemas.openxmlformats.org/officeDocument/2006/relationships/hyperlink" Target="https://www.munzee.com/m/babyw/3041/" TargetMode="External"/><Relationship Id="rId2294" Type="http://schemas.openxmlformats.org/officeDocument/2006/relationships/hyperlink" Target="https://www.munzee.com/m/Fossillady/5359/" TargetMode="External"/><Relationship Id="rId252" Type="http://schemas.openxmlformats.org/officeDocument/2006/relationships/hyperlink" Target="http://www.munzee.com" TargetMode="External"/><Relationship Id="rId2295" Type="http://schemas.openxmlformats.org/officeDocument/2006/relationships/hyperlink" Target="http://www.munzee.com" TargetMode="External"/><Relationship Id="rId251" Type="http://schemas.openxmlformats.org/officeDocument/2006/relationships/hyperlink" Target="https://www.munzee.com/m/Anetzet/2676/" TargetMode="External"/><Relationship Id="rId2296" Type="http://schemas.openxmlformats.org/officeDocument/2006/relationships/hyperlink" Target="https://www.munzee.com/m/skyfox/14455/" TargetMode="External"/><Relationship Id="rId250" Type="http://schemas.openxmlformats.org/officeDocument/2006/relationships/hyperlink" Target="http://www.munzee.com" TargetMode="External"/><Relationship Id="rId2297" Type="http://schemas.openxmlformats.org/officeDocument/2006/relationships/hyperlink" Target="http://www.munzee.com" TargetMode="External"/><Relationship Id="rId257" Type="http://schemas.openxmlformats.org/officeDocument/2006/relationships/hyperlink" Target="https://www.munzee.com/m/OdinsFiRe/1521" TargetMode="External"/><Relationship Id="rId2298" Type="http://schemas.openxmlformats.org/officeDocument/2006/relationships/hyperlink" Target="https://www.munzee.com/m/skyfox/14456/" TargetMode="External"/><Relationship Id="rId256" Type="http://schemas.openxmlformats.org/officeDocument/2006/relationships/hyperlink" Target="http://www.munzee.com" TargetMode="External"/><Relationship Id="rId2299" Type="http://schemas.openxmlformats.org/officeDocument/2006/relationships/hyperlink" Target="http://www.munzee.com" TargetMode="External"/><Relationship Id="rId255" Type="http://schemas.openxmlformats.org/officeDocument/2006/relationships/hyperlink" Target="https://www.munzee.com/m/Aniara/6431/" TargetMode="External"/><Relationship Id="rId254" Type="http://schemas.openxmlformats.org/officeDocument/2006/relationships/hyperlink" Target="http://www.munzee.com" TargetMode="External"/><Relationship Id="rId293" Type="http://schemas.openxmlformats.org/officeDocument/2006/relationships/hyperlink" Target="https://www.munzee.com/m/xrayneex/1305/" TargetMode="External"/><Relationship Id="rId292" Type="http://schemas.openxmlformats.org/officeDocument/2006/relationships/hyperlink" Target="http://www.munzee.com" TargetMode="External"/><Relationship Id="rId291" Type="http://schemas.openxmlformats.org/officeDocument/2006/relationships/hyperlink" Target="https://www.munzee.com/m/123xilef/6730/" TargetMode="External"/><Relationship Id="rId290" Type="http://schemas.openxmlformats.org/officeDocument/2006/relationships/hyperlink" Target="http://www.munzee.com" TargetMode="External"/><Relationship Id="rId286" Type="http://schemas.openxmlformats.org/officeDocument/2006/relationships/hyperlink" Target="http://www.munzee.com" TargetMode="External"/><Relationship Id="rId285" Type="http://schemas.openxmlformats.org/officeDocument/2006/relationships/hyperlink" Target="https://www.munzee.com/m/Bungle/2734/" TargetMode="External"/><Relationship Id="rId284" Type="http://schemas.openxmlformats.org/officeDocument/2006/relationships/hyperlink" Target="http://www.munzee.com" TargetMode="External"/><Relationship Id="rId283" Type="http://schemas.openxmlformats.org/officeDocument/2006/relationships/hyperlink" Target="https://www.munzee.com/m/upapou/1007/" TargetMode="External"/><Relationship Id="rId289" Type="http://schemas.openxmlformats.org/officeDocument/2006/relationships/hyperlink" Target="https://www.munzee.com/m/TheFrog/4048/" TargetMode="External"/><Relationship Id="rId288" Type="http://schemas.openxmlformats.org/officeDocument/2006/relationships/hyperlink" Target="http://www.munzee.com" TargetMode="External"/><Relationship Id="rId287" Type="http://schemas.openxmlformats.org/officeDocument/2006/relationships/hyperlink" Target="https://www.munzee.com/m/belladivadee/2962/" TargetMode="External"/><Relationship Id="rId282" Type="http://schemas.openxmlformats.org/officeDocument/2006/relationships/hyperlink" Target="http://www.munzee.com" TargetMode="External"/><Relationship Id="rId281" Type="http://schemas.openxmlformats.org/officeDocument/2006/relationships/hyperlink" Target="https://www.munzee.com/m/Wangotango/1406/" TargetMode="External"/><Relationship Id="rId280" Type="http://schemas.openxmlformats.org/officeDocument/2006/relationships/hyperlink" Target="http://www.munzee.com" TargetMode="External"/><Relationship Id="rId275" Type="http://schemas.openxmlformats.org/officeDocument/2006/relationships/hyperlink" Target="https://www.munzee.com/m/GroteSufferd/308/admin/" TargetMode="External"/><Relationship Id="rId274" Type="http://schemas.openxmlformats.org/officeDocument/2006/relationships/hyperlink" Target="http://www.munzee.com" TargetMode="External"/><Relationship Id="rId273" Type="http://schemas.openxmlformats.org/officeDocument/2006/relationships/hyperlink" Target="https://www.munzee.com/m/Niks13/422" TargetMode="External"/><Relationship Id="rId272" Type="http://schemas.openxmlformats.org/officeDocument/2006/relationships/hyperlink" Target="http://www.munzee.com" TargetMode="External"/><Relationship Id="rId279" Type="http://schemas.openxmlformats.org/officeDocument/2006/relationships/hyperlink" Target="https://www.munzee.com/m/Bisquick2/4004" TargetMode="External"/><Relationship Id="rId278" Type="http://schemas.openxmlformats.org/officeDocument/2006/relationships/hyperlink" Target="http://www.munzee.com" TargetMode="External"/><Relationship Id="rId277" Type="http://schemas.openxmlformats.org/officeDocument/2006/relationships/hyperlink" Target="https://www.munzee.com/m/Questing4/7110" TargetMode="External"/><Relationship Id="rId276" Type="http://schemas.openxmlformats.org/officeDocument/2006/relationships/hyperlink" Target="http://www.munzee.com" TargetMode="External"/><Relationship Id="rId1851" Type="http://schemas.openxmlformats.org/officeDocument/2006/relationships/hyperlink" Target="http://www.munzee.com" TargetMode="External"/><Relationship Id="rId1852" Type="http://schemas.openxmlformats.org/officeDocument/2006/relationships/hyperlink" Target="https://www.munzee.com/m/ArtofEco/3294/admin/" TargetMode="External"/><Relationship Id="rId1853" Type="http://schemas.openxmlformats.org/officeDocument/2006/relationships/hyperlink" Target="http://www.munzee.com" TargetMode="External"/><Relationship Id="rId1854" Type="http://schemas.openxmlformats.org/officeDocument/2006/relationships/hyperlink" Target="https://www.munzee.com/m/BrotherWilliam/4477/admin/" TargetMode="External"/><Relationship Id="rId1855" Type="http://schemas.openxmlformats.org/officeDocument/2006/relationships/hyperlink" Target="http://www.munzee.com" TargetMode="External"/><Relationship Id="rId1856" Type="http://schemas.openxmlformats.org/officeDocument/2006/relationships/hyperlink" Target="https://www.munzee.com/m/Drazoria/1530/" TargetMode="External"/><Relationship Id="rId1857" Type="http://schemas.openxmlformats.org/officeDocument/2006/relationships/hyperlink" Target="http://www.munzee.com" TargetMode="External"/><Relationship Id="rId1858" Type="http://schemas.openxmlformats.org/officeDocument/2006/relationships/hyperlink" Target="https://www.munzee.com/m/Tinake1309/1539/" TargetMode="External"/><Relationship Id="rId1859" Type="http://schemas.openxmlformats.org/officeDocument/2006/relationships/hyperlink" Target="http://www.munzee.com" TargetMode="External"/><Relationship Id="rId1850" Type="http://schemas.openxmlformats.org/officeDocument/2006/relationships/hyperlink" Target="https://www.munzee.com/m/xrayneex/2139/" TargetMode="External"/><Relationship Id="rId1840" Type="http://schemas.openxmlformats.org/officeDocument/2006/relationships/hyperlink" Target="https://www.munzee.com/m/EmileP68/2783/" TargetMode="External"/><Relationship Id="rId1841" Type="http://schemas.openxmlformats.org/officeDocument/2006/relationships/hyperlink" Target="http://www.munzee.com" TargetMode="External"/><Relationship Id="rId1842" Type="http://schemas.openxmlformats.org/officeDocument/2006/relationships/hyperlink" Target="https://www.munzee.com/m/PawPatrolThomas/3130/" TargetMode="External"/><Relationship Id="rId1843" Type="http://schemas.openxmlformats.org/officeDocument/2006/relationships/hyperlink" Target="http://www.munzee.com" TargetMode="External"/><Relationship Id="rId1844" Type="http://schemas.openxmlformats.org/officeDocument/2006/relationships/hyperlink" Target="https://www.munzee.com/m/all0123/4644/" TargetMode="External"/><Relationship Id="rId1845" Type="http://schemas.openxmlformats.org/officeDocument/2006/relationships/hyperlink" Target="http://www.munzee.com" TargetMode="External"/><Relationship Id="rId1846" Type="http://schemas.openxmlformats.org/officeDocument/2006/relationships/hyperlink" Target="https://www.munzee.com/m/J1Huisman/12541/" TargetMode="External"/><Relationship Id="rId1847" Type="http://schemas.openxmlformats.org/officeDocument/2006/relationships/hyperlink" Target="http://www.munzee.com" TargetMode="External"/><Relationship Id="rId1848" Type="http://schemas.openxmlformats.org/officeDocument/2006/relationships/hyperlink" Target="https://www.munzee.com/m/Pinkeltje/1957/" TargetMode="External"/><Relationship Id="rId1849" Type="http://schemas.openxmlformats.org/officeDocument/2006/relationships/hyperlink" Target="http://www.munzee.com" TargetMode="External"/><Relationship Id="rId1873" Type="http://schemas.openxmlformats.org/officeDocument/2006/relationships/hyperlink" Target="http://www.munzee.com" TargetMode="External"/><Relationship Id="rId1874" Type="http://schemas.openxmlformats.org/officeDocument/2006/relationships/hyperlink" Target="https://www.munzee.com/m/res2100/833" TargetMode="External"/><Relationship Id="rId1875" Type="http://schemas.openxmlformats.org/officeDocument/2006/relationships/hyperlink" Target="http://www.munzee.com" TargetMode="External"/><Relationship Id="rId1876" Type="http://schemas.openxmlformats.org/officeDocument/2006/relationships/hyperlink" Target="https://www.munzee.com/m/lupo6/6969" TargetMode="External"/><Relationship Id="rId1877" Type="http://schemas.openxmlformats.org/officeDocument/2006/relationships/hyperlink" Target="http://www.munzee.com" TargetMode="External"/><Relationship Id="rId1878" Type="http://schemas.openxmlformats.org/officeDocument/2006/relationships/hyperlink" Target="https://www.munzee.com/m/Anetzet/3883/" TargetMode="External"/><Relationship Id="rId1879" Type="http://schemas.openxmlformats.org/officeDocument/2006/relationships/hyperlink" Target="http://www.munzee.com" TargetMode="External"/><Relationship Id="rId1870" Type="http://schemas.openxmlformats.org/officeDocument/2006/relationships/hyperlink" Target="https://www.munzee.com/m/TheFatCats/4809/" TargetMode="External"/><Relationship Id="rId1871" Type="http://schemas.openxmlformats.org/officeDocument/2006/relationships/hyperlink" Target="http://www.munzee.com" TargetMode="External"/><Relationship Id="rId1872" Type="http://schemas.openxmlformats.org/officeDocument/2006/relationships/hyperlink" Target="https://www.munzee.com/m/Jennbaby82/6437" TargetMode="External"/><Relationship Id="rId1862" Type="http://schemas.openxmlformats.org/officeDocument/2006/relationships/hyperlink" Target="https://www.munzee.com/m/Niks13/1309/" TargetMode="External"/><Relationship Id="rId1863" Type="http://schemas.openxmlformats.org/officeDocument/2006/relationships/hyperlink" Target="http://www.munzee.com" TargetMode="External"/><Relationship Id="rId1864" Type="http://schemas.openxmlformats.org/officeDocument/2006/relationships/hyperlink" Target="https://www.munzee.com/m/lison55/6319" TargetMode="External"/><Relationship Id="rId1865" Type="http://schemas.openxmlformats.org/officeDocument/2006/relationships/hyperlink" Target="http://www.munzee.com" TargetMode="External"/><Relationship Id="rId1866" Type="http://schemas.openxmlformats.org/officeDocument/2006/relationships/hyperlink" Target="https://www.munzee.com/m/fsafranek/5160/" TargetMode="External"/><Relationship Id="rId1867" Type="http://schemas.openxmlformats.org/officeDocument/2006/relationships/hyperlink" Target="http://www.munzee.com" TargetMode="External"/><Relationship Id="rId1868" Type="http://schemas.openxmlformats.org/officeDocument/2006/relationships/hyperlink" Target="https://www.munzee.com/m/barefootguru/3318/" TargetMode="External"/><Relationship Id="rId1869" Type="http://schemas.openxmlformats.org/officeDocument/2006/relationships/hyperlink" Target="http://www.munzee.com" TargetMode="External"/><Relationship Id="rId1860" Type="http://schemas.openxmlformats.org/officeDocument/2006/relationships/hyperlink" Target="https://www.munzee.com/m/Berg14/1314/" TargetMode="External"/><Relationship Id="rId1861" Type="http://schemas.openxmlformats.org/officeDocument/2006/relationships/hyperlink" Target="http://www.munzee.com" TargetMode="External"/><Relationship Id="rId1810" Type="http://schemas.openxmlformats.org/officeDocument/2006/relationships/hyperlink" Target="https://www.munzee.com/m/Aniara/17964/" TargetMode="External"/><Relationship Id="rId1811" Type="http://schemas.openxmlformats.org/officeDocument/2006/relationships/hyperlink" Target="http://www.munzee.com" TargetMode="External"/><Relationship Id="rId1812" Type="http://schemas.openxmlformats.org/officeDocument/2006/relationships/hyperlink" Target="https://www.munzee.com/m/Fossillady/5960" TargetMode="External"/><Relationship Id="rId1813" Type="http://schemas.openxmlformats.org/officeDocument/2006/relationships/hyperlink" Target="http://www.munzee.com" TargetMode="External"/><Relationship Id="rId1814" Type="http://schemas.openxmlformats.org/officeDocument/2006/relationships/hyperlink" Target="https://www.munzee.com/m/hems79/8107/" TargetMode="External"/><Relationship Id="rId1815" Type="http://schemas.openxmlformats.org/officeDocument/2006/relationships/hyperlink" Target="http://www.munzee.com" TargetMode="External"/><Relationship Id="rId1816" Type="http://schemas.openxmlformats.org/officeDocument/2006/relationships/hyperlink" Target="https://www.munzee.com/m/cbf600/4228/admin/" TargetMode="External"/><Relationship Id="rId1817" Type="http://schemas.openxmlformats.org/officeDocument/2006/relationships/hyperlink" Target="http://www.munzee.com" TargetMode="External"/><Relationship Id="rId1818" Type="http://schemas.openxmlformats.org/officeDocument/2006/relationships/hyperlink" Target="https://www.munzee.com/m/Anetzet/7654/" TargetMode="External"/><Relationship Id="rId1819" Type="http://schemas.openxmlformats.org/officeDocument/2006/relationships/hyperlink" Target="http://www.munzee.com" TargetMode="External"/><Relationship Id="rId1800" Type="http://schemas.openxmlformats.org/officeDocument/2006/relationships/hyperlink" Target="https://www.munzee.com/m/Oppresso1983/4634/" TargetMode="External"/><Relationship Id="rId1801" Type="http://schemas.openxmlformats.org/officeDocument/2006/relationships/hyperlink" Target="http://www.munzee.com" TargetMode="External"/><Relationship Id="rId1802" Type="http://schemas.openxmlformats.org/officeDocument/2006/relationships/hyperlink" Target="https://www.munzee.com/m/crscousins/4639/" TargetMode="External"/><Relationship Id="rId1803" Type="http://schemas.openxmlformats.org/officeDocument/2006/relationships/hyperlink" Target="http://www.munzee.com" TargetMode="External"/><Relationship Id="rId1804" Type="http://schemas.openxmlformats.org/officeDocument/2006/relationships/hyperlink" Target="https://www.munzee.com/m/Bungle/10438" TargetMode="External"/><Relationship Id="rId1805" Type="http://schemas.openxmlformats.org/officeDocument/2006/relationships/hyperlink" Target="http://www.munzee.com" TargetMode="External"/><Relationship Id="rId1806" Type="http://schemas.openxmlformats.org/officeDocument/2006/relationships/hyperlink" Target="https://www.munzee.com/m/fsafranek/6242/" TargetMode="External"/><Relationship Id="rId1807" Type="http://schemas.openxmlformats.org/officeDocument/2006/relationships/hyperlink" Target="http://www.munzee.com" TargetMode="External"/><Relationship Id="rId1808" Type="http://schemas.openxmlformats.org/officeDocument/2006/relationships/hyperlink" Target="https://www.munzee.com/m/rita85gto/5095/" TargetMode="External"/><Relationship Id="rId1809" Type="http://schemas.openxmlformats.org/officeDocument/2006/relationships/hyperlink" Target="http://www.munzee.com" TargetMode="External"/><Relationship Id="rId1830" Type="http://schemas.openxmlformats.org/officeDocument/2006/relationships/hyperlink" Target="https://www.munzee.com/m/123xilef/24444/" TargetMode="External"/><Relationship Id="rId1831" Type="http://schemas.openxmlformats.org/officeDocument/2006/relationships/hyperlink" Target="http://www.munzee.com" TargetMode="External"/><Relationship Id="rId1832" Type="http://schemas.openxmlformats.org/officeDocument/2006/relationships/hyperlink" Target="https://www.munzee.com/m/Whatsoverthere/8941/" TargetMode="External"/><Relationship Id="rId1833" Type="http://schemas.openxmlformats.org/officeDocument/2006/relationships/hyperlink" Target="http://www.munzee.com" TargetMode="External"/><Relationship Id="rId1834" Type="http://schemas.openxmlformats.org/officeDocument/2006/relationships/hyperlink" Target="https://www.munzee.com/m/mortonfox/22769/" TargetMode="External"/><Relationship Id="rId1835" Type="http://schemas.openxmlformats.org/officeDocument/2006/relationships/hyperlink" Target="http://www.munzee.com" TargetMode="External"/><Relationship Id="rId1836" Type="http://schemas.openxmlformats.org/officeDocument/2006/relationships/hyperlink" Target="https://www.munzee.com/m/Belladivadee/3548" TargetMode="External"/><Relationship Id="rId1837" Type="http://schemas.openxmlformats.org/officeDocument/2006/relationships/hyperlink" Target="http://www.munzee.com" TargetMode="External"/><Relationship Id="rId1838" Type="http://schemas.openxmlformats.org/officeDocument/2006/relationships/hyperlink" Target="https://www.munzee.com/m/sverlaan/5173/" TargetMode="External"/><Relationship Id="rId1839" Type="http://schemas.openxmlformats.org/officeDocument/2006/relationships/hyperlink" Target="http://www.munzee.com" TargetMode="External"/><Relationship Id="rId1820" Type="http://schemas.openxmlformats.org/officeDocument/2006/relationships/hyperlink" Target="https://www.munzee.com/m/CzPeet/6763/" TargetMode="External"/><Relationship Id="rId1821" Type="http://schemas.openxmlformats.org/officeDocument/2006/relationships/hyperlink" Target="http://www.munzee.com" TargetMode="External"/><Relationship Id="rId1822" Type="http://schemas.openxmlformats.org/officeDocument/2006/relationships/hyperlink" Target="https://www.munzee.com/m/CarlisleCachers/12535/" TargetMode="External"/><Relationship Id="rId1823" Type="http://schemas.openxmlformats.org/officeDocument/2006/relationships/hyperlink" Target="http://www.munzee.com" TargetMode="External"/><Relationship Id="rId1824" Type="http://schemas.openxmlformats.org/officeDocument/2006/relationships/hyperlink" Target="https://www.munzee.com/m/Bisquick2/7510/" TargetMode="External"/><Relationship Id="rId1825" Type="http://schemas.openxmlformats.org/officeDocument/2006/relationships/hyperlink" Target="http://www.munzee.com" TargetMode="External"/><Relationship Id="rId1826" Type="http://schemas.openxmlformats.org/officeDocument/2006/relationships/hyperlink" Target="https://www.munzee.com/m/wally62/5752/" TargetMode="External"/><Relationship Id="rId1827" Type="http://schemas.openxmlformats.org/officeDocument/2006/relationships/hyperlink" Target="http://www.munzee.com" TargetMode="External"/><Relationship Id="rId1828" Type="http://schemas.openxmlformats.org/officeDocument/2006/relationships/hyperlink" Target="https://www.munzee.com/m/TheFrog/5975/" TargetMode="External"/><Relationship Id="rId1829" Type="http://schemas.openxmlformats.org/officeDocument/2006/relationships/hyperlink" Target="http://www.munzee.com" TargetMode="External"/><Relationship Id="rId2302" Type="http://schemas.openxmlformats.org/officeDocument/2006/relationships/hyperlink" Target="https://www.munzee.com/m/lison55/19404/" TargetMode="External"/><Relationship Id="rId2303" Type="http://schemas.openxmlformats.org/officeDocument/2006/relationships/hyperlink" Target="http://www.munzee.com" TargetMode="External"/><Relationship Id="rId2304" Type="http://schemas.openxmlformats.org/officeDocument/2006/relationships/hyperlink" Target="https://www.munzee.com/m/TheFrog/5972/" TargetMode="External"/><Relationship Id="rId2305" Type="http://schemas.openxmlformats.org/officeDocument/2006/relationships/hyperlink" Target="http://www.munzee.com" TargetMode="External"/><Relationship Id="rId2306" Type="http://schemas.openxmlformats.org/officeDocument/2006/relationships/hyperlink" Target="https://www.munzee.com/m/123xilef/13728/" TargetMode="External"/><Relationship Id="rId2307" Type="http://schemas.openxmlformats.org/officeDocument/2006/relationships/hyperlink" Target="http://www.munzee.com" TargetMode="External"/><Relationship Id="rId2308" Type="http://schemas.openxmlformats.org/officeDocument/2006/relationships/hyperlink" Target="https://www.munzee.com/m/mortonfox/24564/" TargetMode="External"/><Relationship Id="rId2309" Type="http://schemas.openxmlformats.org/officeDocument/2006/relationships/hyperlink" Target="http://www.munzee.com" TargetMode="External"/><Relationship Id="rId2300" Type="http://schemas.openxmlformats.org/officeDocument/2006/relationships/hyperlink" Target="https://www.munzee.com/m/Bisquick2/7257/" TargetMode="External"/><Relationship Id="rId2301" Type="http://schemas.openxmlformats.org/officeDocument/2006/relationships/hyperlink" Target="http://www.munzee.com" TargetMode="External"/><Relationship Id="rId2324" Type="http://schemas.openxmlformats.org/officeDocument/2006/relationships/hyperlink" Target="https://www.munzee.com/m/ArtofEco/3685/" TargetMode="External"/><Relationship Id="rId2325" Type="http://schemas.openxmlformats.org/officeDocument/2006/relationships/hyperlink" Target="http://www.munzee.com" TargetMode="External"/><Relationship Id="rId2326" Type="http://schemas.openxmlformats.org/officeDocument/2006/relationships/hyperlink" Target="https://www.munzee.com/m/J1Huisman/14246/" TargetMode="External"/><Relationship Id="rId2327" Type="http://schemas.openxmlformats.org/officeDocument/2006/relationships/hyperlink" Target="http://www.munzee.com" TargetMode="External"/><Relationship Id="rId2328" Type="http://schemas.openxmlformats.org/officeDocument/2006/relationships/hyperlink" Target="https://www.munzee.com/m/fsafranek/5462/" TargetMode="External"/><Relationship Id="rId2329" Type="http://schemas.openxmlformats.org/officeDocument/2006/relationships/hyperlink" Target="http://www.munzee.com" TargetMode="External"/><Relationship Id="rId2320" Type="http://schemas.openxmlformats.org/officeDocument/2006/relationships/hyperlink" Target="https://www.munzee.com/m/EmileP68/4939/" TargetMode="External"/><Relationship Id="rId2321" Type="http://schemas.openxmlformats.org/officeDocument/2006/relationships/hyperlink" Target="http://www.munzee.com" TargetMode="External"/><Relationship Id="rId2322" Type="http://schemas.openxmlformats.org/officeDocument/2006/relationships/hyperlink" Target="https://www.munzee.com/m/BrotherWilliam/5401/" TargetMode="External"/><Relationship Id="rId2323" Type="http://schemas.openxmlformats.org/officeDocument/2006/relationships/hyperlink" Target="http://www.munzee.com" TargetMode="External"/><Relationship Id="rId2313" Type="http://schemas.openxmlformats.org/officeDocument/2006/relationships/hyperlink" Target="http://www.munzee.com" TargetMode="External"/><Relationship Id="rId2314" Type="http://schemas.openxmlformats.org/officeDocument/2006/relationships/hyperlink" Target="https://www.munzee.com/m/belladivadee/3209/" TargetMode="External"/><Relationship Id="rId2315" Type="http://schemas.openxmlformats.org/officeDocument/2006/relationships/hyperlink" Target="http://www.munzee.com" TargetMode="External"/><Relationship Id="rId2316" Type="http://schemas.openxmlformats.org/officeDocument/2006/relationships/hyperlink" Target="https://www.munzee.com/m/sverlaan/6204/" TargetMode="External"/><Relationship Id="rId2317" Type="http://schemas.openxmlformats.org/officeDocument/2006/relationships/hyperlink" Target="http://www.munzee.com" TargetMode="External"/><Relationship Id="rId2318" Type="http://schemas.openxmlformats.org/officeDocument/2006/relationships/hyperlink" Target="https://www.munzee.com/m/PawPatrolThomas/4175/" TargetMode="External"/><Relationship Id="rId2319" Type="http://schemas.openxmlformats.org/officeDocument/2006/relationships/hyperlink" Target="http://www.munzee.com" TargetMode="External"/><Relationship Id="rId2310" Type="http://schemas.openxmlformats.org/officeDocument/2006/relationships/hyperlink" Target="https://www.munzee.com/m/skyfox/14469/" TargetMode="External"/><Relationship Id="rId2311" Type="http://schemas.openxmlformats.org/officeDocument/2006/relationships/hyperlink" Target="http://www.munzee.com" TargetMode="External"/><Relationship Id="rId2312" Type="http://schemas.openxmlformats.org/officeDocument/2006/relationships/hyperlink" Target="https://www.munzee.com/m/barefootguru/3966/" TargetMode="External"/><Relationship Id="rId1895" Type="http://schemas.openxmlformats.org/officeDocument/2006/relationships/hyperlink" Target="http://www.munzee.com" TargetMode="External"/><Relationship Id="rId1896" Type="http://schemas.openxmlformats.org/officeDocument/2006/relationships/hyperlink" Target="https://www.munzee.com/m/CzPeet/6726/" TargetMode="External"/><Relationship Id="rId1897" Type="http://schemas.openxmlformats.org/officeDocument/2006/relationships/hyperlink" Target="http://www.munzee.com" TargetMode="External"/><Relationship Id="rId1898" Type="http://schemas.openxmlformats.org/officeDocument/2006/relationships/hyperlink" Target="https://www.munzee.com/m/Bungle/10439" TargetMode="External"/><Relationship Id="rId1899" Type="http://schemas.openxmlformats.org/officeDocument/2006/relationships/hyperlink" Target="http://www.munzee.com" TargetMode="External"/><Relationship Id="rId1890" Type="http://schemas.openxmlformats.org/officeDocument/2006/relationships/hyperlink" Target="https://www.munzee.com/m/cbf600/2791/admin/convert/" TargetMode="External"/><Relationship Id="rId1891" Type="http://schemas.openxmlformats.org/officeDocument/2006/relationships/hyperlink" Target="http://www.munzee.com" TargetMode="External"/><Relationship Id="rId1892" Type="http://schemas.openxmlformats.org/officeDocument/2006/relationships/hyperlink" Target="https://www.munzee.com/m/raunas/12872" TargetMode="External"/><Relationship Id="rId1893" Type="http://schemas.openxmlformats.org/officeDocument/2006/relationships/hyperlink" Target="http://www.munzee.com" TargetMode="External"/><Relationship Id="rId1894" Type="http://schemas.openxmlformats.org/officeDocument/2006/relationships/hyperlink" Target="https://www.munzee.com/m/TheFatCats/4850/" TargetMode="External"/><Relationship Id="rId1884" Type="http://schemas.openxmlformats.org/officeDocument/2006/relationships/hyperlink" Target="https://www.munzee.com/m/OdinsFiRe/1982/" TargetMode="External"/><Relationship Id="rId1885" Type="http://schemas.openxmlformats.org/officeDocument/2006/relationships/hyperlink" Target="http://www.munzee.com" TargetMode="External"/><Relationship Id="rId1886" Type="http://schemas.openxmlformats.org/officeDocument/2006/relationships/hyperlink" Target="https://www.munzee.com/m/crscousins/4107/" TargetMode="External"/><Relationship Id="rId1887" Type="http://schemas.openxmlformats.org/officeDocument/2006/relationships/hyperlink" Target="http://www.munzee.com" TargetMode="External"/><Relationship Id="rId1888" Type="http://schemas.openxmlformats.org/officeDocument/2006/relationships/hyperlink" Target="https://www.munzee.com/m/TheFatCats/4812/" TargetMode="External"/><Relationship Id="rId1889" Type="http://schemas.openxmlformats.org/officeDocument/2006/relationships/hyperlink" Target="http://www.munzee.com" TargetMode="External"/><Relationship Id="rId1880" Type="http://schemas.openxmlformats.org/officeDocument/2006/relationships/hyperlink" Target="https://www.munzee.com/m/GroteSufferd/545/admin/" TargetMode="External"/><Relationship Id="rId1881" Type="http://schemas.openxmlformats.org/officeDocument/2006/relationships/hyperlink" Target="http://www.munzee.com" TargetMode="External"/><Relationship Id="rId1882" Type="http://schemas.openxmlformats.org/officeDocument/2006/relationships/hyperlink" Target="https://www.munzee.com/m/Ellesche/794" TargetMode="External"/><Relationship Id="rId1883" Type="http://schemas.openxmlformats.org/officeDocument/2006/relationships/hyperlink" Target="http://www.munzee.com" TargetMode="External"/><Relationship Id="rId1059" Type="http://schemas.openxmlformats.org/officeDocument/2006/relationships/hyperlink" Target="http://www.munzee.com" TargetMode="External"/><Relationship Id="rId228" Type="http://schemas.openxmlformats.org/officeDocument/2006/relationships/hyperlink" Target="http://www.munzee.com" TargetMode="External"/><Relationship Id="rId227" Type="http://schemas.openxmlformats.org/officeDocument/2006/relationships/hyperlink" Target="https://www.munzee.com/m/EmileP68/2902/" TargetMode="External"/><Relationship Id="rId226" Type="http://schemas.openxmlformats.org/officeDocument/2006/relationships/hyperlink" Target="http://www.munzee.com" TargetMode="External"/><Relationship Id="rId225" Type="http://schemas.openxmlformats.org/officeDocument/2006/relationships/hyperlink" Target="https://www.munzee.com/m/sverlaan/4129/" TargetMode="External"/><Relationship Id="rId2380" Type="http://schemas.openxmlformats.org/officeDocument/2006/relationships/hyperlink" Target="https://www.munzee.com/m/EmileP68/5152/" TargetMode="External"/><Relationship Id="rId229" Type="http://schemas.openxmlformats.org/officeDocument/2006/relationships/hyperlink" Target="https://www.munzee.com/m/5Star/5636/" TargetMode="External"/><Relationship Id="rId1050" Type="http://schemas.openxmlformats.org/officeDocument/2006/relationships/hyperlink" Target="https://www.munzee.com/m/Tinake1309/754/" TargetMode="External"/><Relationship Id="rId2381" Type="http://schemas.openxmlformats.org/officeDocument/2006/relationships/hyperlink" Target="http://www.munzee.com" TargetMode="External"/><Relationship Id="rId220" Type="http://schemas.openxmlformats.org/officeDocument/2006/relationships/hyperlink" Target="http://www.munzee.com" TargetMode="External"/><Relationship Id="rId1051" Type="http://schemas.openxmlformats.org/officeDocument/2006/relationships/hyperlink" Target="http://www.munzee.com" TargetMode="External"/><Relationship Id="rId2382" Type="http://schemas.openxmlformats.org/officeDocument/2006/relationships/hyperlink" Target="https://www.munzee.com/m/PawPatrolThomas/4306/" TargetMode="External"/><Relationship Id="rId1052" Type="http://schemas.openxmlformats.org/officeDocument/2006/relationships/hyperlink" Target="https://www.munzee.com/m/Niks13/581" TargetMode="External"/><Relationship Id="rId2383" Type="http://schemas.openxmlformats.org/officeDocument/2006/relationships/hyperlink" Target="http://www.munzee.com" TargetMode="External"/><Relationship Id="rId1053" Type="http://schemas.openxmlformats.org/officeDocument/2006/relationships/hyperlink" Target="http://www.munzee.com" TargetMode="External"/><Relationship Id="rId2384" Type="http://schemas.openxmlformats.org/officeDocument/2006/relationships/hyperlink" Target="https://www.munzee.com/m/BrotherWilliam/5243/admin/" TargetMode="External"/><Relationship Id="rId1054" Type="http://schemas.openxmlformats.org/officeDocument/2006/relationships/hyperlink" Target="https://www.munzee.com/m/Berg14/594/" TargetMode="External"/><Relationship Id="rId2385" Type="http://schemas.openxmlformats.org/officeDocument/2006/relationships/hyperlink" Target="http://www.munzee.com" TargetMode="External"/><Relationship Id="rId224" Type="http://schemas.openxmlformats.org/officeDocument/2006/relationships/hyperlink" Target="http://www.munzee.com" TargetMode="External"/><Relationship Id="rId1055" Type="http://schemas.openxmlformats.org/officeDocument/2006/relationships/hyperlink" Target="http://www.munzee.com" TargetMode="External"/><Relationship Id="rId2386" Type="http://schemas.openxmlformats.org/officeDocument/2006/relationships/hyperlink" Target="https://www.munzee.com/m/ArtofEco/3544/admin/" TargetMode="External"/><Relationship Id="rId223" Type="http://schemas.openxmlformats.org/officeDocument/2006/relationships/hyperlink" Target="https://www.munzee.com/m/Trappertje/4646/" TargetMode="External"/><Relationship Id="rId1056" Type="http://schemas.openxmlformats.org/officeDocument/2006/relationships/hyperlink" Target="https://www.munzee.com/m/xrayneex/1398/" TargetMode="External"/><Relationship Id="rId2387" Type="http://schemas.openxmlformats.org/officeDocument/2006/relationships/hyperlink" Target="http://www.munzee.com" TargetMode="External"/><Relationship Id="rId222" Type="http://schemas.openxmlformats.org/officeDocument/2006/relationships/hyperlink" Target="http://www.munzee.com" TargetMode="External"/><Relationship Id="rId1057" Type="http://schemas.openxmlformats.org/officeDocument/2006/relationships/hyperlink" Target="http://www.munzee.com" TargetMode="External"/><Relationship Id="rId2388" Type="http://schemas.openxmlformats.org/officeDocument/2006/relationships/hyperlink" Target="https://www.munzee.com/m/J1Huisman/13765/" TargetMode="External"/><Relationship Id="rId221" Type="http://schemas.openxmlformats.org/officeDocument/2006/relationships/hyperlink" Target="https://www.munzee.com/m/Bambinacattiva/689/" TargetMode="External"/><Relationship Id="rId1058" Type="http://schemas.openxmlformats.org/officeDocument/2006/relationships/hyperlink" Target="https://www.munzee.com/m/fsafranek/4409/" TargetMode="External"/><Relationship Id="rId2389" Type="http://schemas.openxmlformats.org/officeDocument/2006/relationships/hyperlink" Target="http://www.munzee.com" TargetMode="External"/><Relationship Id="rId1048" Type="http://schemas.openxmlformats.org/officeDocument/2006/relationships/hyperlink" Target="https://www.munzee.com/m/Drazoria/761/" TargetMode="External"/><Relationship Id="rId2379" Type="http://schemas.openxmlformats.org/officeDocument/2006/relationships/hyperlink" Target="http://www.munzee.com" TargetMode="External"/><Relationship Id="rId1049" Type="http://schemas.openxmlformats.org/officeDocument/2006/relationships/hyperlink" Target="http://www.munzee.com" TargetMode="External"/><Relationship Id="rId217" Type="http://schemas.openxmlformats.org/officeDocument/2006/relationships/hyperlink" Target="https://www.munzee.com/m/Lanyasummer/4105/" TargetMode="External"/><Relationship Id="rId216" Type="http://schemas.openxmlformats.org/officeDocument/2006/relationships/hyperlink" Target="http://www.munzee.com" TargetMode="External"/><Relationship Id="rId215" Type="http://schemas.openxmlformats.org/officeDocument/2006/relationships/hyperlink" Target="https://www.munzee.com/m/FromTheTardis/1328/" TargetMode="External"/><Relationship Id="rId214" Type="http://schemas.openxmlformats.org/officeDocument/2006/relationships/hyperlink" Target="http://www.munzee.com" TargetMode="External"/><Relationship Id="rId219" Type="http://schemas.openxmlformats.org/officeDocument/2006/relationships/hyperlink" Target="https://www.munzee.com/m/J1Huisman/11169/" TargetMode="External"/><Relationship Id="rId218" Type="http://schemas.openxmlformats.org/officeDocument/2006/relationships/hyperlink" Target="http://www.munzee.com" TargetMode="External"/><Relationship Id="rId2370" Type="http://schemas.openxmlformats.org/officeDocument/2006/relationships/hyperlink" Target="https://www.munzee.com/m/123xilef/13721/" TargetMode="External"/><Relationship Id="rId1040" Type="http://schemas.openxmlformats.org/officeDocument/2006/relationships/hyperlink" Target="http://ww.munzee.com/m/belladivadee/3039" TargetMode="External"/><Relationship Id="rId2371" Type="http://schemas.openxmlformats.org/officeDocument/2006/relationships/hyperlink" Target="http://www.munzee.com" TargetMode="External"/><Relationship Id="rId1041" Type="http://schemas.openxmlformats.org/officeDocument/2006/relationships/hyperlink" Target="http://www.munzee.com" TargetMode="External"/><Relationship Id="rId2372" Type="http://schemas.openxmlformats.org/officeDocument/2006/relationships/hyperlink" Target="https://www.munzee.com/m/mortonfox/24559/" TargetMode="External"/><Relationship Id="rId1042" Type="http://schemas.openxmlformats.org/officeDocument/2006/relationships/hyperlink" Target="https://www.munzee.com/m/sverlaan/4394/" TargetMode="External"/><Relationship Id="rId2373" Type="http://schemas.openxmlformats.org/officeDocument/2006/relationships/hyperlink" Target="http://www.munzee.com" TargetMode="External"/><Relationship Id="rId1043" Type="http://schemas.openxmlformats.org/officeDocument/2006/relationships/hyperlink" Target="http://www.munzee.com" TargetMode="External"/><Relationship Id="rId2374" Type="http://schemas.openxmlformats.org/officeDocument/2006/relationships/hyperlink" Target="https://www.munzee.com/m/barefootguru/3697/" TargetMode="External"/><Relationship Id="rId213" Type="http://schemas.openxmlformats.org/officeDocument/2006/relationships/hyperlink" Target="https://www.munzee.com/m/lison55/5153" TargetMode="External"/><Relationship Id="rId1044" Type="http://schemas.openxmlformats.org/officeDocument/2006/relationships/hyperlink" Target="https://www.munzee.com/m/PawPatrolThomas/2451/" TargetMode="External"/><Relationship Id="rId2375" Type="http://schemas.openxmlformats.org/officeDocument/2006/relationships/hyperlink" Target="http://www.munzee.com" TargetMode="External"/><Relationship Id="rId212" Type="http://schemas.openxmlformats.org/officeDocument/2006/relationships/hyperlink" Target="http://www.munzee.com" TargetMode="External"/><Relationship Id="rId1045" Type="http://schemas.openxmlformats.org/officeDocument/2006/relationships/hyperlink" Target="http://www.munzee.com" TargetMode="External"/><Relationship Id="rId2376" Type="http://schemas.openxmlformats.org/officeDocument/2006/relationships/hyperlink" Target="https://www.munzee.com/m/belladivadee/3257/" TargetMode="External"/><Relationship Id="rId211" Type="http://schemas.openxmlformats.org/officeDocument/2006/relationships/hyperlink" Target="https://www.munzee.com/m/Pinkeltje/1096/" TargetMode="External"/><Relationship Id="rId1046" Type="http://schemas.openxmlformats.org/officeDocument/2006/relationships/hyperlink" Target="https://www.munzee.com/m/EmileP68/3155/" TargetMode="External"/><Relationship Id="rId2377" Type="http://schemas.openxmlformats.org/officeDocument/2006/relationships/hyperlink" Target="http://www.munzee.com" TargetMode="External"/><Relationship Id="rId210" Type="http://schemas.openxmlformats.org/officeDocument/2006/relationships/hyperlink" Target="http://www.munzee.com" TargetMode="External"/><Relationship Id="rId1047" Type="http://schemas.openxmlformats.org/officeDocument/2006/relationships/hyperlink" Target="http://www.munzee.com" TargetMode="External"/><Relationship Id="rId2378" Type="http://schemas.openxmlformats.org/officeDocument/2006/relationships/hyperlink" Target="https://www.munzee.com/m/sverlaan/6285/" TargetMode="External"/><Relationship Id="rId249" Type="http://schemas.openxmlformats.org/officeDocument/2006/relationships/hyperlink" Target="https://www.munzee.com/m/JackSparrow/19431" TargetMode="External"/><Relationship Id="rId248" Type="http://schemas.openxmlformats.org/officeDocument/2006/relationships/hyperlink" Target="http://www.munzee.com" TargetMode="External"/><Relationship Id="rId247" Type="http://schemas.openxmlformats.org/officeDocument/2006/relationships/hyperlink" Target="https://www.munzee.com/m/ArtofEco/2907/admin/" TargetMode="External"/><Relationship Id="rId1070" Type="http://schemas.openxmlformats.org/officeDocument/2006/relationships/hyperlink" Target="https://www.munzee.com/m/OdinsFiRe/1639/" TargetMode="External"/><Relationship Id="rId1071" Type="http://schemas.openxmlformats.org/officeDocument/2006/relationships/hyperlink" Target="http://www.munzee.com" TargetMode="External"/><Relationship Id="rId1072" Type="http://schemas.openxmlformats.org/officeDocument/2006/relationships/hyperlink" Target="https://www.munzee.com/m/Pinkeltje/1287/" TargetMode="External"/><Relationship Id="rId242" Type="http://schemas.openxmlformats.org/officeDocument/2006/relationships/hyperlink" Target="http://www.munzee.com" TargetMode="External"/><Relationship Id="rId1073" Type="http://schemas.openxmlformats.org/officeDocument/2006/relationships/hyperlink" Target="http://www.munzee.com" TargetMode="External"/><Relationship Id="rId241" Type="http://schemas.openxmlformats.org/officeDocument/2006/relationships/hyperlink" Target="https://www.munzee.com/m/xrayneex/1307" TargetMode="External"/><Relationship Id="rId1074" Type="http://schemas.openxmlformats.org/officeDocument/2006/relationships/hyperlink" Target="https://www.munzee.com/m/barefootguru/3144/" TargetMode="External"/><Relationship Id="rId240" Type="http://schemas.openxmlformats.org/officeDocument/2006/relationships/hyperlink" Target="http://www.munzee.com" TargetMode="External"/><Relationship Id="rId1075" Type="http://schemas.openxmlformats.org/officeDocument/2006/relationships/hyperlink" Target="http://www.munzee.com" TargetMode="External"/><Relationship Id="rId1076" Type="http://schemas.openxmlformats.org/officeDocument/2006/relationships/hyperlink" Target="https://www.munzee.com/m/Wangotango/1273" TargetMode="External"/><Relationship Id="rId246" Type="http://schemas.openxmlformats.org/officeDocument/2006/relationships/hyperlink" Target="http://www.munzee.com" TargetMode="External"/><Relationship Id="rId1077" Type="http://schemas.openxmlformats.org/officeDocument/2006/relationships/hyperlink" Target="http://www.munzee.com" TargetMode="External"/><Relationship Id="rId245" Type="http://schemas.openxmlformats.org/officeDocument/2006/relationships/hyperlink" Target="https://www.munzee.com/m/hoekraam/6983" TargetMode="External"/><Relationship Id="rId1078" Type="http://schemas.openxmlformats.org/officeDocument/2006/relationships/hyperlink" Target="https://www.munzee.com/m/IggiePiggie/1878/" TargetMode="External"/><Relationship Id="rId244" Type="http://schemas.openxmlformats.org/officeDocument/2006/relationships/hyperlink" Target="http://www.munzee.com" TargetMode="External"/><Relationship Id="rId1079" Type="http://schemas.openxmlformats.org/officeDocument/2006/relationships/hyperlink" Target="http://www.munzee.com" TargetMode="External"/><Relationship Id="rId243" Type="http://schemas.openxmlformats.org/officeDocument/2006/relationships/hyperlink" Target="https://www.munzee.com/m/BrotherWilliam/3862/" TargetMode="External"/><Relationship Id="rId239" Type="http://schemas.openxmlformats.org/officeDocument/2006/relationships/hyperlink" Target="https://www.munzee.com/m/hoekraam/6940" TargetMode="External"/><Relationship Id="rId238" Type="http://schemas.openxmlformats.org/officeDocument/2006/relationships/hyperlink" Target="http://www.munzee.com" TargetMode="External"/><Relationship Id="rId237" Type="http://schemas.openxmlformats.org/officeDocument/2006/relationships/hyperlink" Target="https://www.munzee.com/m/WiseOldWizard/3923/" TargetMode="External"/><Relationship Id="rId236" Type="http://schemas.openxmlformats.org/officeDocument/2006/relationships/hyperlink" Target="http://www.munzee.com" TargetMode="External"/><Relationship Id="rId2390" Type="http://schemas.openxmlformats.org/officeDocument/2006/relationships/hyperlink" Target="https://www.munzee.com/m/lison55/8395/" TargetMode="External"/><Relationship Id="rId1060" Type="http://schemas.openxmlformats.org/officeDocument/2006/relationships/hyperlink" Target="https://www.munzee.com/m/5Star/5839/" TargetMode="External"/><Relationship Id="rId2391" Type="http://schemas.openxmlformats.org/officeDocument/2006/relationships/hyperlink" Target="http://www.munzee.com" TargetMode="External"/><Relationship Id="rId1061" Type="http://schemas.openxmlformats.org/officeDocument/2006/relationships/hyperlink" Target="http://www.munzee.com" TargetMode="External"/><Relationship Id="rId2392" Type="http://schemas.openxmlformats.org/officeDocument/2006/relationships/hyperlink" Target="https://www.munzee.com/m/fsafranek/5467/" TargetMode="External"/><Relationship Id="rId231" Type="http://schemas.openxmlformats.org/officeDocument/2006/relationships/hyperlink" Target="https://www.munzee.com/m/PawPatrolThomas/2206/" TargetMode="External"/><Relationship Id="rId1062" Type="http://schemas.openxmlformats.org/officeDocument/2006/relationships/hyperlink" Target="https://www.munzee.com/m/TheFatCats/3465/" TargetMode="External"/><Relationship Id="rId2393" Type="http://schemas.openxmlformats.org/officeDocument/2006/relationships/hyperlink" Target="http://www.munzee.com" TargetMode="External"/><Relationship Id="rId230" Type="http://schemas.openxmlformats.org/officeDocument/2006/relationships/hyperlink" Target="http://www.munzee.com" TargetMode="External"/><Relationship Id="rId1063" Type="http://schemas.openxmlformats.org/officeDocument/2006/relationships/hyperlink" Target="http://www.munzee.com" TargetMode="External"/><Relationship Id="rId2394" Type="http://schemas.openxmlformats.org/officeDocument/2006/relationships/hyperlink" Target="https://www.munzee.com/m/barefootguru/3384/" TargetMode="External"/><Relationship Id="rId1064" Type="http://schemas.openxmlformats.org/officeDocument/2006/relationships/hyperlink" Target="https://www.munzee.com/m/OdinsFiRe/1637/" TargetMode="External"/><Relationship Id="rId2395" Type="http://schemas.openxmlformats.org/officeDocument/2006/relationships/hyperlink" Target="http://www.munzee.com" TargetMode="External"/><Relationship Id="rId1065" Type="http://schemas.openxmlformats.org/officeDocument/2006/relationships/hyperlink" Target="http://www.munzee.com" TargetMode="External"/><Relationship Id="rId2396" Type="http://schemas.openxmlformats.org/officeDocument/2006/relationships/hyperlink" Target="https://www.munzee.com/m/Ellesche/828" TargetMode="External"/><Relationship Id="rId235" Type="http://schemas.openxmlformats.org/officeDocument/2006/relationships/hyperlink" Target="https://www.munzee.com/m/barefootguru/3092/" TargetMode="External"/><Relationship Id="rId1066" Type="http://schemas.openxmlformats.org/officeDocument/2006/relationships/hyperlink" Target="https://www.munzee.com/m/J1Huisman/11416/" TargetMode="External"/><Relationship Id="rId2397" Type="http://schemas.openxmlformats.org/officeDocument/2006/relationships/hyperlink" Target="http://www.munzee.com" TargetMode="External"/><Relationship Id="rId234" Type="http://schemas.openxmlformats.org/officeDocument/2006/relationships/hyperlink" Target="http://www.munzee.com" TargetMode="External"/><Relationship Id="rId1067" Type="http://schemas.openxmlformats.org/officeDocument/2006/relationships/hyperlink" Target="http://www.munzee.com" TargetMode="External"/><Relationship Id="rId2398" Type="http://schemas.openxmlformats.org/officeDocument/2006/relationships/hyperlink" Target="https://www.munzee.com/m/res2100/873/" TargetMode="External"/><Relationship Id="rId233" Type="http://schemas.openxmlformats.org/officeDocument/2006/relationships/hyperlink" Target="https://www.munzee.com/m/benotje/1334/" TargetMode="External"/><Relationship Id="rId1068" Type="http://schemas.openxmlformats.org/officeDocument/2006/relationships/hyperlink" Target="https://www.munzee.com/m/TheFatCats/3484/" TargetMode="External"/><Relationship Id="rId2399" Type="http://schemas.openxmlformats.org/officeDocument/2006/relationships/hyperlink" Target="http://www.munzee.com" TargetMode="External"/><Relationship Id="rId232" Type="http://schemas.openxmlformats.org/officeDocument/2006/relationships/hyperlink" Target="http://www.munzee.com" TargetMode="External"/><Relationship Id="rId1069" Type="http://schemas.openxmlformats.org/officeDocument/2006/relationships/hyperlink" Target="http://www.munzee.com" TargetMode="External"/><Relationship Id="rId1015" Type="http://schemas.openxmlformats.org/officeDocument/2006/relationships/hyperlink" Target="http://www.munzee.com" TargetMode="External"/><Relationship Id="rId2346" Type="http://schemas.openxmlformats.org/officeDocument/2006/relationships/hyperlink" Target="https://www.munzee.com/m/Tinake1309/1663/" TargetMode="External"/><Relationship Id="rId1016" Type="http://schemas.openxmlformats.org/officeDocument/2006/relationships/hyperlink" Target="https://www.munzee.com/m/TheFrog/4237/" TargetMode="External"/><Relationship Id="rId2347" Type="http://schemas.openxmlformats.org/officeDocument/2006/relationships/hyperlink" Target="http://www.munzee.com" TargetMode="External"/><Relationship Id="rId1017" Type="http://schemas.openxmlformats.org/officeDocument/2006/relationships/hyperlink" Target="http://www.munzee.com" TargetMode="External"/><Relationship Id="rId2348" Type="http://schemas.openxmlformats.org/officeDocument/2006/relationships/hyperlink" Target="https://www.munzee.com/m/Berg14/1510/" TargetMode="External"/><Relationship Id="rId1018" Type="http://schemas.openxmlformats.org/officeDocument/2006/relationships/hyperlink" Target="https://www.munzee.com/m/123xilef/7166/" TargetMode="External"/><Relationship Id="rId2349" Type="http://schemas.openxmlformats.org/officeDocument/2006/relationships/hyperlink" Target="http://www.munzee.com" TargetMode="External"/><Relationship Id="rId1019" Type="http://schemas.openxmlformats.org/officeDocument/2006/relationships/hyperlink" Target="http://www.munzee.com" TargetMode="External"/><Relationship Id="rId2340" Type="http://schemas.openxmlformats.org/officeDocument/2006/relationships/hyperlink" Target="https://www.munzee.com/m/res2100/879/" TargetMode="External"/><Relationship Id="rId1010" Type="http://schemas.openxmlformats.org/officeDocument/2006/relationships/hyperlink" Target="https://www.munzee.com/m/szakica/2030/" TargetMode="External"/><Relationship Id="rId2341" Type="http://schemas.openxmlformats.org/officeDocument/2006/relationships/hyperlink" Target="http://www.munzee.com" TargetMode="External"/><Relationship Id="rId1011" Type="http://schemas.openxmlformats.org/officeDocument/2006/relationships/hyperlink" Target="http://www.munzee.com" TargetMode="External"/><Relationship Id="rId2342" Type="http://schemas.openxmlformats.org/officeDocument/2006/relationships/hyperlink" Target="https://www.munzee.com/m/Ellesche/834" TargetMode="External"/><Relationship Id="rId1012" Type="http://schemas.openxmlformats.org/officeDocument/2006/relationships/hyperlink" Target="https://www.munzee.com/m/Wangotango/1266" TargetMode="External"/><Relationship Id="rId2343" Type="http://schemas.openxmlformats.org/officeDocument/2006/relationships/hyperlink" Target="http://www.munzee.com" TargetMode="External"/><Relationship Id="rId1013" Type="http://schemas.openxmlformats.org/officeDocument/2006/relationships/hyperlink" Target="http://www.munzee.com" TargetMode="External"/><Relationship Id="rId2344" Type="http://schemas.openxmlformats.org/officeDocument/2006/relationships/hyperlink" Target="https://www.munzee.com/m/Drazoria/1602/" TargetMode="External"/><Relationship Id="rId1014" Type="http://schemas.openxmlformats.org/officeDocument/2006/relationships/hyperlink" Target="https://www.munzee.com/m/mihul/4344/" TargetMode="External"/><Relationship Id="rId2345" Type="http://schemas.openxmlformats.org/officeDocument/2006/relationships/hyperlink" Target="http://www.munzee.com" TargetMode="External"/><Relationship Id="rId1004" Type="http://schemas.openxmlformats.org/officeDocument/2006/relationships/hyperlink" Target="https://www.munzee.com/m/BartWullems/5609" TargetMode="External"/><Relationship Id="rId2335" Type="http://schemas.openxmlformats.org/officeDocument/2006/relationships/hyperlink" Target="http://www.munzee.com" TargetMode="External"/><Relationship Id="rId1005" Type="http://schemas.openxmlformats.org/officeDocument/2006/relationships/hyperlink" Target="http://www.munzee.com" TargetMode="External"/><Relationship Id="rId2336" Type="http://schemas.openxmlformats.org/officeDocument/2006/relationships/hyperlink" Target="https://www.munzee.com/m/crscousins/7366/" TargetMode="External"/><Relationship Id="rId1006" Type="http://schemas.openxmlformats.org/officeDocument/2006/relationships/hyperlink" Target="https://www.munzee.com/m/Fossillady/3540" TargetMode="External"/><Relationship Id="rId2337" Type="http://schemas.openxmlformats.org/officeDocument/2006/relationships/hyperlink" Target="http://www.munzee.com" TargetMode="External"/><Relationship Id="rId1007" Type="http://schemas.openxmlformats.org/officeDocument/2006/relationships/hyperlink" Target="http://www.munzee.com" TargetMode="External"/><Relationship Id="rId2338" Type="http://schemas.openxmlformats.org/officeDocument/2006/relationships/hyperlink" Target="https://www.munzee.com/m/raunas/12415" TargetMode="External"/><Relationship Id="rId1008" Type="http://schemas.openxmlformats.org/officeDocument/2006/relationships/hyperlink" Target="https://www.munzee.com/m/WiseOldWizard/3984/" TargetMode="External"/><Relationship Id="rId2339" Type="http://schemas.openxmlformats.org/officeDocument/2006/relationships/hyperlink" Target="http://www.munzee.com" TargetMode="External"/><Relationship Id="rId1009" Type="http://schemas.openxmlformats.org/officeDocument/2006/relationships/hyperlink" Target="http://www.munzee.com" TargetMode="External"/><Relationship Id="rId2330" Type="http://schemas.openxmlformats.org/officeDocument/2006/relationships/hyperlink" Target="https://www.munzee.com/m/rita85gto/3804/" TargetMode="External"/><Relationship Id="rId1000" Type="http://schemas.openxmlformats.org/officeDocument/2006/relationships/hyperlink" Target="https://www.munzee.com/m/MurphyLM/92/" TargetMode="External"/><Relationship Id="rId2331" Type="http://schemas.openxmlformats.org/officeDocument/2006/relationships/hyperlink" Target="http://www.munzee.com" TargetMode="External"/><Relationship Id="rId1001" Type="http://schemas.openxmlformats.org/officeDocument/2006/relationships/hyperlink" Target="http://www.munzee.com" TargetMode="External"/><Relationship Id="rId2332" Type="http://schemas.openxmlformats.org/officeDocument/2006/relationships/hyperlink" Target="https://www.munzee.com/m/xrayneex/2571/" TargetMode="External"/><Relationship Id="rId1002" Type="http://schemas.openxmlformats.org/officeDocument/2006/relationships/hyperlink" Target="https://www.munzee.com/m/Trappertje/5069/" TargetMode="External"/><Relationship Id="rId2333" Type="http://schemas.openxmlformats.org/officeDocument/2006/relationships/hyperlink" Target="http://www.munzee.com" TargetMode="External"/><Relationship Id="rId1003" Type="http://schemas.openxmlformats.org/officeDocument/2006/relationships/hyperlink" Target="http://www.munzee.com" TargetMode="External"/><Relationship Id="rId2334" Type="http://schemas.openxmlformats.org/officeDocument/2006/relationships/hyperlink" Target="https://www.munzee.com/m/lupo6/6823" TargetMode="External"/><Relationship Id="rId1037" Type="http://schemas.openxmlformats.org/officeDocument/2006/relationships/hyperlink" Target="http://www.munzee.com" TargetMode="External"/><Relationship Id="rId2368" Type="http://schemas.openxmlformats.org/officeDocument/2006/relationships/hyperlink" Target="https://www.munzee.com/m/TheFrog/5785/" TargetMode="External"/><Relationship Id="rId1038" Type="http://schemas.openxmlformats.org/officeDocument/2006/relationships/hyperlink" Target="https://www.munzee.com/m/TheFatCats/3836/" TargetMode="External"/><Relationship Id="rId2369" Type="http://schemas.openxmlformats.org/officeDocument/2006/relationships/hyperlink" Target="http://www.munzee.com" TargetMode="External"/><Relationship Id="rId1039" Type="http://schemas.openxmlformats.org/officeDocument/2006/relationships/hyperlink" Target="http://www.munzee.com" TargetMode="External"/><Relationship Id="rId206" Type="http://schemas.openxmlformats.org/officeDocument/2006/relationships/hyperlink" Target="http://www.munzee.com" TargetMode="External"/><Relationship Id="rId205" Type="http://schemas.openxmlformats.org/officeDocument/2006/relationships/hyperlink" Target="https://www.munzee.com/m/JackSparrow/19357" TargetMode="External"/><Relationship Id="rId204" Type="http://schemas.openxmlformats.org/officeDocument/2006/relationships/hyperlink" Target="http://www.munzee.com" TargetMode="External"/><Relationship Id="rId203" Type="http://schemas.openxmlformats.org/officeDocument/2006/relationships/hyperlink" Target="https://www.munzee.com/m/Wangotango/1184/" TargetMode="External"/><Relationship Id="rId209" Type="http://schemas.openxmlformats.org/officeDocument/2006/relationships/hyperlink" Target="https://www.munzee.com/m/DHitz/3710/" TargetMode="External"/><Relationship Id="rId208" Type="http://schemas.openxmlformats.org/officeDocument/2006/relationships/hyperlink" Target="http://www.munzee.com" TargetMode="External"/><Relationship Id="rId207" Type="http://schemas.openxmlformats.org/officeDocument/2006/relationships/hyperlink" Target="https://www.munzee.com/m/Bisquick2/4005" TargetMode="External"/><Relationship Id="rId2360" Type="http://schemas.openxmlformats.org/officeDocument/2006/relationships/hyperlink" Target="https://www.munzee.com/m/lison55/15741" TargetMode="External"/><Relationship Id="rId1030" Type="http://schemas.openxmlformats.org/officeDocument/2006/relationships/hyperlink" Target="https://www.munzee.com/m/barefootguru/3135/" TargetMode="External"/><Relationship Id="rId2361" Type="http://schemas.openxmlformats.org/officeDocument/2006/relationships/hyperlink" Target="http://www.munzee.com" TargetMode="External"/><Relationship Id="rId1031" Type="http://schemas.openxmlformats.org/officeDocument/2006/relationships/hyperlink" Target="http://www.munzee.com" TargetMode="External"/><Relationship Id="rId2362" Type="http://schemas.openxmlformats.org/officeDocument/2006/relationships/hyperlink" Target="https://www.munzee.com/m/cbf600/3727/" TargetMode="External"/><Relationship Id="rId1032" Type="http://schemas.openxmlformats.org/officeDocument/2006/relationships/hyperlink" Target="https://www.munzee.com/m/TheFatCats/3554/" TargetMode="External"/><Relationship Id="rId2363" Type="http://schemas.openxmlformats.org/officeDocument/2006/relationships/hyperlink" Target="http://www.munzee.com" TargetMode="External"/><Relationship Id="rId202" Type="http://schemas.openxmlformats.org/officeDocument/2006/relationships/hyperlink" Target="http://www.munzee.com" TargetMode="External"/><Relationship Id="rId1033" Type="http://schemas.openxmlformats.org/officeDocument/2006/relationships/hyperlink" Target="http://www.munzee.com" TargetMode="External"/><Relationship Id="rId2364" Type="http://schemas.openxmlformats.org/officeDocument/2006/relationships/hyperlink" Target="https://www.munzee.com/m/Bisquick2/7256/" TargetMode="External"/><Relationship Id="rId201" Type="http://schemas.openxmlformats.org/officeDocument/2006/relationships/hyperlink" Target="https://www.munzee.com/m/belladivadee/2951/" TargetMode="External"/><Relationship Id="rId1034" Type="http://schemas.openxmlformats.org/officeDocument/2006/relationships/hyperlink" Target="https://www.munzee.com/m/Aniara/6633/" TargetMode="External"/><Relationship Id="rId2365" Type="http://schemas.openxmlformats.org/officeDocument/2006/relationships/hyperlink" Target="http://www.munzee.com" TargetMode="External"/><Relationship Id="rId200" Type="http://schemas.openxmlformats.org/officeDocument/2006/relationships/hyperlink" Target="http://www.munzee.com" TargetMode="External"/><Relationship Id="rId1035" Type="http://schemas.openxmlformats.org/officeDocument/2006/relationships/hyperlink" Target="http://www.munzee.com" TargetMode="External"/><Relationship Id="rId2366" Type="http://schemas.openxmlformats.org/officeDocument/2006/relationships/hyperlink" Target="https://www.munzee.com/m/Derlame/21210/" TargetMode="External"/><Relationship Id="rId1036" Type="http://schemas.openxmlformats.org/officeDocument/2006/relationships/hyperlink" Target="https://www.munzee.com/m/Fossillady/3677" TargetMode="External"/><Relationship Id="rId2367" Type="http://schemas.openxmlformats.org/officeDocument/2006/relationships/hyperlink" Target="http://www.munzee.com" TargetMode="External"/><Relationship Id="rId1026" Type="http://schemas.openxmlformats.org/officeDocument/2006/relationships/hyperlink" Target="https://www.munzee.com/m/KublaKhan/689/" TargetMode="External"/><Relationship Id="rId2357" Type="http://schemas.openxmlformats.org/officeDocument/2006/relationships/hyperlink" Target="http://www.munzee.com" TargetMode="External"/><Relationship Id="rId1027" Type="http://schemas.openxmlformats.org/officeDocument/2006/relationships/hyperlink" Target="http://www.munzee.com" TargetMode="External"/><Relationship Id="rId2358" Type="http://schemas.openxmlformats.org/officeDocument/2006/relationships/hyperlink" Target="https://www.munzee.com/m/Anetzet/3912/" TargetMode="External"/><Relationship Id="rId1028" Type="http://schemas.openxmlformats.org/officeDocument/2006/relationships/hyperlink" Target="https://www.munzee.com/m/PennyCat/136/" TargetMode="External"/><Relationship Id="rId2359" Type="http://schemas.openxmlformats.org/officeDocument/2006/relationships/hyperlink" Target="http://www.munzee.com" TargetMode="External"/><Relationship Id="rId1029" Type="http://schemas.openxmlformats.org/officeDocument/2006/relationships/hyperlink" Target="http://www.munzee.com" TargetMode="External"/><Relationship Id="rId2350" Type="http://schemas.openxmlformats.org/officeDocument/2006/relationships/hyperlink" Target="https://www.munzee.com/m/Niks13/1524/" TargetMode="External"/><Relationship Id="rId1020" Type="http://schemas.openxmlformats.org/officeDocument/2006/relationships/hyperlink" Target="https://www.munzee.com/m/KublaKhan/640/" TargetMode="External"/><Relationship Id="rId2351" Type="http://schemas.openxmlformats.org/officeDocument/2006/relationships/hyperlink" Target="http://www.munzee.com" TargetMode="External"/><Relationship Id="rId1021" Type="http://schemas.openxmlformats.org/officeDocument/2006/relationships/hyperlink" Target="http://www.munzee.com" TargetMode="External"/><Relationship Id="rId2352" Type="http://schemas.openxmlformats.org/officeDocument/2006/relationships/hyperlink" Target="https://www.munzee.com/m/OdinsFiRe/2182/" TargetMode="External"/><Relationship Id="rId1022" Type="http://schemas.openxmlformats.org/officeDocument/2006/relationships/hyperlink" Target="https://www.munzee.com/m/FlatBlack/757" TargetMode="External"/><Relationship Id="rId2353" Type="http://schemas.openxmlformats.org/officeDocument/2006/relationships/hyperlink" Target="http://www.munzee.com" TargetMode="External"/><Relationship Id="rId1023" Type="http://schemas.openxmlformats.org/officeDocument/2006/relationships/hyperlink" Target="http://www.munzee.com" TargetMode="External"/><Relationship Id="rId2354" Type="http://schemas.openxmlformats.org/officeDocument/2006/relationships/hyperlink" Target="https://www.munzee.com/m/Bungle/10929" TargetMode="External"/><Relationship Id="rId1024" Type="http://schemas.openxmlformats.org/officeDocument/2006/relationships/hyperlink" Target="https://www.munzee.com/m/Jawillia/4385/" TargetMode="External"/><Relationship Id="rId2355" Type="http://schemas.openxmlformats.org/officeDocument/2006/relationships/hyperlink" Target="http://www.munzee.com" TargetMode="External"/><Relationship Id="rId1025" Type="http://schemas.openxmlformats.org/officeDocument/2006/relationships/hyperlink" Target="http://www.munzee.com" TargetMode="External"/><Relationship Id="rId2356" Type="http://schemas.openxmlformats.org/officeDocument/2006/relationships/hyperlink" Target="https://www.munzee.com/m/lupinchen/1903" TargetMode="External"/><Relationship Id="rId1910" Type="http://schemas.openxmlformats.org/officeDocument/2006/relationships/hyperlink" Target="https://www.munzee.com/m/mortonfox/22765/" TargetMode="External"/><Relationship Id="rId1911" Type="http://schemas.openxmlformats.org/officeDocument/2006/relationships/hyperlink" Target="http://www.munzee.com" TargetMode="External"/><Relationship Id="rId1912" Type="http://schemas.openxmlformats.org/officeDocument/2006/relationships/hyperlink" Target="https://www.munzee.com/m/WangoTango/2129/" TargetMode="External"/><Relationship Id="rId1913" Type="http://schemas.openxmlformats.org/officeDocument/2006/relationships/hyperlink" Target="http://www.munzee.com" TargetMode="External"/><Relationship Id="rId1914" Type="http://schemas.openxmlformats.org/officeDocument/2006/relationships/hyperlink" Target="https://www.munzee.com/m/TheFatCats/4853/" TargetMode="External"/><Relationship Id="rId1915" Type="http://schemas.openxmlformats.org/officeDocument/2006/relationships/hyperlink" Target="http://www.munzee.com" TargetMode="External"/><Relationship Id="rId1916" Type="http://schemas.openxmlformats.org/officeDocument/2006/relationships/hyperlink" Target="https://www.munzee.com/m/TheFatCats/4886/" TargetMode="External"/><Relationship Id="rId1917" Type="http://schemas.openxmlformats.org/officeDocument/2006/relationships/hyperlink" Target="http://www.munzee.com" TargetMode="External"/><Relationship Id="rId1918" Type="http://schemas.openxmlformats.org/officeDocument/2006/relationships/hyperlink" Target="https://www.munzee.com/m/Belladivadee/3547" TargetMode="External"/><Relationship Id="rId1919" Type="http://schemas.openxmlformats.org/officeDocument/2006/relationships/hyperlink" Target="http://www.munzee.com" TargetMode="External"/><Relationship Id="rId1900" Type="http://schemas.openxmlformats.org/officeDocument/2006/relationships/hyperlink" Target="https://www.munzee.com/m/rita85gto/5091/" TargetMode="External"/><Relationship Id="rId1901" Type="http://schemas.openxmlformats.org/officeDocument/2006/relationships/hyperlink" Target="http://www.munzee.com" TargetMode="External"/><Relationship Id="rId1902" Type="http://schemas.openxmlformats.org/officeDocument/2006/relationships/hyperlink" Target="https://www.munzee.com/m/Bisquick2/5195/" TargetMode="External"/><Relationship Id="rId1903" Type="http://schemas.openxmlformats.org/officeDocument/2006/relationships/hyperlink" Target="http://www.munzee.com" TargetMode="External"/><Relationship Id="rId1904" Type="http://schemas.openxmlformats.org/officeDocument/2006/relationships/hyperlink" Target="https://www.munzee.com/m/TheFrog/5201/" TargetMode="External"/><Relationship Id="rId1905" Type="http://schemas.openxmlformats.org/officeDocument/2006/relationships/hyperlink" Target="http://www.munzee.com" TargetMode="External"/><Relationship Id="rId1906" Type="http://schemas.openxmlformats.org/officeDocument/2006/relationships/hyperlink" Target="https://www.munzee.com/m/123xilef/9358/" TargetMode="External"/><Relationship Id="rId1907" Type="http://schemas.openxmlformats.org/officeDocument/2006/relationships/hyperlink" Target="http://www.munzee.com" TargetMode="External"/><Relationship Id="rId1908" Type="http://schemas.openxmlformats.org/officeDocument/2006/relationships/hyperlink" Target="https://www.munzee.com/m/5Star/6589/" TargetMode="External"/><Relationship Id="rId1909" Type="http://schemas.openxmlformats.org/officeDocument/2006/relationships/hyperlink" Target="http://www.munzee.com" TargetMode="External"/><Relationship Id="rId1090" Type="http://schemas.openxmlformats.org/officeDocument/2006/relationships/hyperlink" Target="https://www.munzee.com/m/babyw/3127/" TargetMode="External"/><Relationship Id="rId1091" Type="http://schemas.openxmlformats.org/officeDocument/2006/relationships/hyperlink" Target="http://www.munzee.com" TargetMode="External"/><Relationship Id="rId1092" Type="http://schemas.openxmlformats.org/officeDocument/2006/relationships/hyperlink" Target="https://www.munzee.com/m/lison55/5412" TargetMode="External"/><Relationship Id="rId1093" Type="http://schemas.openxmlformats.org/officeDocument/2006/relationships/hyperlink" Target="http://www.munzee.com" TargetMode="External"/><Relationship Id="rId1094" Type="http://schemas.openxmlformats.org/officeDocument/2006/relationships/hyperlink" Target="https://www.munzee.com/m/cbf600/2411/admin/convert/" TargetMode="External"/><Relationship Id="rId1095" Type="http://schemas.openxmlformats.org/officeDocument/2006/relationships/hyperlink" Target="http://www.munzee.com" TargetMode="External"/><Relationship Id="rId1096" Type="http://schemas.openxmlformats.org/officeDocument/2006/relationships/hyperlink" Target="https://www.munzee.com/m/FromTheTardis/1411/" TargetMode="External"/><Relationship Id="rId1097" Type="http://schemas.openxmlformats.org/officeDocument/2006/relationships/hyperlink" Target="http://www.munzee.com" TargetMode="External"/><Relationship Id="rId1098" Type="http://schemas.openxmlformats.org/officeDocument/2006/relationships/hyperlink" Target="https://www.munzee.com/m/GroteSufferd/402/admin/" TargetMode="External"/><Relationship Id="rId1099" Type="http://schemas.openxmlformats.org/officeDocument/2006/relationships/hyperlink" Target="http://www.munzee.com" TargetMode="External"/><Relationship Id="rId1080" Type="http://schemas.openxmlformats.org/officeDocument/2006/relationships/hyperlink" Target="https://www.munzee.com/m/BrotherWilliam/4045/admin/" TargetMode="External"/><Relationship Id="rId1081" Type="http://schemas.openxmlformats.org/officeDocument/2006/relationships/hyperlink" Target="http://www.munzee.com" TargetMode="External"/><Relationship Id="rId1082" Type="http://schemas.openxmlformats.org/officeDocument/2006/relationships/hyperlink" Target="https://www.munzee.com/m/Anetzet/2878/" TargetMode="External"/><Relationship Id="rId1083" Type="http://schemas.openxmlformats.org/officeDocument/2006/relationships/hyperlink" Target="http://www.munzee.com" TargetMode="External"/><Relationship Id="rId1084" Type="http://schemas.openxmlformats.org/officeDocument/2006/relationships/hyperlink" Target="https://www.munzee.com/m/WiseOldWizard/3991/" TargetMode="External"/><Relationship Id="rId1085" Type="http://schemas.openxmlformats.org/officeDocument/2006/relationships/hyperlink" Target="http://www.munzee.com" TargetMode="External"/><Relationship Id="rId1086" Type="http://schemas.openxmlformats.org/officeDocument/2006/relationships/hyperlink" Target="https://www.munzee.com/m/ArtofEco/2978/admin/" TargetMode="External"/><Relationship Id="rId1087" Type="http://schemas.openxmlformats.org/officeDocument/2006/relationships/hyperlink" Target="http://www.munzee.com" TargetMode="External"/><Relationship Id="rId1088" Type="http://schemas.openxmlformats.org/officeDocument/2006/relationships/hyperlink" Target="https://www.munzee.com/m/Lanyasummer/4434/" TargetMode="External"/><Relationship Id="rId1089" Type="http://schemas.openxmlformats.org/officeDocument/2006/relationships/hyperlink" Target="http://www.munzee.com" TargetMode="External"/><Relationship Id="rId1972" Type="http://schemas.openxmlformats.org/officeDocument/2006/relationships/hyperlink" Target="https://www.munzee.com/m/cbf600/2792/admin" TargetMode="External"/><Relationship Id="rId1973" Type="http://schemas.openxmlformats.org/officeDocument/2006/relationships/hyperlink" Target="http://www.munzee.com" TargetMode="External"/><Relationship Id="rId1974" Type="http://schemas.openxmlformats.org/officeDocument/2006/relationships/hyperlink" Target="https://www.munzee.com/m/xrayneex/2137/" TargetMode="External"/><Relationship Id="rId1975" Type="http://schemas.openxmlformats.org/officeDocument/2006/relationships/hyperlink" Target="http://www.munzee.com" TargetMode="External"/><Relationship Id="rId1976" Type="http://schemas.openxmlformats.org/officeDocument/2006/relationships/hyperlink" Target="https://www.munzee.com/m/Bungle/10931" TargetMode="External"/><Relationship Id="rId1977" Type="http://schemas.openxmlformats.org/officeDocument/2006/relationships/hyperlink" Target="http://www.munzee.com" TargetMode="External"/><Relationship Id="rId1978" Type="http://schemas.openxmlformats.org/officeDocument/2006/relationships/hyperlink" Target="https://www.munzee.com/m/MeanderingMonkeys/22530/" TargetMode="External"/><Relationship Id="rId1979" Type="http://schemas.openxmlformats.org/officeDocument/2006/relationships/hyperlink" Target="http://www.munzee.com" TargetMode="External"/><Relationship Id="rId1970" Type="http://schemas.openxmlformats.org/officeDocument/2006/relationships/hyperlink" Target="https://www.munzee.com/m/pinlight/236/" TargetMode="External"/><Relationship Id="rId1971" Type="http://schemas.openxmlformats.org/officeDocument/2006/relationships/hyperlink" Target="http://www.munzee.com" TargetMode="External"/><Relationship Id="rId1961" Type="http://schemas.openxmlformats.org/officeDocument/2006/relationships/hyperlink" Target="http://www.munzee.com" TargetMode="External"/><Relationship Id="rId1962" Type="http://schemas.openxmlformats.org/officeDocument/2006/relationships/hyperlink" Target="https://www.munzee.com/m/crscousins/7429/" TargetMode="External"/><Relationship Id="rId1963" Type="http://schemas.openxmlformats.org/officeDocument/2006/relationships/hyperlink" Target="http://www.munzee.com" TargetMode="External"/><Relationship Id="rId1964" Type="http://schemas.openxmlformats.org/officeDocument/2006/relationships/hyperlink" Target="https://www.munzee.com/m/lison55/6321" TargetMode="External"/><Relationship Id="rId1965" Type="http://schemas.openxmlformats.org/officeDocument/2006/relationships/hyperlink" Target="http://www.munzee.com" TargetMode="External"/><Relationship Id="rId1966" Type="http://schemas.openxmlformats.org/officeDocument/2006/relationships/hyperlink" Target="https://www.munzee.com/m/res2100/808/" TargetMode="External"/><Relationship Id="rId1967" Type="http://schemas.openxmlformats.org/officeDocument/2006/relationships/hyperlink" Target="http://www.munzee.com" TargetMode="External"/><Relationship Id="rId1968" Type="http://schemas.openxmlformats.org/officeDocument/2006/relationships/hyperlink" Target="https://www.munzee.com/m/Ellesche/788" TargetMode="External"/><Relationship Id="rId1969" Type="http://schemas.openxmlformats.org/officeDocument/2006/relationships/hyperlink" Target="http://www.munzee.com" TargetMode="External"/><Relationship Id="rId1960" Type="http://schemas.openxmlformats.org/officeDocument/2006/relationships/hyperlink" Target="https://www.munzee.com/m/Anetzet/3921/" TargetMode="External"/><Relationship Id="rId1994" Type="http://schemas.openxmlformats.org/officeDocument/2006/relationships/hyperlink" Target="https://www.munzee.com/m/mortonfox/22627/" TargetMode="External"/><Relationship Id="rId1995" Type="http://schemas.openxmlformats.org/officeDocument/2006/relationships/hyperlink" Target="http://www.munzee.com" TargetMode="External"/><Relationship Id="rId1996" Type="http://schemas.openxmlformats.org/officeDocument/2006/relationships/hyperlink" Target="https://www.munzee.com/m/dQuest/6372" TargetMode="External"/><Relationship Id="rId1997" Type="http://schemas.openxmlformats.org/officeDocument/2006/relationships/hyperlink" Target="http://www.munzee.com" TargetMode="External"/><Relationship Id="rId1998" Type="http://schemas.openxmlformats.org/officeDocument/2006/relationships/hyperlink" Target="https://www.munzee.com/m/PcLocator/4256/admin/" TargetMode="External"/><Relationship Id="rId1999" Type="http://schemas.openxmlformats.org/officeDocument/2006/relationships/hyperlink" Target="http://www.munzee.com" TargetMode="External"/><Relationship Id="rId1990" Type="http://schemas.openxmlformats.org/officeDocument/2006/relationships/hyperlink" Target="https://www.munzee.com/m/TheFrog/5226/" TargetMode="External"/><Relationship Id="rId1991" Type="http://schemas.openxmlformats.org/officeDocument/2006/relationships/hyperlink" Target="http://www.munzee.com" TargetMode="External"/><Relationship Id="rId1992" Type="http://schemas.openxmlformats.org/officeDocument/2006/relationships/hyperlink" Target="https://www.munzee.com/m/123xilef/9186/" TargetMode="External"/><Relationship Id="rId1993" Type="http://schemas.openxmlformats.org/officeDocument/2006/relationships/hyperlink" Target="http://www.munzee.com" TargetMode="External"/><Relationship Id="rId1983" Type="http://schemas.openxmlformats.org/officeDocument/2006/relationships/hyperlink" Target="http://www.munzee.com" TargetMode="External"/><Relationship Id="rId1984" Type="http://schemas.openxmlformats.org/officeDocument/2006/relationships/hyperlink" Target="https://www.munzee.com/m/dQuest/6378" TargetMode="External"/><Relationship Id="rId1985" Type="http://schemas.openxmlformats.org/officeDocument/2006/relationships/hyperlink" Target="http://www.munzee.com" TargetMode="External"/><Relationship Id="rId1986" Type="http://schemas.openxmlformats.org/officeDocument/2006/relationships/hyperlink" Target="https://www.munzee.com/m/Bisquick2/5324/" TargetMode="External"/><Relationship Id="rId1987" Type="http://schemas.openxmlformats.org/officeDocument/2006/relationships/hyperlink" Target="http://www.munzee.com" TargetMode="External"/><Relationship Id="rId1988" Type="http://schemas.openxmlformats.org/officeDocument/2006/relationships/hyperlink" Target="https://www.munzee.com/m/rita85gto/5139/" TargetMode="External"/><Relationship Id="rId1989" Type="http://schemas.openxmlformats.org/officeDocument/2006/relationships/hyperlink" Target="http://www.munzee.com" TargetMode="External"/><Relationship Id="rId1980" Type="http://schemas.openxmlformats.org/officeDocument/2006/relationships/hyperlink" Target="https://www.munzee.com/m/Girlteddy5/35/" TargetMode="External"/><Relationship Id="rId1981" Type="http://schemas.openxmlformats.org/officeDocument/2006/relationships/hyperlink" Target="http://www.munzee.com" TargetMode="External"/><Relationship Id="rId1982" Type="http://schemas.openxmlformats.org/officeDocument/2006/relationships/hyperlink" Target="https://www.munzee.com/m/OdinsFiRe/2073/" TargetMode="External"/><Relationship Id="rId1930" Type="http://schemas.openxmlformats.org/officeDocument/2006/relationships/hyperlink" Target="https://www.munzee.com/m/barefootguru/3321/" TargetMode="External"/><Relationship Id="rId1931" Type="http://schemas.openxmlformats.org/officeDocument/2006/relationships/hyperlink" Target="http://www.munzee.com" TargetMode="External"/><Relationship Id="rId1932" Type="http://schemas.openxmlformats.org/officeDocument/2006/relationships/hyperlink" Target="https://www.munzee.com/m/GroteSufferd/653/admin/" TargetMode="External"/><Relationship Id="rId1933" Type="http://schemas.openxmlformats.org/officeDocument/2006/relationships/hyperlink" Target="http://www.munzee.com" TargetMode="External"/><Relationship Id="rId1934" Type="http://schemas.openxmlformats.org/officeDocument/2006/relationships/hyperlink" Target="https://www.munzee.com/m/J1Huisman/11218/" TargetMode="External"/><Relationship Id="rId1935" Type="http://schemas.openxmlformats.org/officeDocument/2006/relationships/hyperlink" Target="http://www.munzee.com" TargetMode="External"/><Relationship Id="rId1936" Type="http://schemas.openxmlformats.org/officeDocument/2006/relationships/hyperlink" Target="https://www.munzee.com/m/Pinkeltje/1928/" TargetMode="External"/><Relationship Id="rId1937" Type="http://schemas.openxmlformats.org/officeDocument/2006/relationships/hyperlink" Target="http://www.munzee.com" TargetMode="External"/><Relationship Id="rId1938" Type="http://schemas.openxmlformats.org/officeDocument/2006/relationships/hyperlink" Target="https://www.munzee.com/m/Derlame/16221/" TargetMode="External"/><Relationship Id="rId1939" Type="http://schemas.openxmlformats.org/officeDocument/2006/relationships/hyperlink" Target="http://www.munzee.com" TargetMode="External"/><Relationship Id="rId1920" Type="http://schemas.openxmlformats.org/officeDocument/2006/relationships/hyperlink" Target="https://www.munzee.com/m/sverlaan/4471/" TargetMode="External"/><Relationship Id="rId1921" Type="http://schemas.openxmlformats.org/officeDocument/2006/relationships/hyperlink" Target="http://www.munzee.com" TargetMode="External"/><Relationship Id="rId1922" Type="http://schemas.openxmlformats.org/officeDocument/2006/relationships/hyperlink" Target="https://www.munzee.com/m/EmileP68/3357/" TargetMode="External"/><Relationship Id="rId1923" Type="http://schemas.openxmlformats.org/officeDocument/2006/relationships/hyperlink" Target="http://www.munzee.com" TargetMode="External"/><Relationship Id="rId1924" Type="http://schemas.openxmlformats.org/officeDocument/2006/relationships/hyperlink" Target="https://www.munzee.com/m/PawPatrolThomas/2887/" TargetMode="External"/><Relationship Id="rId1925" Type="http://schemas.openxmlformats.org/officeDocument/2006/relationships/hyperlink" Target="http://www.munzee.com" TargetMode="External"/><Relationship Id="rId1926" Type="http://schemas.openxmlformats.org/officeDocument/2006/relationships/hyperlink" Target="https://www.munzee.com/m/xrayneex/2138/" TargetMode="External"/><Relationship Id="rId1927" Type="http://schemas.openxmlformats.org/officeDocument/2006/relationships/hyperlink" Target="http://www.munzee.com" TargetMode="External"/><Relationship Id="rId1928" Type="http://schemas.openxmlformats.org/officeDocument/2006/relationships/hyperlink" Target="https://www.munzee.com/m/raunas/12414" TargetMode="External"/><Relationship Id="rId1929" Type="http://schemas.openxmlformats.org/officeDocument/2006/relationships/hyperlink" Target="http://www.munzee.com" TargetMode="External"/><Relationship Id="rId1950" Type="http://schemas.openxmlformats.org/officeDocument/2006/relationships/hyperlink" Target="https://www.munzee.com/m/ArtofEco/3347/admin/" TargetMode="External"/><Relationship Id="rId1951" Type="http://schemas.openxmlformats.org/officeDocument/2006/relationships/hyperlink" Target="http://www.munzee.com" TargetMode="External"/><Relationship Id="rId1952" Type="http://schemas.openxmlformats.org/officeDocument/2006/relationships/hyperlink" Target="https://www.munzee.com/m/BrotherWilliam/4545/admin/" TargetMode="External"/><Relationship Id="rId1953" Type="http://schemas.openxmlformats.org/officeDocument/2006/relationships/hyperlink" Target="http://www.munzee.com" TargetMode="External"/><Relationship Id="rId1954" Type="http://schemas.openxmlformats.org/officeDocument/2006/relationships/hyperlink" Target="https://www.munzee.com/m/WetCoaster/4087/" TargetMode="External"/><Relationship Id="rId1955" Type="http://schemas.openxmlformats.org/officeDocument/2006/relationships/hyperlink" Target="http://www.munzee.com" TargetMode="External"/><Relationship Id="rId1956" Type="http://schemas.openxmlformats.org/officeDocument/2006/relationships/hyperlink" Target="https://www.munzee.com/m/dQuest/6379" TargetMode="External"/><Relationship Id="rId1957" Type="http://schemas.openxmlformats.org/officeDocument/2006/relationships/hyperlink" Target="http://www.munzee.com" TargetMode="External"/><Relationship Id="rId1958" Type="http://schemas.openxmlformats.org/officeDocument/2006/relationships/hyperlink" Target="https://www.munzee.com/m/lupo6/6968" TargetMode="External"/><Relationship Id="rId1959" Type="http://schemas.openxmlformats.org/officeDocument/2006/relationships/hyperlink" Target="http://www.munzee.com" TargetMode="External"/><Relationship Id="rId1940" Type="http://schemas.openxmlformats.org/officeDocument/2006/relationships/hyperlink" Target="https://www.munzee.com/m/Drazoria/1532/" TargetMode="External"/><Relationship Id="rId1941" Type="http://schemas.openxmlformats.org/officeDocument/2006/relationships/hyperlink" Target="http://www.munzee.com" TargetMode="External"/><Relationship Id="rId1942" Type="http://schemas.openxmlformats.org/officeDocument/2006/relationships/hyperlink" Target="https://www.munzee.com/m/Tinake1309/1533/" TargetMode="External"/><Relationship Id="rId1943" Type="http://schemas.openxmlformats.org/officeDocument/2006/relationships/hyperlink" Target="http://www.munzee.com" TargetMode="External"/><Relationship Id="rId1944" Type="http://schemas.openxmlformats.org/officeDocument/2006/relationships/hyperlink" Target="https://www.munzee.com/m/Berg14/1316/" TargetMode="External"/><Relationship Id="rId1945" Type="http://schemas.openxmlformats.org/officeDocument/2006/relationships/hyperlink" Target="http://www.munzee.com" TargetMode="External"/><Relationship Id="rId1946" Type="http://schemas.openxmlformats.org/officeDocument/2006/relationships/hyperlink" Target="https://www.munzee.com/m/Niks13/1355/" TargetMode="External"/><Relationship Id="rId1947" Type="http://schemas.openxmlformats.org/officeDocument/2006/relationships/hyperlink" Target="http://www.munzee.com" TargetMode="External"/><Relationship Id="rId1948" Type="http://schemas.openxmlformats.org/officeDocument/2006/relationships/hyperlink" Target="https://www.munzee.com/m/fsafranek/5159/" TargetMode="External"/><Relationship Id="rId1949" Type="http://schemas.openxmlformats.org/officeDocument/2006/relationships/hyperlink" Target="http://www.munzee.com" TargetMode="External"/><Relationship Id="rId2423" Type="http://schemas.openxmlformats.org/officeDocument/2006/relationships/hyperlink" Target="http://www.munzee.com" TargetMode="External"/><Relationship Id="rId2424" Type="http://schemas.openxmlformats.org/officeDocument/2006/relationships/hyperlink" Target="https://www.munzee.com/m/Anseldelux/1559/" TargetMode="External"/><Relationship Id="rId2425" Type="http://schemas.openxmlformats.org/officeDocument/2006/relationships/hyperlink" Target="http://www.munzee.com" TargetMode="External"/><Relationship Id="rId2426" Type="http://schemas.openxmlformats.org/officeDocument/2006/relationships/hyperlink" Target="https://www.munzee.com/m/djeagle/7403/" TargetMode="External"/><Relationship Id="rId2427" Type="http://schemas.openxmlformats.org/officeDocument/2006/relationships/hyperlink" Target="http://www.munzee.com" TargetMode="External"/><Relationship Id="rId2428" Type="http://schemas.openxmlformats.org/officeDocument/2006/relationships/hyperlink" Target="https://www.munzee.com/m/McCormick64/267/" TargetMode="External"/><Relationship Id="rId2429" Type="http://schemas.openxmlformats.org/officeDocument/2006/relationships/hyperlink" Target="http://www.munzee.com" TargetMode="External"/><Relationship Id="rId509" Type="http://schemas.openxmlformats.org/officeDocument/2006/relationships/hyperlink" Target="https://www.munzee.com/m/Questing4/7052" TargetMode="External"/><Relationship Id="rId508" Type="http://schemas.openxmlformats.org/officeDocument/2006/relationships/hyperlink" Target="http://www.munzee.com" TargetMode="External"/><Relationship Id="rId503" Type="http://schemas.openxmlformats.org/officeDocument/2006/relationships/hyperlink" Target="https://www.munzee.com/m/EmileP68/3088/" TargetMode="External"/><Relationship Id="rId502" Type="http://schemas.openxmlformats.org/officeDocument/2006/relationships/hyperlink" Target="http://www.munzee.com" TargetMode="External"/><Relationship Id="rId501" Type="http://schemas.openxmlformats.org/officeDocument/2006/relationships/hyperlink" Target="https://www.munzee.com/m/Trappertje/4596/" TargetMode="External"/><Relationship Id="rId500" Type="http://schemas.openxmlformats.org/officeDocument/2006/relationships/hyperlink" Target="http://www.munzee.com" TargetMode="External"/><Relationship Id="rId507" Type="http://schemas.openxmlformats.org/officeDocument/2006/relationships/hyperlink" Target="https://www.munzee.com/m/PawPatrolThomas/2278/" TargetMode="External"/><Relationship Id="rId506" Type="http://schemas.openxmlformats.org/officeDocument/2006/relationships/hyperlink" Target="http://www.munzee.com" TargetMode="External"/><Relationship Id="rId505" Type="http://schemas.openxmlformats.org/officeDocument/2006/relationships/hyperlink" Target="https://www.munzee.com/m/sverlaan/4104/" TargetMode="External"/><Relationship Id="rId504" Type="http://schemas.openxmlformats.org/officeDocument/2006/relationships/hyperlink" Target="http://www.munzee.com" TargetMode="External"/><Relationship Id="rId2420" Type="http://schemas.openxmlformats.org/officeDocument/2006/relationships/hyperlink" Target="https://www.munzee.com/m/amundadus/1562/" TargetMode="External"/><Relationship Id="rId2421" Type="http://schemas.openxmlformats.org/officeDocument/2006/relationships/hyperlink" Target="http://www.munzee.com" TargetMode="External"/><Relationship Id="rId2422" Type="http://schemas.openxmlformats.org/officeDocument/2006/relationships/hyperlink" Target="https://www.munzee.com/m/Arendsoog/8494" TargetMode="External"/><Relationship Id="rId2412" Type="http://schemas.openxmlformats.org/officeDocument/2006/relationships/hyperlink" Target="https://www.munzee.com/m/Franca/2026/" TargetMode="External"/><Relationship Id="rId2413" Type="http://schemas.openxmlformats.org/officeDocument/2006/relationships/hyperlink" Target="http://www.munzee.com" TargetMode="External"/><Relationship Id="rId2414" Type="http://schemas.openxmlformats.org/officeDocument/2006/relationships/hyperlink" Target="https://www.munzee.com/m/lupo6/6815" TargetMode="External"/><Relationship Id="rId2415" Type="http://schemas.openxmlformats.org/officeDocument/2006/relationships/hyperlink" Target="http://www.munzee.com" TargetMode="External"/><Relationship Id="rId2416" Type="http://schemas.openxmlformats.org/officeDocument/2006/relationships/hyperlink" Target="https://www.munzee.com/m/OdinsFiRe/2059/" TargetMode="External"/><Relationship Id="rId2417" Type="http://schemas.openxmlformats.org/officeDocument/2006/relationships/hyperlink" Target="http://www.munzee.com" TargetMode="External"/><Relationship Id="rId2418" Type="http://schemas.openxmlformats.org/officeDocument/2006/relationships/hyperlink" Target="https://www.munzee.com/m/Anetzet/4670/" TargetMode="External"/><Relationship Id="rId2419" Type="http://schemas.openxmlformats.org/officeDocument/2006/relationships/hyperlink" Target="http://www.munzee.com" TargetMode="External"/><Relationship Id="rId2410" Type="http://schemas.openxmlformats.org/officeDocument/2006/relationships/hyperlink" Target="https://www.munzee.com/m/Niks13/1488/" TargetMode="External"/><Relationship Id="rId2411" Type="http://schemas.openxmlformats.org/officeDocument/2006/relationships/hyperlink" Target="http://www.munzee.com" TargetMode="External"/><Relationship Id="rId1114" Type="http://schemas.openxmlformats.org/officeDocument/2006/relationships/hyperlink" Target="https://www.munzee.com/m/Krauseengineer/2428" TargetMode="External"/><Relationship Id="rId2445" Type="http://schemas.openxmlformats.org/officeDocument/2006/relationships/hyperlink" Target="http://www.munzee.com" TargetMode="External"/><Relationship Id="rId1115" Type="http://schemas.openxmlformats.org/officeDocument/2006/relationships/hyperlink" Target="http://www.munzee.com" TargetMode="External"/><Relationship Id="rId2446" Type="http://schemas.openxmlformats.org/officeDocument/2006/relationships/hyperlink" Target="https://www.munzee.com/m/wally62/5729/" TargetMode="External"/><Relationship Id="rId1116" Type="http://schemas.openxmlformats.org/officeDocument/2006/relationships/hyperlink" Target="https://www.munzee.com/m/wally62/4432/" TargetMode="External"/><Relationship Id="rId2447" Type="http://schemas.openxmlformats.org/officeDocument/2006/relationships/hyperlink" Target="http://www.munzee.com" TargetMode="External"/><Relationship Id="rId1117" Type="http://schemas.openxmlformats.org/officeDocument/2006/relationships/hyperlink" Target="http://www.munzee.com" TargetMode="External"/><Relationship Id="rId2448" Type="http://schemas.openxmlformats.org/officeDocument/2006/relationships/hyperlink" Target="https://www.munzee.com/m/djeagle/7363/" TargetMode="External"/><Relationship Id="rId1118" Type="http://schemas.openxmlformats.org/officeDocument/2006/relationships/hyperlink" Target="https://www.munzee.com/m/Derlame/12633/" TargetMode="External"/><Relationship Id="rId2449" Type="http://schemas.openxmlformats.org/officeDocument/2006/relationships/hyperlink" Target="http://www.munzee.com" TargetMode="External"/><Relationship Id="rId1119" Type="http://schemas.openxmlformats.org/officeDocument/2006/relationships/hyperlink" Target="http://www.munzee.com" TargetMode="External"/><Relationship Id="rId525" Type="http://schemas.openxmlformats.org/officeDocument/2006/relationships/hyperlink" Target="https://www.munzee.com/m/PawPatrolThomas/2194/" TargetMode="External"/><Relationship Id="rId524" Type="http://schemas.openxmlformats.org/officeDocument/2006/relationships/hyperlink" Target="http://www.munzee.com" TargetMode="External"/><Relationship Id="rId523" Type="http://schemas.openxmlformats.org/officeDocument/2006/relationships/hyperlink" Target="https://www.munzee.com/m/EmileP68/2893/" TargetMode="External"/><Relationship Id="rId522" Type="http://schemas.openxmlformats.org/officeDocument/2006/relationships/hyperlink" Target="http://www.munzee.com" TargetMode="External"/><Relationship Id="rId529" Type="http://schemas.openxmlformats.org/officeDocument/2006/relationships/hyperlink" Target="https://www.munzee.com/m/ArtofEco/2900/admin/" TargetMode="External"/><Relationship Id="rId528" Type="http://schemas.openxmlformats.org/officeDocument/2006/relationships/hyperlink" Target="http://www.munzee.com" TargetMode="External"/><Relationship Id="rId527" Type="http://schemas.openxmlformats.org/officeDocument/2006/relationships/hyperlink" Target="https://www.munzee.com/m/BrotherWilliam/3878/admin/" TargetMode="External"/><Relationship Id="rId526" Type="http://schemas.openxmlformats.org/officeDocument/2006/relationships/hyperlink" Target="http://www.munzee.com" TargetMode="External"/><Relationship Id="rId2440" Type="http://schemas.openxmlformats.org/officeDocument/2006/relationships/hyperlink" Target="https://www.munzee.com/m/Anetzet/6094/" TargetMode="External"/><Relationship Id="rId521" Type="http://schemas.openxmlformats.org/officeDocument/2006/relationships/hyperlink" Target="https://www.munzee.com/m/sverlaan/4123/" TargetMode="External"/><Relationship Id="rId1110" Type="http://schemas.openxmlformats.org/officeDocument/2006/relationships/hyperlink" Target="https://www.munzee.com/m/amadoreugen/5768" TargetMode="External"/><Relationship Id="rId2441" Type="http://schemas.openxmlformats.org/officeDocument/2006/relationships/hyperlink" Target="http://www.munzee.com" TargetMode="External"/><Relationship Id="rId520" Type="http://schemas.openxmlformats.org/officeDocument/2006/relationships/hyperlink" Target="http://www.munzee.com" TargetMode="External"/><Relationship Id="rId1111" Type="http://schemas.openxmlformats.org/officeDocument/2006/relationships/hyperlink" Target="http://www.munzee.com" TargetMode="External"/><Relationship Id="rId2442" Type="http://schemas.openxmlformats.org/officeDocument/2006/relationships/hyperlink" Target="https://www.munzee.com/m/sverlaan/7200/" TargetMode="External"/><Relationship Id="rId1112" Type="http://schemas.openxmlformats.org/officeDocument/2006/relationships/hyperlink" Target="https://www.munzee.com/m/denali0407/14436/" TargetMode="External"/><Relationship Id="rId2443" Type="http://schemas.openxmlformats.org/officeDocument/2006/relationships/hyperlink" Target="http://www.munzee.com" TargetMode="External"/><Relationship Id="rId1113" Type="http://schemas.openxmlformats.org/officeDocument/2006/relationships/hyperlink" Target="http://www.munzee.com" TargetMode="External"/><Relationship Id="rId2444" Type="http://schemas.openxmlformats.org/officeDocument/2006/relationships/hyperlink" Target="https://www.munzee.com/m/Bisquick2/7126/" TargetMode="External"/><Relationship Id="rId1103" Type="http://schemas.openxmlformats.org/officeDocument/2006/relationships/hyperlink" Target="http://www.munzee.com" TargetMode="External"/><Relationship Id="rId2434" Type="http://schemas.openxmlformats.org/officeDocument/2006/relationships/hyperlink" Target="https://www.munzee.com/m/Anseldelux/1271/" TargetMode="External"/><Relationship Id="rId1104" Type="http://schemas.openxmlformats.org/officeDocument/2006/relationships/hyperlink" Target="https://www.munzee.com/m/Fossillady/3391" TargetMode="External"/><Relationship Id="rId2435" Type="http://schemas.openxmlformats.org/officeDocument/2006/relationships/hyperlink" Target="http://www.munzee.com" TargetMode="External"/><Relationship Id="rId1105" Type="http://schemas.openxmlformats.org/officeDocument/2006/relationships/hyperlink" Target="http://www.munzee.com" TargetMode="External"/><Relationship Id="rId2436" Type="http://schemas.openxmlformats.org/officeDocument/2006/relationships/hyperlink" Target="http://www.munzee.com/m/Rudydennis/868" TargetMode="External"/><Relationship Id="rId1106" Type="http://schemas.openxmlformats.org/officeDocument/2006/relationships/hyperlink" Target="https://www.munzee.com/m/Aniara/6946" TargetMode="External"/><Relationship Id="rId2437" Type="http://schemas.openxmlformats.org/officeDocument/2006/relationships/hyperlink" Target="http://www.munzee.com" TargetMode="External"/><Relationship Id="rId1107" Type="http://schemas.openxmlformats.org/officeDocument/2006/relationships/hyperlink" Target="http://www.munzee.com" TargetMode="External"/><Relationship Id="rId2438" Type="http://schemas.openxmlformats.org/officeDocument/2006/relationships/hyperlink" Target="https://www.munzee.com/m/crscousins/7149/" TargetMode="External"/><Relationship Id="rId1108" Type="http://schemas.openxmlformats.org/officeDocument/2006/relationships/hyperlink" Target="https://www.munzee.com/m/Bisquick2/4551/" TargetMode="External"/><Relationship Id="rId2439" Type="http://schemas.openxmlformats.org/officeDocument/2006/relationships/hyperlink" Target="http://www.munzee.com" TargetMode="External"/><Relationship Id="rId1109" Type="http://schemas.openxmlformats.org/officeDocument/2006/relationships/hyperlink" Target="http://www.munzee.com" TargetMode="External"/><Relationship Id="rId519" Type="http://schemas.openxmlformats.org/officeDocument/2006/relationships/hyperlink" Target="https://www.munzee.com/m/Andrew81/1359" TargetMode="External"/><Relationship Id="rId514" Type="http://schemas.openxmlformats.org/officeDocument/2006/relationships/hyperlink" Target="http://www.munzee.com" TargetMode="External"/><Relationship Id="rId513" Type="http://schemas.openxmlformats.org/officeDocument/2006/relationships/hyperlink" Target="https://www.munzee.com/m/ivwarrior/4736/" TargetMode="External"/><Relationship Id="rId512" Type="http://schemas.openxmlformats.org/officeDocument/2006/relationships/hyperlink" Target="http://www.munzee.com" TargetMode="External"/><Relationship Id="rId511" Type="http://schemas.openxmlformats.org/officeDocument/2006/relationships/hyperlink" Target="https://www.munzee.com/m/Fossillady/3331/" TargetMode="External"/><Relationship Id="rId518" Type="http://schemas.openxmlformats.org/officeDocument/2006/relationships/hyperlink" Target="http://www.munzee.com" TargetMode="External"/><Relationship Id="rId517" Type="http://schemas.openxmlformats.org/officeDocument/2006/relationships/hyperlink" Target="https://www.munzee.com/m/cbf600/2252/admin/" TargetMode="External"/><Relationship Id="rId516" Type="http://schemas.openxmlformats.org/officeDocument/2006/relationships/hyperlink" Target="http://www.munzee.com" TargetMode="External"/><Relationship Id="rId515" Type="http://schemas.openxmlformats.org/officeDocument/2006/relationships/hyperlink" Target="https://www.munzee.com/m/upapou/970/" TargetMode="External"/><Relationship Id="rId510" Type="http://schemas.openxmlformats.org/officeDocument/2006/relationships/hyperlink" Target="http://www.munzee.com" TargetMode="External"/><Relationship Id="rId2430" Type="http://schemas.openxmlformats.org/officeDocument/2006/relationships/hyperlink" Target="https://www.munzee.com/m/cbf600/3730/" TargetMode="External"/><Relationship Id="rId1100" Type="http://schemas.openxmlformats.org/officeDocument/2006/relationships/hyperlink" Target="https://www.munzee.com/m/MeanderingMonkeys/17482" TargetMode="External"/><Relationship Id="rId2431" Type="http://schemas.openxmlformats.org/officeDocument/2006/relationships/hyperlink" Target="http://www.munzee.com" TargetMode="External"/><Relationship Id="rId1101" Type="http://schemas.openxmlformats.org/officeDocument/2006/relationships/hyperlink" Target="http://www.munzee.com" TargetMode="External"/><Relationship Id="rId2432" Type="http://schemas.openxmlformats.org/officeDocument/2006/relationships/hyperlink" Target="https://www.munzee.com/m/Arendsoog/8502/" TargetMode="External"/><Relationship Id="rId1102" Type="http://schemas.openxmlformats.org/officeDocument/2006/relationships/hyperlink" Target="https://www.munzee.com/m/BartWullems/5607" TargetMode="External"/><Relationship Id="rId2433" Type="http://schemas.openxmlformats.org/officeDocument/2006/relationships/hyperlink" Target="http://www.munzee.com" TargetMode="External"/><Relationship Id="rId2401" Type="http://schemas.openxmlformats.org/officeDocument/2006/relationships/hyperlink" Target="http://www.munzee.com" TargetMode="External"/><Relationship Id="rId2402" Type="http://schemas.openxmlformats.org/officeDocument/2006/relationships/hyperlink" Target="https://www.munzee.com/m/xrayneex/2322/" TargetMode="External"/><Relationship Id="rId2403" Type="http://schemas.openxmlformats.org/officeDocument/2006/relationships/hyperlink" Target="http://www.munzee.com" TargetMode="External"/><Relationship Id="rId2404" Type="http://schemas.openxmlformats.org/officeDocument/2006/relationships/hyperlink" Target="https://www.munzee.com/m/Drazoria/1603/" TargetMode="External"/><Relationship Id="rId2405" Type="http://schemas.openxmlformats.org/officeDocument/2006/relationships/hyperlink" Target="http://www.munzee.com" TargetMode="External"/><Relationship Id="rId2406" Type="http://schemas.openxmlformats.org/officeDocument/2006/relationships/hyperlink" Target="https://www.munzee.com/m/Tinake1309/1619/" TargetMode="External"/><Relationship Id="rId2407" Type="http://schemas.openxmlformats.org/officeDocument/2006/relationships/hyperlink" Target="http://www.munzee.com" TargetMode="External"/><Relationship Id="rId2408" Type="http://schemas.openxmlformats.org/officeDocument/2006/relationships/hyperlink" Target="https://www.munzee.com/m/Berg14/1539/" TargetMode="External"/><Relationship Id="rId2409" Type="http://schemas.openxmlformats.org/officeDocument/2006/relationships/hyperlink" Target="http://www.munzee.com" TargetMode="External"/><Relationship Id="rId2400" Type="http://schemas.openxmlformats.org/officeDocument/2006/relationships/hyperlink" Target="https://www.munzee.com/m/rita85gto/3821/" TargetMode="External"/><Relationship Id="rId590" Type="http://schemas.openxmlformats.org/officeDocument/2006/relationships/hyperlink" Target="http://www.munzee.com" TargetMode="External"/><Relationship Id="rId589" Type="http://schemas.openxmlformats.org/officeDocument/2006/relationships/hyperlink" Target="https://www.munzee.com/m/belladivadee/2976" TargetMode="External"/><Relationship Id="rId588" Type="http://schemas.openxmlformats.org/officeDocument/2006/relationships/hyperlink" Target="http://www.munzee.com" TargetMode="External"/><Relationship Id="rId1170" Type="http://schemas.openxmlformats.org/officeDocument/2006/relationships/hyperlink" Target="https://www.munzee.com/m/babyw/3146/" TargetMode="External"/><Relationship Id="rId1171" Type="http://schemas.openxmlformats.org/officeDocument/2006/relationships/hyperlink" Target="http://www.munzee.com" TargetMode="External"/><Relationship Id="rId583" Type="http://schemas.openxmlformats.org/officeDocument/2006/relationships/hyperlink" Target="https://www.munzee.com/m/Bisquick2/4232" TargetMode="External"/><Relationship Id="rId1172" Type="http://schemas.openxmlformats.org/officeDocument/2006/relationships/hyperlink" Target="https://www.munzee.com/m/fsafranek/4255/" TargetMode="External"/><Relationship Id="rId582" Type="http://schemas.openxmlformats.org/officeDocument/2006/relationships/hyperlink" Target="http://www.munzee.com" TargetMode="External"/><Relationship Id="rId1173" Type="http://schemas.openxmlformats.org/officeDocument/2006/relationships/hyperlink" Target="http://www.munzee.com" TargetMode="External"/><Relationship Id="rId581" Type="http://schemas.openxmlformats.org/officeDocument/2006/relationships/hyperlink" Target="https://www.munzee.com/m/TeamSarton/935" TargetMode="External"/><Relationship Id="rId1174" Type="http://schemas.openxmlformats.org/officeDocument/2006/relationships/hyperlink" Target="https://www.munzee.com/m/xrayneex/1443/" TargetMode="External"/><Relationship Id="rId580" Type="http://schemas.openxmlformats.org/officeDocument/2006/relationships/hyperlink" Target="http://www.munzee.com" TargetMode="External"/><Relationship Id="rId1175" Type="http://schemas.openxmlformats.org/officeDocument/2006/relationships/hyperlink" Target="http://www.munzee.com" TargetMode="External"/><Relationship Id="rId587" Type="http://schemas.openxmlformats.org/officeDocument/2006/relationships/hyperlink" Target="https://www.munzee.com/m/BrotherWilliam/4138/admin/" TargetMode="External"/><Relationship Id="rId1176" Type="http://schemas.openxmlformats.org/officeDocument/2006/relationships/hyperlink" Target="https://www.munzee.com/m/WiseOldWizard/4011/" TargetMode="External"/><Relationship Id="rId586" Type="http://schemas.openxmlformats.org/officeDocument/2006/relationships/hyperlink" Target="http://www.munzee.com" TargetMode="External"/><Relationship Id="rId1177" Type="http://schemas.openxmlformats.org/officeDocument/2006/relationships/hyperlink" Target="http://www.munzee.com" TargetMode="External"/><Relationship Id="rId585" Type="http://schemas.openxmlformats.org/officeDocument/2006/relationships/hyperlink" Target="https://www.munzee.com/m/TheFatCats/3866/" TargetMode="External"/><Relationship Id="rId1178" Type="http://schemas.openxmlformats.org/officeDocument/2006/relationships/hyperlink" Target="https://www.munzee.com/m/FromTheTardis/1416/" TargetMode="External"/><Relationship Id="rId584" Type="http://schemas.openxmlformats.org/officeDocument/2006/relationships/hyperlink" Target="http://www.munzee.com" TargetMode="External"/><Relationship Id="rId1179" Type="http://schemas.openxmlformats.org/officeDocument/2006/relationships/hyperlink" Target="http://www.munzee.com" TargetMode="External"/><Relationship Id="rId1169" Type="http://schemas.openxmlformats.org/officeDocument/2006/relationships/hyperlink" Target="http://www.munzee.com" TargetMode="External"/><Relationship Id="rId579" Type="http://schemas.openxmlformats.org/officeDocument/2006/relationships/hyperlink" Target="https://www.munzee.com/m/Franca/583/" TargetMode="External"/><Relationship Id="rId578" Type="http://schemas.openxmlformats.org/officeDocument/2006/relationships/hyperlink" Target="http://www.munzee.com" TargetMode="External"/><Relationship Id="rId577" Type="http://schemas.openxmlformats.org/officeDocument/2006/relationships/hyperlink" Target="https://www.munzee.com/m/TheFatCats/3639/" TargetMode="External"/><Relationship Id="rId2490" Type="http://schemas.openxmlformats.org/officeDocument/2006/relationships/hyperlink" Target="https://www.munzee.com/m/ArtofEco/3657/" TargetMode="External"/><Relationship Id="rId1160" Type="http://schemas.openxmlformats.org/officeDocument/2006/relationships/hyperlink" Target="https://www.munzee.com/m/Niks13/608/" TargetMode="External"/><Relationship Id="rId2491" Type="http://schemas.openxmlformats.org/officeDocument/2006/relationships/hyperlink" Target="http://www.munzee.com" TargetMode="External"/><Relationship Id="rId572" Type="http://schemas.openxmlformats.org/officeDocument/2006/relationships/hyperlink" Target="http://www.munzee.com" TargetMode="External"/><Relationship Id="rId1161" Type="http://schemas.openxmlformats.org/officeDocument/2006/relationships/hyperlink" Target="http://www.munzee.com" TargetMode="External"/><Relationship Id="rId2492" Type="http://schemas.openxmlformats.org/officeDocument/2006/relationships/hyperlink" Target="https://www.munzee.com/m/J1Huisman/13699/" TargetMode="External"/><Relationship Id="rId571" Type="http://schemas.openxmlformats.org/officeDocument/2006/relationships/hyperlink" Target="https://www.munzee.com/m/xrayneex/1412/" TargetMode="External"/><Relationship Id="rId1162" Type="http://schemas.openxmlformats.org/officeDocument/2006/relationships/hyperlink" Target="https://www.munzee.com/m/lison55/5414/" TargetMode="External"/><Relationship Id="rId2493" Type="http://schemas.openxmlformats.org/officeDocument/2006/relationships/hyperlink" Target="http://www.munzee.com" TargetMode="External"/><Relationship Id="rId570" Type="http://schemas.openxmlformats.org/officeDocument/2006/relationships/hyperlink" Target="http://www.munzee.com" TargetMode="External"/><Relationship Id="rId1163" Type="http://schemas.openxmlformats.org/officeDocument/2006/relationships/hyperlink" Target="http://www.munzee.com" TargetMode="External"/><Relationship Id="rId2494" Type="http://schemas.openxmlformats.org/officeDocument/2006/relationships/hyperlink" Target="https://www.munzee.com/m/fsafranek/5469/" TargetMode="External"/><Relationship Id="rId1164" Type="http://schemas.openxmlformats.org/officeDocument/2006/relationships/hyperlink" Target="https://www.munzee.com/m/J1Huisman/11439/" TargetMode="External"/><Relationship Id="rId2495" Type="http://schemas.openxmlformats.org/officeDocument/2006/relationships/hyperlink" Target="http://www.munzee.com" TargetMode="External"/><Relationship Id="rId576" Type="http://schemas.openxmlformats.org/officeDocument/2006/relationships/hyperlink" Target="http://www.munzee.com" TargetMode="External"/><Relationship Id="rId1165" Type="http://schemas.openxmlformats.org/officeDocument/2006/relationships/hyperlink" Target="http://www.munzee.com" TargetMode="External"/><Relationship Id="rId2496" Type="http://schemas.openxmlformats.org/officeDocument/2006/relationships/hyperlink" Target="https://www.munzee.com/m/rita85gto/3823/" TargetMode="External"/><Relationship Id="rId575" Type="http://schemas.openxmlformats.org/officeDocument/2006/relationships/hyperlink" Target="https://www.munzee.com/m/cbf600/2297/admin/convert/" TargetMode="External"/><Relationship Id="rId1166" Type="http://schemas.openxmlformats.org/officeDocument/2006/relationships/hyperlink" Target="https://www.munzee.com/m/Pinkeltje/1302/" TargetMode="External"/><Relationship Id="rId2497" Type="http://schemas.openxmlformats.org/officeDocument/2006/relationships/hyperlink" Target="http://www.munzee.com" TargetMode="External"/><Relationship Id="rId574" Type="http://schemas.openxmlformats.org/officeDocument/2006/relationships/hyperlink" Target="http://www.munzee.com" TargetMode="External"/><Relationship Id="rId1167" Type="http://schemas.openxmlformats.org/officeDocument/2006/relationships/hyperlink" Target="http://www.munzee.com" TargetMode="External"/><Relationship Id="rId2498" Type="http://schemas.openxmlformats.org/officeDocument/2006/relationships/hyperlink" Target="https://www.munzee.com/m/xrayneex/2622/" TargetMode="External"/><Relationship Id="rId573" Type="http://schemas.openxmlformats.org/officeDocument/2006/relationships/hyperlink" Target="https://www.munzee.com/m/Aniara/6583/" TargetMode="External"/><Relationship Id="rId1168" Type="http://schemas.openxmlformats.org/officeDocument/2006/relationships/hyperlink" Target="https://www.munzee.com/m/Lanyasummer/4430/" TargetMode="External"/><Relationship Id="rId2499" Type="http://schemas.openxmlformats.org/officeDocument/2006/relationships/hyperlink" Target="http://www.munzee.com" TargetMode="External"/><Relationship Id="rId1190" Type="http://schemas.openxmlformats.org/officeDocument/2006/relationships/hyperlink" Target="https://www.munzee.com/m/IggiePiggie/1971/" TargetMode="External"/><Relationship Id="rId1191" Type="http://schemas.openxmlformats.org/officeDocument/2006/relationships/hyperlink" Target="http://www.munzee.com" TargetMode="External"/><Relationship Id="rId1192" Type="http://schemas.openxmlformats.org/officeDocument/2006/relationships/hyperlink" Target="https://www.munzee.com/m/FlatBlack/689" TargetMode="External"/><Relationship Id="rId1193" Type="http://schemas.openxmlformats.org/officeDocument/2006/relationships/hyperlink" Target="http://www.munzee.com" TargetMode="External"/><Relationship Id="rId1194" Type="http://schemas.openxmlformats.org/officeDocument/2006/relationships/hyperlink" Target="https://www.munzee.com/m/Derlame/12561/" TargetMode="External"/><Relationship Id="rId1195" Type="http://schemas.openxmlformats.org/officeDocument/2006/relationships/hyperlink" Target="http://www.munzee.com" TargetMode="External"/><Relationship Id="rId1196" Type="http://schemas.openxmlformats.org/officeDocument/2006/relationships/hyperlink" Target="https://www.munzee.com/m/5Star/4693/" TargetMode="External"/><Relationship Id="rId1197" Type="http://schemas.openxmlformats.org/officeDocument/2006/relationships/hyperlink" Target="http://www.munzee.com" TargetMode="External"/><Relationship Id="rId1198" Type="http://schemas.openxmlformats.org/officeDocument/2006/relationships/hyperlink" Target="https://www.munzee.com/m/cbf600/2437/admin/convert/" TargetMode="External"/><Relationship Id="rId1199" Type="http://schemas.openxmlformats.org/officeDocument/2006/relationships/hyperlink" Target="http://www.munzee.com" TargetMode="External"/><Relationship Id="rId599" Type="http://schemas.openxmlformats.org/officeDocument/2006/relationships/hyperlink" Target="https://www.munzee.com/m/Anetzet/2636/" TargetMode="External"/><Relationship Id="rId1180" Type="http://schemas.openxmlformats.org/officeDocument/2006/relationships/hyperlink" Target="https://www.munzee.com/m/barefootguru/3158/" TargetMode="External"/><Relationship Id="rId1181" Type="http://schemas.openxmlformats.org/officeDocument/2006/relationships/hyperlink" Target="http://www.munzee.com" TargetMode="External"/><Relationship Id="rId1182" Type="http://schemas.openxmlformats.org/officeDocument/2006/relationships/hyperlink" Target="https://www.munzee.com/m/Wangotango/1284" TargetMode="External"/><Relationship Id="rId594" Type="http://schemas.openxmlformats.org/officeDocument/2006/relationships/hyperlink" Target="http://www.munzee.com" TargetMode="External"/><Relationship Id="rId1183" Type="http://schemas.openxmlformats.org/officeDocument/2006/relationships/hyperlink" Target="http://www.munzee.com" TargetMode="External"/><Relationship Id="rId593" Type="http://schemas.openxmlformats.org/officeDocument/2006/relationships/hyperlink" Target="https://www.munzee.com/m/Fossillady/3396/" TargetMode="External"/><Relationship Id="rId1184" Type="http://schemas.openxmlformats.org/officeDocument/2006/relationships/hyperlink" Target="https://www.munzee.com/m/GroteSufferd/410/admin/" TargetMode="External"/><Relationship Id="rId592" Type="http://schemas.openxmlformats.org/officeDocument/2006/relationships/hyperlink" Target="http://www.munzee.com" TargetMode="External"/><Relationship Id="rId1185" Type="http://schemas.openxmlformats.org/officeDocument/2006/relationships/hyperlink" Target="http://www.munzee.com" TargetMode="External"/><Relationship Id="rId591" Type="http://schemas.openxmlformats.org/officeDocument/2006/relationships/hyperlink" Target="https://www.munzee.com/m/Questing4/7158" TargetMode="External"/><Relationship Id="rId1186" Type="http://schemas.openxmlformats.org/officeDocument/2006/relationships/hyperlink" Target="https://www.munzee.com/m/Anetzet/2923/" TargetMode="External"/><Relationship Id="rId598" Type="http://schemas.openxmlformats.org/officeDocument/2006/relationships/hyperlink" Target="http://www.munzee.com" TargetMode="External"/><Relationship Id="rId1187" Type="http://schemas.openxmlformats.org/officeDocument/2006/relationships/hyperlink" Target="http://www.munzee.com" TargetMode="External"/><Relationship Id="rId597" Type="http://schemas.openxmlformats.org/officeDocument/2006/relationships/hyperlink" Target="https://www.munzee.com/m/BrotherWilliam/4143/admin/" TargetMode="External"/><Relationship Id="rId1188" Type="http://schemas.openxmlformats.org/officeDocument/2006/relationships/hyperlink" Target="https://www.munzee.com/m/denali0407/14437/" TargetMode="External"/><Relationship Id="rId596" Type="http://schemas.openxmlformats.org/officeDocument/2006/relationships/hyperlink" Target="http://www.munzee.com" TargetMode="External"/><Relationship Id="rId1189" Type="http://schemas.openxmlformats.org/officeDocument/2006/relationships/hyperlink" Target="http://www.munzee.com" TargetMode="External"/><Relationship Id="rId595" Type="http://schemas.openxmlformats.org/officeDocument/2006/relationships/hyperlink" Target="https://www.munzee.com/m/amundadus/1378/admin/" TargetMode="External"/><Relationship Id="rId1136" Type="http://schemas.openxmlformats.org/officeDocument/2006/relationships/hyperlink" Target="https://www.munzee.com/m/GroteSufferd/402/admin/" TargetMode="External"/><Relationship Id="rId2467" Type="http://schemas.openxmlformats.org/officeDocument/2006/relationships/hyperlink" Target="http://www.munzee.com" TargetMode="External"/><Relationship Id="rId1137" Type="http://schemas.openxmlformats.org/officeDocument/2006/relationships/hyperlink" Target="http://www.munzee.com" TargetMode="External"/><Relationship Id="rId2468" Type="http://schemas.openxmlformats.org/officeDocument/2006/relationships/hyperlink" Target="https://www.munzee.com/m/djeagle/7361/" TargetMode="External"/><Relationship Id="rId1138" Type="http://schemas.openxmlformats.org/officeDocument/2006/relationships/hyperlink" Target="https://www.munzee.com/m/BrotherWilliam/4277/" TargetMode="External"/><Relationship Id="rId2469" Type="http://schemas.openxmlformats.org/officeDocument/2006/relationships/hyperlink" Target="http://www.munzee.com" TargetMode="External"/><Relationship Id="rId1139" Type="http://schemas.openxmlformats.org/officeDocument/2006/relationships/hyperlink" Target="http://www.munzee.com" TargetMode="External"/><Relationship Id="rId547" Type="http://schemas.openxmlformats.org/officeDocument/2006/relationships/hyperlink" Target="https://www.munzee.com/m/Anetzet/2663/" TargetMode="External"/><Relationship Id="rId546" Type="http://schemas.openxmlformats.org/officeDocument/2006/relationships/hyperlink" Target="http://www.munzee.com" TargetMode="External"/><Relationship Id="rId545" Type="http://schemas.openxmlformats.org/officeDocument/2006/relationships/hyperlink" Target="https://www.munzee.com/m/fsafranek/4191/" TargetMode="External"/><Relationship Id="rId544" Type="http://schemas.openxmlformats.org/officeDocument/2006/relationships/hyperlink" Target="http://www.munzee.com" TargetMode="External"/><Relationship Id="rId549" Type="http://schemas.openxmlformats.org/officeDocument/2006/relationships/hyperlink" Target="https://www.munzee.com/m/Lanyasummer/4065/" TargetMode="External"/><Relationship Id="rId548" Type="http://schemas.openxmlformats.org/officeDocument/2006/relationships/hyperlink" Target="http://www.munzee.com" TargetMode="External"/><Relationship Id="rId2460" Type="http://schemas.openxmlformats.org/officeDocument/2006/relationships/hyperlink" Target="https://www.munzee.com/m/Anetzet/4998/" TargetMode="External"/><Relationship Id="rId1130" Type="http://schemas.openxmlformats.org/officeDocument/2006/relationships/hyperlink" Target="https://www.munzee.com/m/fsafranek/4294/" TargetMode="External"/><Relationship Id="rId2461" Type="http://schemas.openxmlformats.org/officeDocument/2006/relationships/hyperlink" Target="http://www.munzee.com" TargetMode="External"/><Relationship Id="rId1131" Type="http://schemas.openxmlformats.org/officeDocument/2006/relationships/hyperlink" Target="http://www.munzee.com" TargetMode="External"/><Relationship Id="rId2462" Type="http://schemas.openxmlformats.org/officeDocument/2006/relationships/hyperlink" Target="https://www.munzee.com/m/amundadus/1541/" TargetMode="External"/><Relationship Id="rId543" Type="http://schemas.openxmlformats.org/officeDocument/2006/relationships/hyperlink" Target="https://www.munzee.com/m/JackSparrow/19460" TargetMode="External"/><Relationship Id="rId1132" Type="http://schemas.openxmlformats.org/officeDocument/2006/relationships/hyperlink" Target="https://www.munzee.com/m/TheFatCats/3871/" TargetMode="External"/><Relationship Id="rId2463" Type="http://schemas.openxmlformats.org/officeDocument/2006/relationships/hyperlink" Target="http://www.munzee.com" TargetMode="External"/><Relationship Id="rId542" Type="http://schemas.openxmlformats.org/officeDocument/2006/relationships/hyperlink" Target="http://www.munzee.com" TargetMode="External"/><Relationship Id="rId1133" Type="http://schemas.openxmlformats.org/officeDocument/2006/relationships/hyperlink" Target="http://www.munzee.com" TargetMode="External"/><Relationship Id="rId2464" Type="http://schemas.openxmlformats.org/officeDocument/2006/relationships/hyperlink" Target="https://www.munzee.com/m/sverlaan/7197/" TargetMode="External"/><Relationship Id="rId541" Type="http://schemas.openxmlformats.org/officeDocument/2006/relationships/hyperlink" Target="https://www.munzee.com/m/Pinkeltje/982/" TargetMode="External"/><Relationship Id="rId1134" Type="http://schemas.openxmlformats.org/officeDocument/2006/relationships/hyperlink" Target="https://www.munzee.com/m/amadoreugen/5767" TargetMode="External"/><Relationship Id="rId2465" Type="http://schemas.openxmlformats.org/officeDocument/2006/relationships/hyperlink" Target="http://www.munzee.com" TargetMode="External"/><Relationship Id="rId540" Type="http://schemas.openxmlformats.org/officeDocument/2006/relationships/hyperlink" Target="http://www.munzee.com" TargetMode="External"/><Relationship Id="rId1135" Type="http://schemas.openxmlformats.org/officeDocument/2006/relationships/hyperlink" Target="http://www.munzee.com" TargetMode="External"/><Relationship Id="rId2466" Type="http://schemas.openxmlformats.org/officeDocument/2006/relationships/hyperlink" Target="https://www.munzee.com/m/Chaotix/578/" TargetMode="External"/><Relationship Id="rId1125" Type="http://schemas.openxmlformats.org/officeDocument/2006/relationships/hyperlink" Target="http://www.munzee.com" TargetMode="External"/><Relationship Id="rId2456" Type="http://schemas.openxmlformats.org/officeDocument/2006/relationships/hyperlink" Target="https://www.munzee.com/m/TheFrog/5822/" TargetMode="External"/><Relationship Id="rId1126" Type="http://schemas.openxmlformats.org/officeDocument/2006/relationships/hyperlink" Target="https://www.munzee.com/m/Bungle/3149" TargetMode="External"/><Relationship Id="rId2457" Type="http://schemas.openxmlformats.org/officeDocument/2006/relationships/hyperlink" Target="http://www.munzee.com" TargetMode="External"/><Relationship Id="rId1127" Type="http://schemas.openxmlformats.org/officeDocument/2006/relationships/hyperlink" Target="http://www.munzee.com" TargetMode="External"/><Relationship Id="rId2458" Type="http://schemas.openxmlformats.org/officeDocument/2006/relationships/hyperlink" Target="https://www.munzee.com/m/123xilef/13723/" TargetMode="External"/><Relationship Id="rId1128" Type="http://schemas.openxmlformats.org/officeDocument/2006/relationships/hyperlink" Target="https://www.munzee.com/m/mding4gold/4864" TargetMode="External"/><Relationship Id="rId2459" Type="http://schemas.openxmlformats.org/officeDocument/2006/relationships/hyperlink" Target="http://www.munzee.com" TargetMode="External"/><Relationship Id="rId1129" Type="http://schemas.openxmlformats.org/officeDocument/2006/relationships/hyperlink" Target="http://www.munzee.com" TargetMode="External"/><Relationship Id="rId536" Type="http://schemas.openxmlformats.org/officeDocument/2006/relationships/hyperlink" Target="http://www.munzee.com" TargetMode="External"/><Relationship Id="rId535" Type="http://schemas.openxmlformats.org/officeDocument/2006/relationships/hyperlink" Target="https://www.munzee.com/m/Niks13/518/" TargetMode="External"/><Relationship Id="rId534" Type="http://schemas.openxmlformats.org/officeDocument/2006/relationships/hyperlink" Target="http://www.munzee.com" TargetMode="External"/><Relationship Id="rId533" Type="http://schemas.openxmlformats.org/officeDocument/2006/relationships/hyperlink" Target="https://www.munzee.com/m/Tinake1309/713" TargetMode="External"/><Relationship Id="rId539" Type="http://schemas.openxmlformats.org/officeDocument/2006/relationships/hyperlink" Target="https://www.munzee.com/m/J1Huisman/11140/" TargetMode="External"/><Relationship Id="rId538" Type="http://schemas.openxmlformats.org/officeDocument/2006/relationships/hyperlink" Target="http://www.munzee.com" TargetMode="External"/><Relationship Id="rId537" Type="http://schemas.openxmlformats.org/officeDocument/2006/relationships/hyperlink" Target="https://www.munzee.com/m/Berg14/547" TargetMode="External"/><Relationship Id="rId2450" Type="http://schemas.openxmlformats.org/officeDocument/2006/relationships/hyperlink" Target="https://www.munzee.com/m/Franca/3143/" TargetMode="External"/><Relationship Id="rId1120" Type="http://schemas.openxmlformats.org/officeDocument/2006/relationships/hyperlink" Target="https://www.munzee.com/m/TheFrog/4234/" TargetMode="External"/><Relationship Id="rId2451" Type="http://schemas.openxmlformats.org/officeDocument/2006/relationships/hyperlink" Target="http://www.munzee.com" TargetMode="External"/><Relationship Id="rId532" Type="http://schemas.openxmlformats.org/officeDocument/2006/relationships/hyperlink" Target="http://www.munzee.com" TargetMode="External"/><Relationship Id="rId1121" Type="http://schemas.openxmlformats.org/officeDocument/2006/relationships/hyperlink" Target="http://www.munzee.com" TargetMode="External"/><Relationship Id="rId2452" Type="http://schemas.openxmlformats.org/officeDocument/2006/relationships/hyperlink" Target="https://www.munzee.com/m/Girlteddy5/110/" TargetMode="External"/><Relationship Id="rId531" Type="http://schemas.openxmlformats.org/officeDocument/2006/relationships/hyperlink" Target="https://www.munzee.com/m/Drazoria/718" TargetMode="External"/><Relationship Id="rId1122" Type="http://schemas.openxmlformats.org/officeDocument/2006/relationships/hyperlink" Target="https://www.munzee.com/m/123xilef/6605/" TargetMode="External"/><Relationship Id="rId2453" Type="http://schemas.openxmlformats.org/officeDocument/2006/relationships/hyperlink" Target="http://www.munzee.com" TargetMode="External"/><Relationship Id="rId530" Type="http://schemas.openxmlformats.org/officeDocument/2006/relationships/hyperlink" Target="http://www.munzee.com" TargetMode="External"/><Relationship Id="rId1123" Type="http://schemas.openxmlformats.org/officeDocument/2006/relationships/hyperlink" Target="http://www.munzee.com" TargetMode="External"/><Relationship Id="rId2454" Type="http://schemas.openxmlformats.org/officeDocument/2006/relationships/hyperlink" Target="https://www.munzee.com/m/MeanderingMonkeys/22568/" TargetMode="External"/><Relationship Id="rId1124" Type="http://schemas.openxmlformats.org/officeDocument/2006/relationships/hyperlink" Target="https://www.munzee.com/m/TheFatCats/3486/" TargetMode="External"/><Relationship Id="rId2455" Type="http://schemas.openxmlformats.org/officeDocument/2006/relationships/hyperlink" Target="http://www.munzee.com" TargetMode="External"/><Relationship Id="rId1158" Type="http://schemas.openxmlformats.org/officeDocument/2006/relationships/hyperlink" Target="https://www.munzee.com/m/Berg14/613/" TargetMode="External"/><Relationship Id="rId2489" Type="http://schemas.openxmlformats.org/officeDocument/2006/relationships/hyperlink" Target="http://www.munzee.com" TargetMode="External"/><Relationship Id="rId1159" Type="http://schemas.openxmlformats.org/officeDocument/2006/relationships/hyperlink" Target="http://www.munzee.com" TargetMode="External"/><Relationship Id="rId569" Type="http://schemas.openxmlformats.org/officeDocument/2006/relationships/hyperlink" Target="https://www.munzee.com/m/GroteSufferd/367/admin/" TargetMode="External"/><Relationship Id="rId568" Type="http://schemas.openxmlformats.org/officeDocument/2006/relationships/hyperlink" Target="http://www.munzee.com" TargetMode="External"/><Relationship Id="rId567" Type="http://schemas.openxmlformats.org/officeDocument/2006/relationships/hyperlink" Target="https://www.munzee.com/m/WiseOldWizard/3961/" TargetMode="External"/><Relationship Id="rId566" Type="http://schemas.openxmlformats.org/officeDocument/2006/relationships/hyperlink" Target="http://www.munzee.com" TargetMode="External"/><Relationship Id="rId2480" Type="http://schemas.openxmlformats.org/officeDocument/2006/relationships/hyperlink" Target="https://www.munzee.com/m/belladivadee/3263/" TargetMode="External"/><Relationship Id="rId561" Type="http://schemas.openxmlformats.org/officeDocument/2006/relationships/hyperlink" Target="https://www.munzee.com/m/Bambinacattiva/656" TargetMode="External"/><Relationship Id="rId1150" Type="http://schemas.openxmlformats.org/officeDocument/2006/relationships/hyperlink" Target="https://www.munzee.com/m/EmileP68/3159/" TargetMode="External"/><Relationship Id="rId2481" Type="http://schemas.openxmlformats.org/officeDocument/2006/relationships/hyperlink" Target="http://www.munzee.com" TargetMode="External"/><Relationship Id="rId560" Type="http://schemas.openxmlformats.org/officeDocument/2006/relationships/hyperlink" Target="http://www.munzee.com" TargetMode="External"/><Relationship Id="rId1151" Type="http://schemas.openxmlformats.org/officeDocument/2006/relationships/hyperlink" Target="http://www.munzee.com" TargetMode="External"/><Relationship Id="rId2482" Type="http://schemas.openxmlformats.org/officeDocument/2006/relationships/hyperlink" Target="https://www.munzee.com/m/sverlaan/6206/" TargetMode="External"/><Relationship Id="rId1152" Type="http://schemas.openxmlformats.org/officeDocument/2006/relationships/hyperlink" Target="https://www.munzee.com/m/OdinsFiRe/1642/" TargetMode="External"/><Relationship Id="rId2483" Type="http://schemas.openxmlformats.org/officeDocument/2006/relationships/hyperlink" Target="http://www.munzee.com" TargetMode="External"/><Relationship Id="rId1153" Type="http://schemas.openxmlformats.org/officeDocument/2006/relationships/hyperlink" Target="http://www.munzee.com" TargetMode="External"/><Relationship Id="rId2484" Type="http://schemas.openxmlformats.org/officeDocument/2006/relationships/hyperlink" Target="https://www.munzee.com/m/PawPatrolThomas/4199/" TargetMode="External"/><Relationship Id="rId565" Type="http://schemas.openxmlformats.org/officeDocument/2006/relationships/hyperlink" Target="https://www.munzee.com/m/barefootguru/3114/" TargetMode="External"/><Relationship Id="rId1154" Type="http://schemas.openxmlformats.org/officeDocument/2006/relationships/hyperlink" Target="https://www.munzee.com/m/Drazoria/793/" TargetMode="External"/><Relationship Id="rId2485" Type="http://schemas.openxmlformats.org/officeDocument/2006/relationships/hyperlink" Target="http://www.munzee.com" TargetMode="External"/><Relationship Id="rId564" Type="http://schemas.openxmlformats.org/officeDocument/2006/relationships/hyperlink" Target="http://www.munzee.com" TargetMode="External"/><Relationship Id="rId1155" Type="http://schemas.openxmlformats.org/officeDocument/2006/relationships/hyperlink" Target="http://www.munzee.com" TargetMode="External"/><Relationship Id="rId2486" Type="http://schemas.openxmlformats.org/officeDocument/2006/relationships/hyperlink" Target="https://www.munzee.com/m/EmileP68/5008/" TargetMode="External"/><Relationship Id="rId563" Type="http://schemas.openxmlformats.org/officeDocument/2006/relationships/hyperlink" Target="https://www.munzee.com/m/5Star/5583/" TargetMode="External"/><Relationship Id="rId1156" Type="http://schemas.openxmlformats.org/officeDocument/2006/relationships/hyperlink" Target="https://www.munzee.com/m/Tinake1309/768/" TargetMode="External"/><Relationship Id="rId2487" Type="http://schemas.openxmlformats.org/officeDocument/2006/relationships/hyperlink" Target="http://www.munzee.com" TargetMode="External"/><Relationship Id="rId562" Type="http://schemas.openxmlformats.org/officeDocument/2006/relationships/hyperlink" Target="http://www.munzee.com" TargetMode="External"/><Relationship Id="rId1157" Type="http://schemas.openxmlformats.org/officeDocument/2006/relationships/hyperlink" Target="http://www.munzee.com" TargetMode="External"/><Relationship Id="rId2488" Type="http://schemas.openxmlformats.org/officeDocument/2006/relationships/hyperlink" Target="https://www.munzee.com/m/BrotherWilliam/5386/" TargetMode="External"/><Relationship Id="rId1147" Type="http://schemas.openxmlformats.org/officeDocument/2006/relationships/hyperlink" Target="http://www.munzee.com" TargetMode="External"/><Relationship Id="rId2478" Type="http://schemas.openxmlformats.org/officeDocument/2006/relationships/hyperlink" Target="https://www.munzee.com/m/Anseldelux/1270/" TargetMode="External"/><Relationship Id="rId1148" Type="http://schemas.openxmlformats.org/officeDocument/2006/relationships/hyperlink" Target="https://www.munzee.com/m/PawPatrolThomas/2458/" TargetMode="External"/><Relationship Id="rId2479" Type="http://schemas.openxmlformats.org/officeDocument/2006/relationships/hyperlink" Target="http://www.munzee.com" TargetMode="External"/><Relationship Id="rId1149" Type="http://schemas.openxmlformats.org/officeDocument/2006/relationships/hyperlink" Target="http://www.munzee.com" TargetMode="External"/><Relationship Id="rId558" Type="http://schemas.openxmlformats.org/officeDocument/2006/relationships/hyperlink" Target="http://www.munzee.com" TargetMode="External"/><Relationship Id="rId557" Type="http://schemas.openxmlformats.org/officeDocument/2006/relationships/hyperlink" Target="https://www.munzee.com/m/lison55/5269/" TargetMode="External"/><Relationship Id="rId556" Type="http://schemas.openxmlformats.org/officeDocument/2006/relationships/hyperlink" Target="http://www.munzee.com" TargetMode="External"/><Relationship Id="rId555" Type="http://schemas.openxmlformats.org/officeDocument/2006/relationships/hyperlink" Target="https://www.munzee.com/m/Bambinacattiva/650" TargetMode="External"/><Relationship Id="rId559" Type="http://schemas.openxmlformats.org/officeDocument/2006/relationships/hyperlink" Target="https://www.munzee.com/m/IggiePiggie/1789/" TargetMode="External"/><Relationship Id="rId550" Type="http://schemas.openxmlformats.org/officeDocument/2006/relationships/hyperlink" Target="http://www.munzee.com" TargetMode="External"/><Relationship Id="rId2470" Type="http://schemas.openxmlformats.org/officeDocument/2006/relationships/hyperlink" Target="https://www.munzee.com/m/McCormick64/1455/" TargetMode="External"/><Relationship Id="rId1140" Type="http://schemas.openxmlformats.org/officeDocument/2006/relationships/hyperlink" Target="https://www.munzee.com/m/ArtofEco/3081/admin/" TargetMode="External"/><Relationship Id="rId2471" Type="http://schemas.openxmlformats.org/officeDocument/2006/relationships/hyperlink" Target="http://www.munzee.com" TargetMode="External"/><Relationship Id="rId1141" Type="http://schemas.openxmlformats.org/officeDocument/2006/relationships/hyperlink" Target="http://www.munzee.com" TargetMode="External"/><Relationship Id="rId2472" Type="http://schemas.openxmlformats.org/officeDocument/2006/relationships/hyperlink" Target="https://www.munzee.com/m/5Star/9439/" TargetMode="External"/><Relationship Id="rId1142" Type="http://schemas.openxmlformats.org/officeDocument/2006/relationships/hyperlink" Target="https://www.munzee.com/m/Fossillady/3478" TargetMode="External"/><Relationship Id="rId2473" Type="http://schemas.openxmlformats.org/officeDocument/2006/relationships/hyperlink" Target="http://www.munzee.com" TargetMode="External"/><Relationship Id="rId554" Type="http://schemas.openxmlformats.org/officeDocument/2006/relationships/hyperlink" Target="http://www.munzee.com" TargetMode="External"/><Relationship Id="rId1143" Type="http://schemas.openxmlformats.org/officeDocument/2006/relationships/hyperlink" Target="http://www.munzee.com" TargetMode="External"/><Relationship Id="rId2474" Type="http://schemas.openxmlformats.org/officeDocument/2006/relationships/hyperlink" Target="https://www.munzee.com/m/Arendsoog/8816/" TargetMode="External"/><Relationship Id="rId553" Type="http://schemas.openxmlformats.org/officeDocument/2006/relationships/hyperlink" Target="https://www.munzee.com/m/FromTheTardis/1354/" TargetMode="External"/><Relationship Id="rId1144" Type="http://schemas.openxmlformats.org/officeDocument/2006/relationships/hyperlink" Target="https://www.munzee.com/m/belladivadee/3124/" TargetMode="External"/><Relationship Id="rId2475" Type="http://schemas.openxmlformats.org/officeDocument/2006/relationships/hyperlink" Target="http://www.munzee.com" TargetMode="External"/><Relationship Id="rId552" Type="http://schemas.openxmlformats.org/officeDocument/2006/relationships/hyperlink" Target="http://www.munzee.com" TargetMode="External"/><Relationship Id="rId1145" Type="http://schemas.openxmlformats.org/officeDocument/2006/relationships/hyperlink" Target="http://www.munzee.com" TargetMode="External"/><Relationship Id="rId2476" Type="http://schemas.openxmlformats.org/officeDocument/2006/relationships/hyperlink" Target="https://www.munzee.com/m/Anetzet/7207/" TargetMode="External"/><Relationship Id="rId551" Type="http://schemas.openxmlformats.org/officeDocument/2006/relationships/hyperlink" Target="https://www.munzee.com/m/babyw/3054/" TargetMode="External"/><Relationship Id="rId1146" Type="http://schemas.openxmlformats.org/officeDocument/2006/relationships/hyperlink" Target="https://www.munzee.com/m/sverlaan/4397/" TargetMode="External"/><Relationship Id="rId2477" Type="http://schemas.openxmlformats.org/officeDocument/2006/relationships/hyperlink" Target="http://www.munzee.com" TargetMode="External"/><Relationship Id="rId495" Type="http://schemas.openxmlformats.org/officeDocument/2006/relationships/hyperlink" Target="https://www.munzee.com/m/wally62/4798/" TargetMode="External"/><Relationship Id="rId494" Type="http://schemas.openxmlformats.org/officeDocument/2006/relationships/hyperlink" Target="http://www.munzee.com" TargetMode="External"/><Relationship Id="rId493" Type="http://schemas.openxmlformats.org/officeDocument/2006/relationships/hyperlink" Target="https://www.munzee.com/m/FlatBlack/722/" TargetMode="External"/><Relationship Id="rId492" Type="http://schemas.openxmlformats.org/officeDocument/2006/relationships/hyperlink" Target="http://www.munzee.com" TargetMode="External"/><Relationship Id="rId499" Type="http://schemas.openxmlformats.org/officeDocument/2006/relationships/hyperlink" Target="https://www.munzee.com/m/123xilef/6713/" TargetMode="External"/><Relationship Id="rId498" Type="http://schemas.openxmlformats.org/officeDocument/2006/relationships/hyperlink" Target="http://www.munzee.com" TargetMode="External"/><Relationship Id="rId497" Type="http://schemas.openxmlformats.org/officeDocument/2006/relationships/hyperlink" Target="https://www.munzee.com/m/TheFrog/4071/" TargetMode="External"/><Relationship Id="rId496" Type="http://schemas.openxmlformats.org/officeDocument/2006/relationships/hyperlink" Target="http://www.munzee.com" TargetMode="External"/><Relationship Id="rId1213" Type="http://schemas.openxmlformats.org/officeDocument/2006/relationships/hyperlink" Target="http://www.munzee.com" TargetMode="External"/><Relationship Id="rId2544" Type="http://schemas.openxmlformats.org/officeDocument/2006/relationships/hyperlink" Target="https://www.munzee.com/m/PawPatrolThomas/4172/" TargetMode="External"/><Relationship Id="rId1214" Type="http://schemas.openxmlformats.org/officeDocument/2006/relationships/hyperlink" Target="https://www.munzee.com/m/ArtofEco/3052/admin/" TargetMode="External"/><Relationship Id="rId2545" Type="http://schemas.openxmlformats.org/officeDocument/2006/relationships/hyperlink" Target="http://www.munzee.com" TargetMode="External"/><Relationship Id="rId1215" Type="http://schemas.openxmlformats.org/officeDocument/2006/relationships/hyperlink" Target="http://www.munzee.com" TargetMode="External"/><Relationship Id="rId2546" Type="http://schemas.openxmlformats.org/officeDocument/2006/relationships/hyperlink" Target="https://www.munzee.com/m/EmileP68/4929/" TargetMode="External"/><Relationship Id="rId1216" Type="http://schemas.openxmlformats.org/officeDocument/2006/relationships/hyperlink" Target="https://www.munzee.com/m/Dazzaf/4168/" TargetMode="External"/><Relationship Id="rId2547" Type="http://schemas.openxmlformats.org/officeDocument/2006/relationships/hyperlink" Target="http://www.munzee.com" TargetMode="External"/><Relationship Id="rId1217" Type="http://schemas.openxmlformats.org/officeDocument/2006/relationships/hyperlink" Target="http://www.munzee.com" TargetMode="External"/><Relationship Id="rId2548" Type="http://schemas.openxmlformats.org/officeDocument/2006/relationships/hyperlink" Target="https://www.munzee.com/m/BrotherWilliam/5439/" TargetMode="External"/><Relationship Id="rId1218" Type="http://schemas.openxmlformats.org/officeDocument/2006/relationships/hyperlink" Target="https://www.munzee.com/m/amadoreugen/5763" TargetMode="External"/><Relationship Id="rId2549" Type="http://schemas.openxmlformats.org/officeDocument/2006/relationships/hyperlink" Target="http://www.munzee.com" TargetMode="External"/><Relationship Id="rId1219" Type="http://schemas.openxmlformats.org/officeDocument/2006/relationships/hyperlink" Target="http://www.munzee.com" TargetMode="External"/><Relationship Id="rId2540" Type="http://schemas.openxmlformats.org/officeDocument/2006/relationships/hyperlink" Target="https://www.munzee.com/m/raunas/12272" TargetMode="External"/><Relationship Id="rId1210" Type="http://schemas.openxmlformats.org/officeDocument/2006/relationships/hyperlink" Target="https://www.munzee.com/m/Fossillady/3417" TargetMode="External"/><Relationship Id="rId2541" Type="http://schemas.openxmlformats.org/officeDocument/2006/relationships/hyperlink" Target="http://www.munzee.com" TargetMode="External"/><Relationship Id="rId1211" Type="http://schemas.openxmlformats.org/officeDocument/2006/relationships/hyperlink" Target="http://www.munzee.com" TargetMode="External"/><Relationship Id="rId2542" Type="http://schemas.openxmlformats.org/officeDocument/2006/relationships/hyperlink" Target="https://www.munzee.com/m/sverlaan/6174/" TargetMode="External"/><Relationship Id="rId1212" Type="http://schemas.openxmlformats.org/officeDocument/2006/relationships/hyperlink" Target="https://www.munzee.com/m/Bisquick2/4558/" TargetMode="External"/><Relationship Id="rId2543" Type="http://schemas.openxmlformats.org/officeDocument/2006/relationships/hyperlink" Target="http://www.munzee.com" TargetMode="External"/><Relationship Id="rId1202" Type="http://schemas.openxmlformats.org/officeDocument/2006/relationships/hyperlink" Target="https://www.munzee.com/m/TeamSarton/1208" TargetMode="External"/><Relationship Id="rId2533" Type="http://schemas.openxmlformats.org/officeDocument/2006/relationships/hyperlink" Target="http://www.munzee.com" TargetMode="External"/><Relationship Id="rId1203" Type="http://schemas.openxmlformats.org/officeDocument/2006/relationships/hyperlink" Target="http://www.munzee.com" TargetMode="External"/><Relationship Id="rId2534" Type="http://schemas.openxmlformats.org/officeDocument/2006/relationships/hyperlink" Target="https://www.munzee.com/m/res2100/760" TargetMode="External"/><Relationship Id="rId1204" Type="http://schemas.openxmlformats.org/officeDocument/2006/relationships/hyperlink" Target="https://www.munzee.com/m/BartWullems/5604" TargetMode="External"/><Relationship Id="rId2535" Type="http://schemas.openxmlformats.org/officeDocument/2006/relationships/hyperlink" Target="http://www.munzee.com" TargetMode="External"/><Relationship Id="rId1205" Type="http://schemas.openxmlformats.org/officeDocument/2006/relationships/hyperlink" Target="http://www.munzee.com" TargetMode="External"/><Relationship Id="rId2536" Type="http://schemas.openxmlformats.org/officeDocument/2006/relationships/hyperlink" Target="https://www.munzee.com/m/mortonfox/24218/" TargetMode="External"/><Relationship Id="rId1206" Type="http://schemas.openxmlformats.org/officeDocument/2006/relationships/hyperlink" Target="https://www.munzee.com/m/raftjen/2345" TargetMode="External"/><Relationship Id="rId2537" Type="http://schemas.openxmlformats.org/officeDocument/2006/relationships/hyperlink" Target="http://www.munzee.com" TargetMode="External"/><Relationship Id="rId1207" Type="http://schemas.openxmlformats.org/officeDocument/2006/relationships/hyperlink" Target="http://www.munzee.com" TargetMode="External"/><Relationship Id="rId2538" Type="http://schemas.openxmlformats.org/officeDocument/2006/relationships/hyperlink" Target="https://www.munzee.com/m/barefootguru/3670/" TargetMode="External"/><Relationship Id="rId1208" Type="http://schemas.openxmlformats.org/officeDocument/2006/relationships/hyperlink" Target="https://www.munzee.com/m/TheFatCats/3895/" TargetMode="External"/><Relationship Id="rId2539" Type="http://schemas.openxmlformats.org/officeDocument/2006/relationships/hyperlink" Target="http://www.munzee.com" TargetMode="External"/><Relationship Id="rId1209" Type="http://schemas.openxmlformats.org/officeDocument/2006/relationships/hyperlink" Target="http://www.munzee.com" TargetMode="External"/><Relationship Id="rId2530" Type="http://schemas.openxmlformats.org/officeDocument/2006/relationships/hyperlink" Target="https://www.munzee.com/m/TheFrog/5821/" TargetMode="External"/><Relationship Id="rId1200" Type="http://schemas.openxmlformats.org/officeDocument/2006/relationships/hyperlink" Target="https://www.munzee.com/m/BrotherWilliam/4092/admin/" TargetMode="External"/><Relationship Id="rId2531" Type="http://schemas.openxmlformats.org/officeDocument/2006/relationships/hyperlink" Target="http://www.munzee.com" TargetMode="External"/><Relationship Id="rId1201" Type="http://schemas.openxmlformats.org/officeDocument/2006/relationships/hyperlink" Target="http://www.munzee.com" TargetMode="External"/><Relationship Id="rId2532" Type="http://schemas.openxmlformats.org/officeDocument/2006/relationships/hyperlink" Target="https://www.munzee.com/m/123xilef/13720/" TargetMode="External"/><Relationship Id="rId1235" Type="http://schemas.openxmlformats.org/officeDocument/2006/relationships/hyperlink" Target="http://www.munzee.com" TargetMode="External"/><Relationship Id="rId2566" Type="http://schemas.openxmlformats.org/officeDocument/2006/relationships/hyperlink" Target="https://www.munzee.com/m/Tinake1309/1688/" TargetMode="External"/><Relationship Id="rId1236" Type="http://schemas.openxmlformats.org/officeDocument/2006/relationships/hyperlink" Target="https://www.munzee.com/m/Krauseengineer/2429" TargetMode="External"/><Relationship Id="rId2567" Type="http://schemas.openxmlformats.org/officeDocument/2006/relationships/hyperlink" Target="http://www.munzee.com" TargetMode="External"/><Relationship Id="rId1237" Type="http://schemas.openxmlformats.org/officeDocument/2006/relationships/hyperlink" Target="http://www.munzee.com" TargetMode="External"/><Relationship Id="rId2568" Type="http://schemas.openxmlformats.org/officeDocument/2006/relationships/hyperlink" Target="https://www.munzee.com/m/Berg14/1582/" TargetMode="External"/><Relationship Id="rId1238" Type="http://schemas.openxmlformats.org/officeDocument/2006/relationships/hyperlink" Target="https://www.munzee.com/m/amadoreugen/5762" TargetMode="External"/><Relationship Id="rId2569" Type="http://schemas.openxmlformats.org/officeDocument/2006/relationships/hyperlink" Target="http://www.munzee.com" TargetMode="External"/><Relationship Id="rId1239" Type="http://schemas.openxmlformats.org/officeDocument/2006/relationships/hyperlink" Target="http://www.munzee.com" TargetMode="External"/><Relationship Id="rId409" Type="http://schemas.openxmlformats.org/officeDocument/2006/relationships/hyperlink" Target="https://www.munzee.com/m/OdinsFiRe/1530/" TargetMode="External"/><Relationship Id="rId404" Type="http://schemas.openxmlformats.org/officeDocument/2006/relationships/hyperlink" Target="http://www.munzee.com" TargetMode="External"/><Relationship Id="rId403" Type="http://schemas.openxmlformats.org/officeDocument/2006/relationships/hyperlink" Target="https://www.munzee.com/m/sverlaan/4148/" TargetMode="External"/><Relationship Id="rId402" Type="http://schemas.openxmlformats.org/officeDocument/2006/relationships/hyperlink" Target="http://www.munzee.com" TargetMode="External"/><Relationship Id="rId401" Type="http://schemas.openxmlformats.org/officeDocument/2006/relationships/hyperlink" Target="https://www.munzee.com/m/LonelyWalker/466/" TargetMode="External"/><Relationship Id="rId408" Type="http://schemas.openxmlformats.org/officeDocument/2006/relationships/hyperlink" Target="http://www.munzee.com" TargetMode="External"/><Relationship Id="rId407" Type="http://schemas.openxmlformats.org/officeDocument/2006/relationships/hyperlink" Target="https://www.munzee.com/m/JackSparrow/19354" TargetMode="External"/><Relationship Id="rId406" Type="http://schemas.openxmlformats.org/officeDocument/2006/relationships/hyperlink" Target="http://www.munzee.com" TargetMode="External"/><Relationship Id="rId405" Type="http://schemas.openxmlformats.org/officeDocument/2006/relationships/hyperlink" Target="https://www.munzee.com/m/PawPatrolThomas/2193/" TargetMode="External"/><Relationship Id="rId2560" Type="http://schemas.openxmlformats.org/officeDocument/2006/relationships/hyperlink" Target="https://www.munzee.com/m/Bungle/11161" TargetMode="External"/><Relationship Id="rId1230" Type="http://schemas.openxmlformats.org/officeDocument/2006/relationships/hyperlink" Target="https://www.munzee.com/m/TheFatCats/3967/" TargetMode="External"/><Relationship Id="rId2561" Type="http://schemas.openxmlformats.org/officeDocument/2006/relationships/hyperlink" Target="http://www.munzee.com" TargetMode="External"/><Relationship Id="rId400" Type="http://schemas.openxmlformats.org/officeDocument/2006/relationships/hyperlink" Target="http://www.munzee.com" TargetMode="External"/><Relationship Id="rId1231" Type="http://schemas.openxmlformats.org/officeDocument/2006/relationships/hyperlink" Target="http://www.munzee.com" TargetMode="External"/><Relationship Id="rId2562" Type="http://schemas.openxmlformats.org/officeDocument/2006/relationships/hyperlink" Target="https://www.munzee.com/m/res2100/763" TargetMode="External"/><Relationship Id="rId1232" Type="http://schemas.openxmlformats.org/officeDocument/2006/relationships/hyperlink" Target="https://www.munzee.com/m/pawpatrolthomas/2672/" TargetMode="External"/><Relationship Id="rId2563" Type="http://schemas.openxmlformats.org/officeDocument/2006/relationships/hyperlink" Target="http://www.munzee.com" TargetMode="External"/><Relationship Id="rId1233" Type="http://schemas.openxmlformats.org/officeDocument/2006/relationships/hyperlink" Target="http://www.munzee.com" TargetMode="External"/><Relationship Id="rId2564" Type="http://schemas.openxmlformats.org/officeDocument/2006/relationships/hyperlink" Target="https://www.munzee.com/m/Drazoria/1650/" TargetMode="External"/><Relationship Id="rId1234" Type="http://schemas.openxmlformats.org/officeDocument/2006/relationships/hyperlink" Target="https://www.munzee.com/m/klc1960/1457/" TargetMode="External"/><Relationship Id="rId2565" Type="http://schemas.openxmlformats.org/officeDocument/2006/relationships/hyperlink" Target="http://www.munzee.com" TargetMode="External"/><Relationship Id="rId1224" Type="http://schemas.openxmlformats.org/officeDocument/2006/relationships/hyperlink" Target="https://www.munzee.com/m/TheFrog/4289/" TargetMode="External"/><Relationship Id="rId2555" Type="http://schemas.openxmlformats.org/officeDocument/2006/relationships/hyperlink" Target="http://www.munzee.com" TargetMode="External"/><Relationship Id="rId1225" Type="http://schemas.openxmlformats.org/officeDocument/2006/relationships/hyperlink" Target="http://www.munzee.com" TargetMode="External"/><Relationship Id="rId2556" Type="http://schemas.openxmlformats.org/officeDocument/2006/relationships/hyperlink" Target="https://www.munzee.com/m/rita85gto/3824/" TargetMode="External"/><Relationship Id="rId1226" Type="http://schemas.openxmlformats.org/officeDocument/2006/relationships/hyperlink" Target="https://www.munzee.com/m/123xilef/7254/" TargetMode="External"/><Relationship Id="rId2557" Type="http://schemas.openxmlformats.org/officeDocument/2006/relationships/hyperlink" Target="http://www.munzee.com" TargetMode="External"/><Relationship Id="rId1227" Type="http://schemas.openxmlformats.org/officeDocument/2006/relationships/hyperlink" Target="http://www.munzee.com" TargetMode="External"/><Relationship Id="rId2558" Type="http://schemas.openxmlformats.org/officeDocument/2006/relationships/hyperlink" Target="https://www.munzee.com/m/xrayneex/2517/" TargetMode="External"/><Relationship Id="rId1228" Type="http://schemas.openxmlformats.org/officeDocument/2006/relationships/hyperlink" Target="https://www.munzee.com/m/GroteSufferd/416/admin/" TargetMode="External"/><Relationship Id="rId2559" Type="http://schemas.openxmlformats.org/officeDocument/2006/relationships/hyperlink" Target="http://www.munzee.com" TargetMode="External"/><Relationship Id="rId1229" Type="http://schemas.openxmlformats.org/officeDocument/2006/relationships/hyperlink" Target="http://www.munzee.com" TargetMode="External"/><Relationship Id="rId2550" Type="http://schemas.openxmlformats.org/officeDocument/2006/relationships/hyperlink" Target="https://www.munzee.com/m/ArtofEco/3661/" TargetMode="External"/><Relationship Id="rId1220" Type="http://schemas.openxmlformats.org/officeDocument/2006/relationships/hyperlink" Target="https://www.munzee.com/m/ArtofEco/3009/admin/" TargetMode="External"/><Relationship Id="rId2551" Type="http://schemas.openxmlformats.org/officeDocument/2006/relationships/hyperlink" Target="http://www.munzee.com" TargetMode="External"/><Relationship Id="rId1221" Type="http://schemas.openxmlformats.org/officeDocument/2006/relationships/hyperlink" Target="http://www.munzee.com" TargetMode="External"/><Relationship Id="rId2552" Type="http://schemas.openxmlformats.org/officeDocument/2006/relationships/hyperlink" Target="https://www.munzee.com/m/J1Huisman/13461/" TargetMode="External"/><Relationship Id="rId1222" Type="http://schemas.openxmlformats.org/officeDocument/2006/relationships/hyperlink" Target="https://www.munzee.com/m/BrotherWilliam/4049/admin/" TargetMode="External"/><Relationship Id="rId2553" Type="http://schemas.openxmlformats.org/officeDocument/2006/relationships/hyperlink" Target="http://www.munzee.com" TargetMode="External"/><Relationship Id="rId1223" Type="http://schemas.openxmlformats.org/officeDocument/2006/relationships/hyperlink" Target="http://www.munzee.com" TargetMode="External"/><Relationship Id="rId2554" Type="http://schemas.openxmlformats.org/officeDocument/2006/relationships/hyperlink" Target="https://www.munzee.com/m/fsafranek/5475/" TargetMode="External"/><Relationship Id="rId2500" Type="http://schemas.openxmlformats.org/officeDocument/2006/relationships/hyperlink" Target="https://www.munzee.com/m/Drazoria/1639/" TargetMode="External"/><Relationship Id="rId2501" Type="http://schemas.openxmlformats.org/officeDocument/2006/relationships/hyperlink" Target="http://www.munzee.com" TargetMode="External"/><Relationship Id="rId2502" Type="http://schemas.openxmlformats.org/officeDocument/2006/relationships/hyperlink" Target="https://www.munzee.com/m/Tinake1309/1656/" TargetMode="External"/><Relationship Id="rId2503" Type="http://schemas.openxmlformats.org/officeDocument/2006/relationships/hyperlink" Target="http://www.munzee.com" TargetMode="External"/><Relationship Id="rId2504" Type="http://schemas.openxmlformats.org/officeDocument/2006/relationships/hyperlink" Target="https://www.munzee.com/m/Berg14/1506/" TargetMode="External"/><Relationship Id="rId2505" Type="http://schemas.openxmlformats.org/officeDocument/2006/relationships/hyperlink" Target="http://www.munzee.com" TargetMode="External"/><Relationship Id="rId2506" Type="http://schemas.openxmlformats.org/officeDocument/2006/relationships/hyperlink" Target="https://www.munzee.com/m/Niks13/1517/" TargetMode="External"/><Relationship Id="rId2507" Type="http://schemas.openxmlformats.org/officeDocument/2006/relationships/hyperlink" Target="http://www.munzee.com" TargetMode="External"/><Relationship Id="rId2508" Type="http://schemas.openxmlformats.org/officeDocument/2006/relationships/hyperlink" Target="https://www.munzee.com/m/lupo6/6814" TargetMode="External"/><Relationship Id="rId2509" Type="http://schemas.openxmlformats.org/officeDocument/2006/relationships/hyperlink" Target="http://www.munzee.com" TargetMode="External"/><Relationship Id="rId2522" Type="http://schemas.openxmlformats.org/officeDocument/2006/relationships/hyperlink" Target="https://www.munzee.com/m/lison55/20908/" TargetMode="External"/><Relationship Id="rId2523" Type="http://schemas.openxmlformats.org/officeDocument/2006/relationships/hyperlink" Target="http://www.munzee.com" TargetMode="External"/><Relationship Id="rId2524" Type="http://schemas.openxmlformats.org/officeDocument/2006/relationships/hyperlink" Target="https://www.munzee.com/m/cbf600/3731/" TargetMode="External"/><Relationship Id="rId2525" Type="http://schemas.openxmlformats.org/officeDocument/2006/relationships/hyperlink" Target="http://www.munzee.com" TargetMode="External"/><Relationship Id="rId2526" Type="http://schemas.openxmlformats.org/officeDocument/2006/relationships/hyperlink" Target="https://www.munzee.com/m/Bisquick2/7182/" TargetMode="External"/><Relationship Id="rId2527" Type="http://schemas.openxmlformats.org/officeDocument/2006/relationships/hyperlink" Target="http://www.munzee.com" TargetMode="External"/><Relationship Id="rId2528" Type="http://schemas.openxmlformats.org/officeDocument/2006/relationships/hyperlink" Target="https://www.munzee.com/m/wally62/5784/" TargetMode="External"/><Relationship Id="rId2529" Type="http://schemas.openxmlformats.org/officeDocument/2006/relationships/hyperlink" Target="http://www.munzee.com" TargetMode="External"/><Relationship Id="rId2520" Type="http://schemas.openxmlformats.org/officeDocument/2006/relationships/hyperlink" Target="https://www.munzee.com/m/Aniara/17962/" TargetMode="External"/><Relationship Id="rId2521" Type="http://schemas.openxmlformats.org/officeDocument/2006/relationships/hyperlink" Target="http://www.munzee.com" TargetMode="External"/><Relationship Id="rId2511" Type="http://schemas.openxmlformats.org/officeDocument/2006/relationships/hyperlink" Target="http://www.munzee.com" TargetMode="External"/><Relationship Id="rId2512" Type="http://schemas.openxmlformats.org/officeDocument/2006/relationships/hyperlink" Target="https://www.munzee.com/m/Bungle/10928" TargetMode="External"/><Relationship Id="rId2513" Type="http://schemas.openxmlformats.org/officeDocument/2006/relationships/hyperlink" Target="http://www.munzee.com" TargetMode="External"/><Relationship Id="rId2514" Type="http://schemas.openxmlformats.org/officeDocument/2006/relationships/hyperlink" Target="https://www.munzee.com/m/OdinsFiRe/2162/" TargetMode="External"/><Relationship Id="rId2515" Type="http://schemas.openxmlformats.org/officeDocument/2006/relationships/hyperlink" Target="http://www.munzee.com" TargetMode="External"/><Relationship Id="rId2516" Type="http://schemas.openxmlformats.org/officeDocument/2006/relationships/hyperlink" Target="https://www.munzee.com/m/Ellesche/835" TargetMode="External"/><Relationship Id="rId2517" Type="http://schemas.openxmlformats.org/officeDocument/2006/relationships/hyperlink" Target="http://www.munzee.com" TargetMode="External"/><Relationship Id="rId2518" Type="http://schemas.openxmlformats.org/officeDocument/2006/relationships/hyperlink" Target="https://www.munzee.com/m/Anetzet/4615/" TargetMode="External"/><Relationship Id="rId2519" Type="http://schemas.openxmlformats.org/officeDocument/2006/relationships/hyperlink" Target="http://www.munzee.com" TargetMode="External"/><Relationship Id="rId2510" Type="http://schemas.openxmlformats.org/officeDocument/2006/relationships/hyperlink" Target="https://www.munzee.com/m/crscousins/7153/" TargetMode="External"/><Relationship Id="rId469" Type="http://schemas.openxmlformats.org/officeDocument/2006/relationships/hyperlink" Target="https://www.munzee.com/m/benotje/1356/" TargetMode="External"/><Relationship Id="rId468" Type="http://schemas.openxmlformats.org/officeDocument/2006/relationships/hyperlink" Target="http://www.munzee.com" TargetMode="External"/><Relationship Id="rId467" Type="http://schemas.openxmlformats.org/officeDocument/2006/relationships/hyperlink" Target="https://www.munzee.com/m/barefootguru/3094/" TargetMode="External"/><Relationship Id="rId1290" Type="http://schemas.openxmlformats.org/officeDocument/2006/relationships/hyperlink" Target="https://www.munzee.com/m/Anetzet/2951/" TargetMode="External"/><Relationship Id="rId1291" Type="http://schemas.openxmlformats.org/officeDocument/2006/relationships/hyperlink" Target="http://www.munzee.com" TargetMode="External"/><Relationship Id="rId1292" Type="http://schemas.openxmlformats.org/officeDocument/2006/relationships/hyperlink" Target="https://www.munzee.com/m/TheFatCats/3929/" TargetMode="External"/><Relationship Id="rId462" Type="http://schemas.openxmlformats.org/officeDocument/2006/relationships/hyperlink" Target="http://www.munzee.com" TargetMode="External"/><Relationship Id="rId1293" Type="http://schemas.openxmlformats.org/officeDocument/2006/relationships/hyperlink" Target="http://www.munzee.com" TargetMode="External"/><Relationship Id="rId461" Type="http://schemas.openxmlformats.org/officeDocument/2006/relationships/hyperlink" Target="https://www.munzee.com/m/fsafranek/4125/" TargetMode="External"/><Relationship Id="rId1294" Type="http://schemas.openxmlformats.org/officeDocument/2006/relationships/hyperlink" Target="https://www.munzee.com/m/WiseOldWizard/4047/" TargetMode="External"/><Relationship Id="rId460" Type="http://schemas.openxmlformats.org/officeDocument/2006/relationships/hyperlink" Target="http://www.munzee.com" TargetMode="External"/><Relationship Id="rId1295" Type="http://schemas.openxmlformats.org/officeDocument/2006/relationships/hyperlink" Target="http://www.munzee.com" TargetMode="External"/><Relationship Id="rId1296" Type="http://schemas.openxmlformats.org/officeDocument/2006/relationships/hyperlink" Target="https://www.munzee.com/m/BrotherWilliam/4100/admin/" TargetMode="External"/><Relationship Id="rId466" Type="http://schemas.openxmlformats.org/officeDocument/2006/relationships/hyperlink" Target="http://www.munzee.com" TargetMode="External"/><Relationship Id="rId1297" Type="http://schemas.openxmlformats.org/officeDocument/2006/relationships/hyperlink" Target="http://www.munzee.com" TargetMode="External"/><Relationship Id="rId465" Type="http://schemas.openxmlformats.org/officeDocument/2006/relationships/hyperlink" Target="https://www.munzee.com/m/JackSparrow/19353" TargetMode="External"/><Relationship Id="rId1298" Type="http://schemas.openxmlformats.org/officeDocument/2006/relationships/hyperlink" Target="https://www.munzee.com/m/ArtofEco/3047/admin/" TargetMode="External"/><Relationship Id="rId464" Type="http://schemas.openxmlformats.org/officeDocument/2006/relationships/hyperlink" Target="http://www.munzee.com" TargetMode="External"/><Relationship Id="rId1299" Type="http://schemas.openxmlformats.org/officeDocument/2006/relationships/hyperlink" Target="http://www.munzee.com" TargetMode="External"/><Relationship Id="rId463" Type="http://schemas.openxmlformats.org/officeDocument/2006/relationships/hyperlink" Target="https://www.munzee.com/m/IggiePiggie/1779/" TargetMode="External"/><Relationship Id="rId459" Type="http://schemas.openxmlformats.org/officeDocument/2006/relationships/hyperlink" Target="https://www.munzee.com/m/Anetzet/2538/" TargetMode="External"/><Relationship Id="rId458" Type="http://schemas.openxmlformats.org/officeDocument/2006/relationships/hyperlink" Target="http://www.munzee.com" TargetMode="External"/><Relationship Id="rId457" Type="http://schemas.openxmlformats.org/officeDocument/2006/relationships/hyperlink" Target="https://www.munzee.com/m/ArtofEco/2894/admin/" TargetMode="External"/><Relationship Id="rId456" Type="http://schemas.openxmlformats.org/officeDocument/2006/relationships/hyperlink" Target="http://www.munzee.com" TargetMode="External"/><Relationship Id="rId1280" Type="http://schemas.openxmlformats.org/officeDocument/2006/relationships/hyperlink" Target="https://www.munzee.com/m/BartWullems/5605" TargetMode="External"/><Relationship Id="rId1281" Type="http://schemas.openxmlformats.org/officeDocument/2006/relationships/hyperlink" Target="http://www.munzee.com" TargetMode="External"/><Relationship Id="rId451" Type="http://schemas.openxmlformats.org/officeDocument/2006/relationships/hyperlink" Target="https://www.munzee.com/m/Berg14/541/" TargetMode="External"/><Relationship Id="rId1282" Type="http://schemas.openxmlformats.org/officeDocument/2006/relationships/hyperlink" Target="https://www.munzee.com/m/FromTheTardis/1440/" TargetMode="External"/><Relationship Id="rId450" Type="http://schemas.openxmlformats.org/officeDocument/2006/relationships/hyperlink" Target="http://www.munzee.com" TargetMode="External"/><Relationship Id="rId1283" Type="http://schemas.openxmlformats.org/officeDocument/2006/relationships/hyperlink" Target="http://www.munzee.com" TargetMode="External"/><Relationship Id="rId1284" Type="http://schemas.openxmlformats.org/officeDocument/2006/relationships/hyperlink" Target="https://www.munzee.com/m/GroteSufferd/432/admin/" TargetMode="External"/><Relationship Id="rId1285" Type="http://schemas.openxmlformats.org/officeDocument/2006/relationships/hyperlink" Target="http://www.munzee.com" TargetMode="External"/><Relationship Id="rId455" Type="http://schemas.openxmlformats.org/officeDocument/2006/relationships/hyperlink" Target="https://www.munzee.com/m/babyw/2727/" TargetMode="External"/><Relationship Id="rId1286" Type="http://schemas.openxmlformats.org/officeDocument/2006/relationships/hyperlink" Target="https://www.munzee.com/m/TheFatCats/3915/" TargetMode="External"/><Relationship Id="rId454" Type="http://schemas.openxmlformats.org/officeDocument/2006/relationships/hyperlink" Target="http://www.munzee.com" TargetMode="External"/><Relationship Id="rId1287" Type="http://schemas.openxmlformats.org/officeDocument/2006/relationships/hyperlink" Target="http://www.munzee.com" TargetMode="External"/><Relationship Id="rId453" Type="http://schemas.openxmlformats.org/officeDocument/2006/relationships/hyperlink" Target="https://www.munzee.com/m/Niks13/461/" TargetMode="External"/><Relationship Id="rId1288" Type="http://schemas.openxmlformats.org/officeDocument/2006/relationships/hyperlink" Target="https://www.munzee.com/m/amadoreugen/5828" TargetMode="External"/><Relationship Id="rId452" Type="http://schemas.openxmlformats.org/officeDocument/2006/relationships/hyperlink" Target="http://www.munzee.com" TargetMode="External"/><Relationship Id="rId1289" Type="http://schemas.openxmlformats.org/officeDocument/2006/relationships/hyperlink" Target="http://www.munzee.com" TargetMode="External"/><Relationship Id="rId3018" Type="http://schemas.openxmlformats.org/officeDocument/2006/relationships/hyperlink" Target="http://www.munzee.com" TargetMode="External"/><Relationship Id="rId3017" Type="http://schemas.openxmlformats.org/officeDocument/2006/relationships/hyperlink" Target="https://www.munzee.com/m/Fossillady/3524" TargetMode="External"/><Relationship Id="rId3019" Type="http://schemas.openxmlformats.org/officeDocument/2006/relationships/hyperlink" Target="https://www.munzee.com/m/WriteAndMane/6449" TargetMode="External"/><Relationship Id="rId491" Type="http://schemas.openxmlformats.org/officeDocument/2006/relationships/hyperlink" Target="https://www.munzee.com/m/jwg68/1251/" TargetMode="External"/><Relationship Id="rId490" Type="http://schemas.openxmlformats.org/officeDocument/2006/relationships/hyperlink" Target="http://www.munzee.com" TargetMode="External"/><Relationship Id="rId489" Type="http://schemas.openxmlformats.org/officeDocument/2006/relationships/hyperlink" Target="https://www.munzee.com/m/pikespice/6074/" TargetMode="External"/><Relationship Id="rId484" Type="http://schemas.openxmlformats.org/officeDocument/2006/relationships/hyperlink" Target="http://www.munzee.com" TargetMode="External"/><Relationship Id="rId3010" Type="http://schemas.openxmlformats.org/officeDocument/2006/relationships/hyperlink" Target="http://www.munzee.com" TargetMode="External"/><Relationship Id="rId483" Type="http://schemas.openxmlformats.org/officeDocument/2006/relationships/hyperlink" Target="https://www.munzee.com/m/5Star/5720/" TargetMode="External"/><Relationship Id="rId482" Type="http://schemas.openxmlformats.org/officeDocument/2006/relationships/hyperlink" Target="http://www.munzee.com" TargetMode="External"/><Relationship Id="rId3012" Type="http://schemas.openxmlformats.org/officeDocument/2006/relationships/hyperlink" Target="http://www.munzee.com" TargetMode="External"/><Relationship Id="rId481" Type="http://schemas.openxmlformats.org/officeDocument/2006/relationships/hyperlink" Target="https://www.munzee.com/m/OdinsFiRe/1533" TargetMode="External"/><Relationship Id="rId3011" Type="http://schemas.openxmlformats.org/officeDocument/2006/relationships/hyperlink" Target="https://www.munzee.com/m/TheFrog/4758/" TargetMode="External"/><Relationship Id="rId488" Type="http://schemas.openxmlformats.org/officeDocument/2006/relationships/hyperlink" Target="http://www.munzee.com" TargetMode="External"/><Relationship Id="rId3014" Type="http://schemas.openxmlformats.org/officeDocument/2006/relationships/hyperlink" Target="http://www.munzee.com" TargetMode="External"/><Relationship Id="rId487" Type="http://schemas.openxmlformats.org/officeDocument/2006/relationships/hyperlink" Target="https://www.munzee.com/m/belladivadee/2975/" TargetMode="External"/><Relationship Id="rId3013" Type="http://schemas.openxmlformats.org/officeDocument/2006/relationships/hyperlink" Target="https://www.munzee.com/m/123xilef/8621/" TargetMode="External"/><Relationship Id="rId486" Type="http://schemas.openxmlformats.org/officeDocument/2006/relationships/hyperlink" Target="http://www.munzee.com" TargetMode="External"/><Relationship Id="rId3016" Type="http://schemas.openxmlformats.org/officeDocument/2006/relationships/hyperlink" Target="http://www.munzee.com" TargetMode="External"/><Relationship Id="rId485" Type="http://schemas.openxmlformats.org/officeDocument/2006/relationships/hyperlink" Target="https://www.munzee.com/m/Wangotango/1210/" TargetMode="External"/><Relationship Id="rId3015" Type="http://schemas.openxmlformats.org/officeDocument/2006/relationships/hyperlink" Target="https://www.munzee.com/m/FlatBlack/696" TargetMode="External"/><Relationship Id="rId3007" Type="http://schemas.openxmlformats.org/officeDocument/2006/relationships/hyperlink" Target="https://www.munzee.com/m/TheFatCats/4564/" TargetMode="External"/><Relationship Id="rId3006" Type="http://schemas.openxmlformats.org/officeDocument/2006/relationships/hyperlink" Target="http://www.munzee.com" TargetMode="External"/><Relationship Id="rId3009" Type="http://schemas.openxmlformats.org/officeDocument/2006/relationships/hyperlink" Target="https://www.munzee.com/m/KublaKhan/782/" TargetMode="External"/><Relationship Id="rId3008" Type="http://schemas.openxmlformats.org/officeDocument/2006/relationships/hyperlink" Target="http://www.munzee.com" TargetMode="External"/><Relationship Id="rId480" Type="http://schemas.openxmlformats.org/officeDocument/2006/relationships/hyperlink" Target="http://www.munzee.com" TargetMode="External"/><Relationship Id="rId479" Type="http://schemas.openxmlformats.org/officeDocument/2006/relationships/hyperlink" Target="https://www.munzee.com/m/Bisquick2/4230/" TargetMode="External"/><Relationship Id="rId478" Type="http://schemas.openxmlformats.org/officeDocument/2006/relationships/hyperlink" Target="http://www.munzee.com" TargetMode="External"/><Relationship Id="rId473" Type="http://schemas.openxmlformats.org/officeDocument/2006/relationships/hyperlink" Target="https://www.munzee.com/m/Aniara/6429/" TargetMode="External"/><Relationship Id="rId472" Type="http://schemas.openxmlformats.org/officeDocument/2006/relationships/hyperlink" Target="http://www.munzee.com" TargetMode="External"/><Relationship Id="rId471" Type="http://schemas.openxmlformats.org/officeDocument/2006/relationships/hyperlink" Target="https://www.munzee.com/m/cbf600/2253/admin/convert/" TargetMode="External"/><Relationship Id="rId3001" Type="http://schemas.openxmlformats.org/officeDocument/2006/relationships/hyperlink" Target="https://www.munzee.com/m/TheFatCats/4525/" TargetMode="External"/><Relationship Id="rId470" Type="http://schemas.openxmlformats.org/officeDocument/2006/relationships/hyperlink" Target="http://www.munzee.com" TargetMode="External"/><Relationship Id="rId3000" Type="http://schemas.openxmlformats.org/officeDocument/2006/relationships/hyperlink" Target="http://www.munzee.com" TargetMode="External"/><Relationship Id="rId477" Type="http://schemas.openxmlformats.org/officeDocument/2006/relationships/hyperlink" Target="https://www.munzee.com/m/GroteSufferd/321/admin/" TargetMode="External"/><Relationship Id="rId3003" Type="http://schemas.openxmlformats.org/officeDocument/2006/relationships/hyperlink" Target="https://www.munzee.com/m/KublaKhan/778/" TargetMode="External"/><Relationship Id="rId476" Type="http://schemas.openxmlformats.org/officeDocument/2006/relationships/hyperlink" Target="http://www.munzee.com" TargetMode="External"/><Relationship Id="rId3002" Type="http://schemas.openxmlformats.org/officeDocument/2006/relationships/hyperlink" Target="http://www.munzee.com" TargetMode="External"/><Relationship Id="rId475" Type="http://schemas.openxmlformats.org/officeDocument/2006/relationships/hyperlink" Target="https://www.munzee.com/m/Bambinacattiva/659/" TargetMode="External"/><Relationship Id="rId3005" Type="http://schemas.openxmlformats.org/officeDocument/2006/relationships/hyperlink" Target="https://www.munzee.com/m/fsafranek/5167/" TargetMode="External"/><Relationship Id="rId474" Type="http://schemas.openxmlformats.org/officeDocument/2006/relationships/hyperlink" Target="http://www.munzee.com" TargetMode="External"/><Relationship Id="rId3004" Type="http://schemas.openxmlformats.org/officeDocument/2006/relationships/hyperlink" Target="http://www.munzee.com" TargetMode="External"/><Relationship Id="rId1257" Type="http://schemas.openxmlformats.org/officeDocument/2006/relationships/hyperlink" Target="http://www.munzee.com" TargetMode="External"/><Relationship Id="rId2588" Type="http://schemas.openxmlformats.org/officeDocument/2006/relationships/hyperlink" Target="https://www.munzee.com/m/OdinsFiRe/2077/" TargetMode="External"/><Relationship Id="rId1258" Type="http://schemas.openxmlformats.org/officeDocument/2006/relationships/hyperlink" Target="https://www.munzee.com/m/Tinake1309/826/" TargetMode="External"/><Relationship Id="rId2589" Type="http://schemas.openxmlformats.org/officeDocument/2006/relationships/hyperlink" Target="http://www.munzee.com" TargetMode="External"/><Relationship Id="rId1259" Type="http://schemas.openxmlformats.org/officeDocument/2006/relationships/hyperlink" Target="http://www.munzee.com" TargetMode="External"/><Relationship Id="rId426" Type="http://schemas.openxmlformats.org/officeDocument/2006/relationships/hyperlink" Target="http://www.munzee.com" TargetMode="External"/><Relationship Id="rId425" Type="http://schemas.openxmlformats.org/officeDocument/2006/relationships/hyperlink" Target="https://www.munzee.com/m/Lanyasummer/4103/" TargetMode="External"/><Relationship Id="rId424" Type="http://schemas.openxmlformats.org/officeDocument/2006/relationships/hyperlink" Target="http://www.munzee.com" TargetMode="External"/><Relationship Id="rId423" Type="http://schemas.openxmlformats.org/officeDocument/2006/relationships/hyperlink" Target="https://www.munzee.com/m/Andrew81/1362" TargetMode="External"/><Relationship Id="rId429" Type="http://schemas.openxmlformats.org/officeDocument/2006/relationships/hyperlink" Target="https://www.munzee.com/m/Pinkeltje/1066/" TargetMode="External"/><Relationship Id="rId428" Type="http://schemas.openxmlformats.org/officeDocument/2006/relationships/hyperlink" Target="http://www.munzee.com" TargetMode="External"/><Relationship Id="rId427" Type="http://schemas.openxmlformats.org/officeDocument/2006/relationships/hyperlink" Target="https://www.munzee.com/m/J1Huisman/11167/" TargetMode="External"/><Relationship Id="rId2580" Type="http://schemas.openxmlformats.org/officeDocument/2006/relationships/hyperlink" Target="https://www.munzee.com/m/Anetzet/4521/" TargetMode="External"/><Relationship Id="rId1250" Type="http://schemas.openxmlformats.org/officeDocument/2006/relationships/hyperlink" Target="https://www.munzee.com/m/sverlaan/4408/" TargetMode="External"/><Relationship Id="rId2581" Type="http://schemas.openxmlformats.org/officeDocument/2006/relationships/hyperlink" Target="http://www.munzee.com" TargetMode="External"/><Relationship Id="rId1251" Type="http://schemas.openxmlformats.org/officeDocument/2006/relationships/hyperlink" Target="http://www.munzee.com" TargetMode="External"/><Relationship Id="rId2582" Type="http://schemas.openxmlformats.org/officeDocument/2006/relationships/hyperlink" Target="https://www.munzee.com/m/BrotherWilliam/5489/" TargetMode="External"/><Relationship Id="rId1252" Type="http://schemas.openxmlformats.org/officeDocument/2006/relationships/hyperlink" Target="https://www.munzee.com/m/PawPatrolThomas/2470/" TargetMode="External"/><Relationship Id="rId2583" Type="http://schemas.openxmlformats.org/officeDocument/2006/relationships/hyperlink" Target="http://www.munzee.com" TargetMode="External"/><Relationship Id="rId422" Type="http://schemas.openxmlformats.org/officeDocument/2006/relationships/hyperlink" Target="http://www.munzee.com" TargetMode="External"/><Relationship Id="rId1253" Type="http://schemas.openxmlformats.org/officeDocument/2006/relationships/hyperlink" Target="http://www.munzee.com" TargetMode="External"/><Relationship Id="rId2584" Type="http://schemas.openxmlformats.org/officeDocument/2006/relationships/hyperlink" Target="https://www.munzee.com/m/crscousins/4100/" TargetMode="External"/><Relationship Id="rId421" Type="http://schemas.openxmlformats.org/officeDocument/2006/relationships/hyperlink" Target="https://www.munzee.com/m/lison55/5165/" TargetMode="External"/><Relationship Id="rId1254" Type="http://schemas.openxmlformats.org/officeDocument/2006/relationships/hyperlink" Target="https://www.munzee.com/m/EmileP68/3167/" TargetMode="External"/><Relationship Id="rId2585" Type="http://schemas.openxmlformats.org/officeDocument/2006/relationships/hyperlink" Target="http://www.munzee.com" TargetMode="External"/><Relationship Id="rId420" Type="http://schemas.openxmlformats.org/officeDocument/2006/relationships/hyperlink" Target="http://www.munzee.com" TargetMode="External"/><Relationship Id="rId1255" Type="http://schemas.openxmlformats.org/officeDocument/2006/relationships/hyperlink" Target="http://www.munzee.com" TargetMode="External"/><Relationship Id="rId2586" Type="http://schemas.openxmlformats.org/officeDocument/2006/relationships/hyperlink" Target="https://www.munzee.com/m/Girlteddy5/83/" TargetMode="External"/><Relationship Id="rId1256" Type="http://schemas.openxmlformats.org/officeDocument/2006/relationships/hyperlink" Target="https://www.munzee.com/m/Drazoria/847/" TargetMode="External"/><Relationship Id="rId2587" Type="http://schemas.openxmlformats.org/officeDocument/2006/relationships/hyperlink" Target="http://www.munzee.com" TargetMode="External"/><Relationship Id="rId1246" Type="http://schemas.openxmlformats.org/officeDocument/2006/relationships/hyperlink" Target="https://www.munzee.com/m/TheFatCats/3912/" TargetMode="External"/><Relationship Id="rId2577" Type="http://schemas.openxmlformats.org/officeDocument/2006/relationships/hyperlink" Target="http://www.munzee.com" TargetMode="External"/><Relationship Id="rId1247" Type="http://schemas.openxmlformats.org/officeDocument/2006/relationships/hyperlink" Target="http://www.munzee.com" TargetMode="External"/><Relationship Id="rId2578" Type="http://schemas.openxmlformats.org/officeDocument/2006/relationships/hyperlink" Target="https://www.munzee.com/m/GroteSufferd/758/" TargetMode="External"/><Relationship Id="rId1248" Type="http://schemas.openxmlformats.org/officeDocument/2006/relationships/hyperlink" Target="https://www.munzee.com/m/belladivadee/3153/" TargetMode="External"/><Relationship Id="rId2579" Type="http://schemas.openxmlformats.org/officeDocument/2006/relationships/hyperlink" Target="http://www.munzee.com" TargetMode="External"/><Relationship Id="rId1249" Type="http://schemas.openxmlformats.org/officeDocument/2006/relationships/hyperlink" Target="http://www.munzee.com" TargetMode="External"/><Relationship Id="rId415" Type="http://schemas.openxmlformats.org/officeDocument/2006/relationships/hyperlink" Target="https://www.munzee.com/m/Andrew81/1334" TargetMode="External"/><Relationship Id="rId414" Type="http://schemas.openxmlformats.org/officeDocument/2006/relationships/hyperlink" Target="http://www.munzee.com" TargetMode="External"/><Relationship Id="rId413" Type="http://schemas.openxmlformats.org/officeDocument/2006/relationships/hyperlink" Target="https://www.munzee.com/m/cbf600/2247/admin/convert/" TargetMode="External"/><Relationship Id="rId412" Type="http://schemas.openxmlformats.org/officeDocument/2006/relationships/hyperlink" Target="http://www.munzee.com" TargetMode="External"/><Relationship Id="rId419" Type="http://schemas.openxmlformats.org/officeDocument/2006/relationships/hyperlink" Target="https://www.munzee.com/m/FromTheTardis/1339/" TargetMode="External"/><Relationship Id="rId418" Type="http://schemas.openxmlformats.org/officeDocument/2006/relationships/hyperlink" Target="http://www.munzee.com" TargetMode="External"/><Relationship Id="rId417" Type="http://schemas.openxmlformats.org/officeDocument/2006/relationships/hyperlink" Target="https://www.munzee.com/m/DHitz/3700/" TargetMode="External"/><Relationship Id="rId416" Type="http://schemas.openxmlformats.org/officeDocument/2006/relationships/hyperlink" Target="http://www.munzee.com" TargetMode="External"/><Relationship Id="rId2570" Type="http://schemas.openxmlformats.org/officeDocument/2006/relationships/hyperlink" Target="https://www.munzee.com/m/Niks13/1570/" TargetMode="External"/><Relationship Id="rId1240" Type="http://schemas.openxmlformats.org/officeDocument/2006/relationships/hyperlink" Target="https://www.munzee.com/m/raftjen/1779" TargetMode="External"/><Relationship Id="rId2571" Type="http://schemas.openxmlformats.org/officeDocument/2006/relationships/hyperlink" Target="http://www.munzee.com" TargetMode="External"/><Relationship Id="rId1241" Type="http://schemas.openxmlformats.org/officeDocument/2006/relationships/hyperlink" Target="http://www.munzee.com" TargetMode="External"/><Relationship Id="rId2572" Type="http://schemas.openxmlformats.org/officeDocument/2006/relationships/hyperlink" Target="https://www.munzee.com/m/Ellesche/840" TargetMode="External"/><Relationship Id="rId411" Type="http://schemas.openxmlformats.org/officeDocument/2006/relationships/hyperlink" Target="https://www.munzee.com/m/jwg68/1250/" TargetMode="External"/><Relationship Id="rId1242" Type="http://schemas.openxmlformats.org/officeDocument/2006/relationships/hyperlink" Target="https://www.munzee.com/m/Aniara/6945" TargetMode="External"/><Relationship Id="rId2573" Type="http://schemas.openxmlformats.org/officeDocument/2006/relationships/hyperlink" Target="http://www.munzee.com" TargetMode="External"/><Relationship Id="rId410" Type="http://schemas.openxmlformats.org/officeDocument/2006/relationships/hyperlink" Target="http://www.munzee.com" TargetMode="External"/><Relationship Id="rId1243" Type="http://schemas.openxmlformats.org/officeDocument/2006/relationships/hyperlink" Target="http://www.munzee.com" TargetMode="External"/><Relationship Id="rId2574" Type="http://schemas.openxmlformats.org/officeDocument/2006/relationships/hyperlink" Target="https://www.munzee.com/m/lupo6/6805" TargetMode="External"/><Relationship Id="rId1244" Type="http://schemas.openxmlformats.org/officeDocument/2006/relationships/hyperlink" Target="https://www.munzee.com/m/all0123/4296/" TargetMode="External"/><Relationship Id="rId2575" Type="http://schemas.openxmlformats.org/officeDocument/2006/relationships/hyperlink" Target="http://www.munzee.com" TargetMode="External"/><Relationship Id="rId1245" Type="http://schemas.openxmlformats.org/officeDocument/2006/relationships/hyperlink" Target="http://www.munzee.com" TargetMode="External"/><Relationship Id="rId2576" Type="http://schemas.openxmlformats.org/officeDocument/2006/relationships/hyperlink" Target="https://www.munzee.com/m/crscousins/4101/" TargetMode="External"/><Relationship Id="rId1279" Type="http://schemas.openxmlformats.org/officeDocument/2006/relationships/hyperlink" Target="http://www.munzee.com" TargetMode="External"/><Relationship Id="rId448" Type="http://schemas.openxmlformats.org/officeDocument/2006/relationships/hyperlink" Target="http://www.munzee.com" TargetMode="External"/><Relationship Id="rId447" Type="http://schemas.openxmlformats.org/officeDocument/2006/relationships/hyperlink" Target="https://www.munzee.com/m/Drazoria/712/admin/" TargetMode="External"/><Relationship Id="rId446" Type="http://schemas.openxmlformats.org/officeDocument/2006/relationships/hyperlink" Target="http://www.munzee.com" TargetMode="External"/><Relationship Id="rId445" Type="http://schemas.openxmlformats.org/officeDocument/2006/relationships/hyperlink" Target="https://www.munzee.com/m/BrotherWilliam/3871/admin/" TargetMode="External"/><Relationship Id="rId449" Type="http://schemas.openxmlformats.org/officeDocument/2006/relationships/hyperlink" Target="https://www.munzee.com/m/Tinake1309/688/" TargetMode="External"/><Relationship Id="rId1270" Type="http://schemas.openxmlformats.org/officeDocument/2006/relationships/hyperlink" Target="https://www.munzee.com/m/fsafranek/4160/" TargetMode="External"/><Relationship Id="rId440" Type="http://schemas.openxmlformats.org/officeDocument/2006/relationships/hyperlink" Target="http://www.munzee.com" TargetMode="External"/><Relationship Id="rId1271" Type="http://schemas.openxmlformats.org/officeDocument/2006/relationships/hyperlink" Target="http://www.munzee.com" TargetMode="External"/><Relationship Id="rId1272" Type="http://schemas.openxmlformats.org/officeDocument/2006/relationships/hyperlink" Target="https://www.munzee.com/m/Lanyasummer/4462/" TargetMode="External"/><Relationship Id="rId1273" Type="http://schemas.openxmlformats.org/officeDocument/2006/relationships/hyperlink" Target="http://www.munzee.com" TargetMode="External"/><Relationship Id="rId1274" Type="http://schemas.openxmlformats.org/officeDocument/2006/relationships/hyperlink" Target="https://www.munzee.com/m/babyw/3253/" TargetMode="External"/><Relationship Id="rId444" Type="http://schemas.openxmlformats.org/officeDocument/2006/relationships/hyperlink" Target="http://www.munzee.com" TargetMode="External"/><Relationship Id="rId1275" Type="http://schemas.openxmlformats.org/officeDocument/2006/relationships/hyperlink" Target="http://www.munzee.com" TargetMode="External"/><Relationship Id="rId443" Type="http://schemas.openxmlformats.org/officeDocument/2006/relationships/hyperlink" Target="https://www.munzee.com/m/WiseOldWizard/3956/" TargetMode="External"/><Relationship Id="rId1276" Type="http://schemas.openxmlformats.org/officeDocument/2006/relationships/hyperlink" Target="https://www.munzee.com/m/lison55/5479/" TargetMode="External"/><Relationship Id="rId442" Type="http://schemas.openxmlformats.org/officeDocument/2006/relationships/hyperlink" Target="http://www.munzee.com" TargetMode="External"/><Relationship Id="rId1277" Type="http://schemas.openxmlformats.org/officeDocument/2006/relationships/hyperlink" Target="http://www.munzee.com" TargetMode="External"/><Relationship Id="rId441" Type="http://schemas.openxmlformats.org/officeDocument/2006/relationships/hyperlink" Target="https://www.munzee.com/m/xrayneex/1292/" TargetMode="External"/><Relationship Id="rId1278" Type="http://schemas.openxmlformats.org/officeDocument/2006/relationships/hyperlink" Target="https://www.munzee.com/m/OdinsFiRe/1809/" TargetMode="External"/><Relationship Id="rId1268" Type="http://schemas.openxmlformats.org/officeDocument/2006/relationships/hyperlink" Target="https://www.munzee.com/m/xrayneex/1503/" TargetMode="External"/><Relationship Id="rId2599" Type="http://schemas.openxmlformats.org/officeDocument/2006/relationships/hyperlink" Target="http://www.munzee.com" TargetMode="External"/><Relationship Id="rId1269" Type="http://schemas.openxmlformats.org/officeDocument/2006/relationships/hyperlink" Target="http://www.munzee.com" TargetMode="External"/><Relationship Id="rId437" Type="http://schemas.openxmlformats.org/officeDocument/2006/relationships/hyperlink" Target="https://www.munzee.com/m/PawPatrolThomas/2199/" TargetMode="External"/><Relationship Id="rId436" Type="http://schemas.openxmlformats.org/officeDocument/2006/relationships/hyperlink" Target="http://www.munzee.com" TargetMode="External"/><Relationship Id="rId435" Type="http://schemas.openxmlformats.org/officeDocument/2006/relationships/hyperlink" Target="https://www.munzee.com/m/EmileP68/2896/" TargetMode="External"/><Relationship Id="rId434" Type="http://schemas.openxmlformats.org/officeDocument/2006/relationships/hyperlink" Target="http://www.munzee.com" TargetMode="External"/><Relationship Id="rId439" Type="http://schemas.openxmlformats.org/officeDocument/2006/relationships/hyperlink" Target="https://www.munzee.com/m/hoekraam/7004" TargetMode="External"/><Relationship Id="rId438" Type="http://schemas.openxmlformats.org/officeDocument/2006/relationships/hyperlink" Target="http://www.munzee.com" TargetMode="External"/><Relationship Id="rId2590" Type="http://schemas.openxmlformats.org/officeDocument/2006/relationships/hyperlink" Target="https://www.munzee.com/m/cbf600/3779/" TargetMode="External"/><Relationship Id="rId1260" Type="http://schemas.openxmlformats.org/officeDocument/2006/relationships/hyperlink" Target="https://www.munzee.com/m/Berg14/642" TargetMode="External"/><Relationship Id="rId2591" Type="http://schemas.openxmlformats.org/officeDocument/2006/relationships/hyperlink" Target="http://www.munzee.com" TargetMode="External"/><Relationship Id="rId1261" Type="http://schemas.openxmlformats.org/officeDocument/2006/relationships/hyperlink" Target="http://www.munzee.com" TargetMode="External"/><Relationship Id="rId2592" Type="http://schemas.openxmlformats.org/officeDocument/2006/relationships/hyperlink" Target="https://www.munzee.com/m/Bisquick2/7271/" TargetMode="External"/><Relationship Id="rId1262" Type="http://schemas.openxmlformats.org/officeDocument/2006/relationships/hyperlink" Target="https://www.munzee.com/m/Niks13/619/" TargetMode="External"/><Relationship Id="rId2593" Type="http://schemas.openxmlformats.org/officeDocument/2006/relationships/hyperlink" Target="http://www.munzee.com" TargetMode="External"/><Relationship Id="rId1263" Type="http://schemas.openxmlformats.org/officeDocument/2006/relationships/hyperlink" Target="http://www.munzee.com" TargetMode="External"/><Relationship Id="rId2594" Type="http://schemas.openxmlformats.org/officeDocument/2006/relationships/hyperlink" Target="https://www.munzee.com/m/TheFrog/6343/" TargetMode="External"/><Relationship Id="rId433" Type="http://schemas.openxmlformats.org/officeDocument/2006/relationships/hyperlink" Target="https://www.munzee.com/m/sverlaan/4124/" TargetMode="External"/><Relationship Id="rId1264" Type="http://schemas.openxmlformats.org/officeDocument/2006/relationships/hyperlink" Target="https://www.munzee.com/m/J1Huisman/11452/" TargetMode="External"/><Relationship Id="rId2595" Type="http://schemas.openxmlformats.org/officeDocument/2006/relationships/hyperlink" Target="http://www.munzee.com" TargetMode="External"/><Relationship Id="rId432" Type="http://schemas.openxmlformats.org/officeDocument/2006/relationships/hyperlink" Target="http://www.munzee.com" TargetMode="External"/><Relationship Id="rId1265" Type="http://schemas.openxmlformats.org/officeDocument/2006/relationships/hyperlink" Target="http://www.munzee.com" TargetMode="External"/><Relationship Id="rId2596" Type="http://schemas.openxmlformats.org/officeDocument/2006/relationships/hyperlink" Target="https://www.munzee.com/m/123xilef/13727/" TargetMode="External"/><Relationship Id="rId431" Type="http://schemas.openxmlformats.org/officeDocument/2006/relationships/hyperlink" Target="https://www.munzee.com/m/Bambinacattiva/667/" TargetMode="External"/><Relationship Id="rId1266" Type="http://schemas.openxmlformats.org/officeDocument/2006/relationships/hyperlink" Target="https://www.munzee.com/m/Pinkeltje/1128/" TargetMode="External"/><Relationship Id="rId2597" Type="http://schemas.openxmlformats.org/officeDocument/2006/relationships/hyperlink" Target="http://www.munzee.com" TargetMode="External"/><Relationship Id="rId430" Type="http://schemas.openxmlformats.org/officeDocument/2006/relationships/hyperlink" Target="http://www.munzee.com" TargetMode="External"/><Relationship Id="rId1267" Type="http://schemas.openxmlformats.org/officeDocument/2006/relationships/hyperlink" Target="http://www.munzee.com" TargetMode="External"/><Relationship Id="rId2598" Type="http://schemas.openxmlformats.org/officeDocument/2006/relationships/hyperlink" Target="https://www.munzee.com/m/crscousins/4099/" TargetMode="External"/><Relationship Id="rId3070" Type="http://schemas.openxmlformats.org/officeDocument/2006/relationships/hyperlink" Target="http://www.munzee.com" TargetMode="External"/><Relationship Id="rId3072" Type="http://schemas.openxmlformats.org/officeDocument/2006/relationships/hyperlink" Target="http://www.munzee.com" TargetMode="External"/><Relationship Id="rId3071" Type="http://schemas.openxmlformats.org/officeDocument/2006/relationships/hyperlink" Target="https://www.munzee.com/m/lupo6/2732" TargetMode="External"/><Relationship Id="rId3074" Type="http://schemas.openxmlformats.org/officeDocument/2006/relationships/hyperlink" Target="http://www.munzee.com" TargetMode="External"/><Relationship Id="rId3073" Type="http://schemas.openxmlformats.org/officeDocument/2006/relationships/hyperlink" Target="https://www.munzee.com/m/crscousins/7152/" TargetMode="External"/><Relationship Id="rId3076" Type="http://schemas.openxmlformats.org/officeDocument/2006/relationships/hyperlink" Target="http://www.munzee.com" TargetMode="External"/><Relationship Id="rId3075" Type="http://schemas.openxmlformats.org/officeDocument/2006/relationships/hyperlink" Target="https://www.munzee.com/m/TD42/3511/" TargetMode="External"/><Relationship Id="rId3078" Type="http://schemas.openxmlformats.org/officeDocument/2006/relationships/hyperlink" Target="http://www.munzee.com" TargetMode="External"/><Relationship Id="rId3077" Type="http://schemas.openxmlformats.org/officeDocument/2006/relationships/hyperlink" Target="https://www.munzee.com/m/Anetzet/4628/" TargetMode="External"/><Relationship Id="rId3079" Type="http://schemas.openxmlformats.org/officeDocument/2006/relationships/hyperlink" Target="https://www.munzee.com/m/GroteSufferd/754/" TargetMode="External"/><Relationship Id="rId3061" Type="http://schemas.openxmlformats.org/officeDocument/2006/relationships/hyperlink" Target="https://www.munzee.com/m/Berg14/1515/" TargetMode="External"/><Relationship Id="rId3060" Type="http://schemas.openxmlformats.org/officeDocument/2006/relationships/hyperlink" Target="http://www.munzee.com" TargetMode="External"/><Relationship Id="rId3063" Type="http://schemas.openxmlformats.org/officeDocument/2006/relationships/hyperlink" Target="https://www.munzee.com/m/Niks13/1498/" TargetMode="External"/><Relationship Id="rId3062" Type="http://schemas.openxmlformats.org/officeDocument/2006/relationships/hyperlink" Target="http://www.munzee.com" TargetMode="External"/><Relationship Id="rId3065" Type="http://schemas.openxmlformats.org/officeDocument/2006/relationships/hyperlink" Target="https://www.munzee.com/m/lupo6/6419/" TargetMode="External"/><Relationship Id="rId3064" Type="http://schemas.openxmlformats.org/officeDocument/2006/relationships/hyperlink" Target="http://www.munzee.com" TargetMode="External"/><Relationship Id="rId3067" Type="http://schemas.openxmlformats.org/officeDocument/2006/relationships/hyperlink" Target="https://www.munzee.com/m/TD42/3513/" TargetMode="External"/><Relationship Id="rId3066" Type="http://schemas.openxmlformats.org/officeDocument/2006/relationships/hyperlink" Target="http://www.munzee.com" TargetMode="External"/><Relationship Id="rId3069" Type="http://schemas.openxmlformats.org/officeDocument/2006/relationships/hyperlink" Target="https://www.munzee.com/m/OdinsFiRe/2065/" TargetMode="External"/><Relationship Id="rId3068" Type="http://schemas.openxmlformats.org/officeDocument/2006/relationships/hyperlink" Target="http://www.munzee.com" TargetMode="External"/><Relationship Id="rId3090" Type="http://schemas.openxmlformats.org/officeDocument/2006/relationships/hyperlink" Target="http://www.munzee.com" TargetMode="External"/><Relationship Id="rId3092" Type="http://schemas.openxmlformats.org/officeDocument/2006/relationships/hyperlink" Target="http://www.munzee.com" TargetMode="External"/><Relationship Id="rId3091" Type="http://schemas.openxmlformats.org/officeDocument/2006/relationships/hyperlink" Target="https://www.munzee.com/m/123xilef/13726/" TargetMode="External"/><Relationship Id="rId3094" Type="http://schemas.openxmlformats.org/officeDocument/2006/relationships/hyperlink" Target="http://www.munzee.com" TargetMode="External"/><Relationship Id="rId3093" Type="http://schemas.openxmlformats.org/officeDocument/2006/relationships/hyperlink" Target="https://www.munzee.com/m/mortonfox/24166/" TargetMode="External"/><Relationship Id="rId3096" Type="http://schemas.openxmlformats.org/officeDocument/2006/relationships/hyperlink" Target="http://www.munzee.com" TargetMode="External"/><Relationship Id="rId3095" Type="http://schemas.openxmlformats.org/officeDocument/2006/relationships/hyperlink" Target="https://www.munzee.com/m/barefootguru/3527/" TargetMode="External"/><Relationship Id="rId3098" Type="http://schemas.openxmlformats.org/officeDocument/2006/relationships/hyperlink" Target="http://www.munzee.com" TargetMode="External"/><Relationship Id="rId3097" Type="http://schemas.openxmlformats.org/officeDocument/2006/relationships/hyperlink" Target="https://www.munzee.com/m/Ellesche/769" TargetMode="External"/><Relationship Id="rId3099" Type="http://schemas.openxmlformats.org/officeDocument/2006/relationships/hyperlink" Target="http://www.munzee.com/m/belladivadee/3040" TargetMode="External"/><Relationship Id="rId3081" Type="http://schemas.openxmlformats.org/officeDocument/2006/relationships/hyperlink" Target="https://www.munzee.com/m/Bungle/10657" TargetMode="External"/><Relationship Id="rId3080" Type="http://schemas.openxmlformats.org/officeDocument/2006/relationships/hyperlink" Target="http://www.munzee.com" TargetMode="External"/><Relationship Id="rId3083" Type="http://schemas.openxmlformats.org/officeDocument/2006/relationships/hyperlink" Target="https://www.munzee.com/m/rita85gto/5116/" TargetMode="External"/><Relationship Id="rId3082" Type="http://schemas.openxmlformats.org/officeDocument/2006/relationships/hyperlink" Target="http://www.munzee.com" TargetMode="External"/><Relationship Id="rId3085" Type="http://schemas.openxmlformats.org/officeDocument/2006/relationships/hyperlink" Target="https://www.munzee.com/m/cbf600/3801/admin/" TargetMode="External"/><Relationship Id="rId3084" Type="http://schemas.openxmlformats.org/officeDocument/2006/relationships/hyperlink" Target="http://www.munzee.com" TargetMode="External"/><Relationship Id="rId3087" Type="http://schemas.openxmlformats.org/officeDocument/2006/relationships/hyperlink" Target="https://www.munzee.com/m/Bisquick2/7168/" TargetMode="External"/><Relationship Id="rId3086" Type="http://schemas.openxmlformats.org/officeDocument/2006/relationships/hyperlink" Target="http://www.munzee.com" TargetMode="External"/><Relationship Id="rId3089" Type="http://schemas.openxmlformats.org/officeDocument/2006/relationships/hyperlink" Target="https://www.munzee.com/m/TheFrog/3569/" TargetMode="External"/><Relationship Id="rId3088" Type="http://schemas.openxmlformats.org/officeDocument/2006/relationships/hyperlink" Target="http://www.munzee.com" TargetMode="External"/><Relationship Id="rId3039" Type="http://schemas.openxmlformats.org/officeDocument/2006/relationships/hyperlink" Target="https://www.munzee.com/m/PawPatrolThomas/4209/" TargetMode="External"/><Relationship Id="rId1" Type="http://schemas.openxmlformats.org/officeDocument/2006/relationships/hyperlink" Target="https://www.munzee.com/m/5Star/5652/" TargetMode="External"/><Relationship Id="rId2" Type="http://schemas.openxmlformats.org/officeDocument/2006/relationships/hyperlink" Target="http://www.munzee.com" TargetMode="External"/><Relationship Id="rId3" Type="http://schemas.openxmlformats.org/officeDocument/2006/relationships/hyperlink" Target="https://www.munzee.com/m/FromTheTardis/1297/" TargetMode="External"/><Relationship Id="rId4" Type="http://schemas.openxmlformats.org/officeDocument/2006/relationships/hyperlink" Target="http://www.munzee.com" TargetMode="External"/><Relationship Id="rId3030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Wangotango/1169/" TargetMode="External"/><Relationship Id="rId3032" Type="http://schemas.openxmlformats.org/officeDocument/2006/relationships/hyperlink" Target="http://www.munzee.com" TargetMode="External"/><Relationship Id="rId3031" Type="http://schemas.openxmlformats.org/officeDocument/2006/relationships/hyperlink" Target="https://www.munzee.com/m/mrsg9064/8547/" TargetMode="External"/><Relationship Id="rId3034" Type="http://schemas.openxmlformats.org/officeDocument/2006/relationships/hyperlink" Target="http://www.munzee.com" TargetMode="External"/><Relationship Id="rId3033" Type="http://schemas.openxmlformats.org/officeDocument/2006/relationships/hyperlink" Target="https://www.munzee.com/m/xrayneex/1822/" TargetMode="External"/><Relationship Id="rId5" Type="http://schemas.openxmlformats.org/officeDocument/2006/relationships/hyperlink" Target="https://www.munzee.com/m/DHitz/3733/" TargetMode="External"/><Relationship Id="rId3036" Type="http://schemas.openxmlformats.org/officeDocument/2006/relationships/hyperlink" Target="http://www.munzee.com" TargetMode="External"/><Relationship Id="rId6" Type="http://schemas.openxmlformats.org/officeDocument/2006/relationships/hyperlink" Target="http://www.munzee.com" TargetMode="External"/><Relationship Id="rId3035" Type="http://schemas.openxmlformats.org/officeDocument/2006/relationships/hyperlink" Target="https://www.munzee.com/m/raunas/12597" TargetMode="External"/><Relationship Id="rId7" Type="http://schemas.openxmlformats.org/officeDocument/2006/relationships/hyperlink" Target="https://www.munzee.com/m/fsafranek/4141/" TargetMode="External"/><Relationship Id="rId3038" Type="http://schemas.openxmlformats.org/officeDocument/2006/relationships/hyperlink" Target="http://www.munzee.com" TargetMode="External"/><Relationship Id="rId8" Type="http://schemas.openxmlformats.org/officeDocument/2006/relationships/hyperlink" Target="http://www.munzee.com" TargetMode="External"/><Relationship Id="rId3037" Type="http://schemas.openxmlformats.org/officeDocument/2006/relationships/hyperlink" Target="https://www.munzee.com/m/sverlaan/6279/" TargetMode="External"/><Relationship Id="rId3029" Type="http://schemas.openxmlformats.org/officeDocument/2006/relationships/hyperlink" Target="https://www.munzee.com/m/habu/11226/" TargetMode="External"/><Relationship Id="rId3028" Type="http://schemas.openxmlformats.org/officeDocument/2006/relationships/hyperlink" Target="http://www.munzee.com" TargetMode="External"/><Relationship Id="rId3021" Type="http://schemas.openxmlformats.org/officeDocument/2006/relationships/hyperlink" Target="https://www.munzee.com/m/TeamTazmina/1324/" TargetMode="External"/><Relationship Id="rId3020" Type="http://schemas.openxmlformats.org/officeDocument/2006/relationships/hyperlink" Target="http://www.munzee.com" TargetMode="External"/><Relationship Id="rId3023" Type="http://schemas.openxmlformats.org/officeDocument/2006/relationships/hyperlink" Target="https://www.munzee.com/m/Wangotango/1667/" TargetMode="External"/><Relationship Id="rId3022" Type="http://schemas.openxmlformats.org/officeDocument/2006/relationships/hyperlink" Target="http://www.munzee.com" TargetMode="External"/><Relationship Id="rId3025" Type="http://schemas.openxmlformats.org/officeDocument/2006/relationships/hyperlink" Target="https://www.munzee.com/m/Derlame/14917/" TargetMode="External"/><Relationship Id="rId3024" Type="http://schemas.openxmlformats.org/officeDocument/2006/relationships/hyperlink" Target="http://www.munzee.com" TargetMode="External"/><Relationship Id="rId3027" Type="http://schemas.openxmlformats.org/officeDocument/2006/relationships/hyperlink" Target="https://www.munzee.com/m/dwyers5/2575/" TargetMode="External"/><Relationship Id="rId3026" Type="http://schemas.openxmlformats.org/officeDocument/2006/relationships/hyperlink" Target="http://www.munzee.com" TargetMode="External"/><Relationship Id="rId3050" Type="http://schemas.openxmlformats.org/officeDocument/2006/relationships/hyperlink" Target="http://www.munzee.com" TargetMode="External"/><Relationship Id="rId3052" Type="http://schemas.openxmlformats.org/officeDocument/2006/relationships/hyperlink" Target="http://www.munzee.com" TargetMode="External"/><Relationship Id="rId3051" Type="http://schemas.openxmlformats.org/officeDocument/2006/relationships/hyperlink" Target="https://www.munzee.com/m/Ellesche/811/" TargetMode="External"/><Relationship Id="rId3054" Type="http://schemas.openxmlformats.org/officeDocument/2006/relationships/hyperlink" Target="http://www.munzee.com" TargetMode="External"/><Relationship Id="rId3053" Type="http://schemas.openxmlformats.org/officeDocument/2006/relationships/hyperlink" Target="https://www.munzee.com/m/xrayneex/2645/" TargetMode="External"/><Relationship Id="rId3056" Type="http://schemas.openxmlformats.org/officeDocument/2006/relationships/hyperlink" Target="http://www.munzee.com" TargetMode="External"/><Relationship Id="rId3055" Type="http://schemas.openxmlformats.org/officeDocument/2006/relationships/hyperlink" Target="https://www.munzee.com/m/res2100/845" TargetMode="External"/><Relationship Id="rId3058" Type="http://schemas.openxmlformats.org/officeDocument/2006/relationships/hyperlink" Target="http://www.munzee.com" TargetMode="External"/><Relationship Id="rId3057" Type="http://schemas.openxmlformats.org/officeDocument/2006/relationships/hyperlink" Target="https://www.munzee.com/m/Drazoria/1687/" TargetMode="External"/><Relationship Id="rId3059" Type="http://schemas.openxmlformats.org/officeDocument/2006/relationships/hyperlink" Target="https://www.munzee.com/m/Tinake1309/1595/" TargetMode="External"/><Relationship Id="rId3041" Type="http://schemas.openxmlformats.org/officeDocument/2006/relationships/hyperlink" Target="https://www.munzee.com/m/EmileP68/5027/" TargetMode="External"/><Relationship Id="rId3040" Type="http://schemas.openxmlformats.org/officeDocument/2006/relationships/hyperlink" Target="http://www.munzee.com" TargetMode="External"/><Relationship Id="rId3043" Type="http://schemas.openxmlformats.org/officeDocument/2006/relationships/hyperlink" Target="https://www.munzee.com/m/BrotherWilliam/5258/admin/" TargetMode="External"/><Relationship Id="rId3042" Type="http://schemas.openxmlformats.org/officeDocument/2006/relationships/hyperlink" Target="http://www.munzee.com" TargetMode="External"/><Relationship Id="rId3045" Type="http://schemas.openxmlformats.org/officeDocument/2006/relationships/hyperlink" Target="https://www.munzee.com/m/ArtofEco/3589/admin/" TargetMode="External"/><Relationship Id="rId3044" Type="http://schemas.openxmlformats.org/officeDocument/2006/relationships/hyperlink" Target="http://www.munzee.com" TargetMode="External"/><Relationship Id="rId3047" Type="http://schemas.openxmlformats.org/officeDocument/2006/relationships/hyperlink" Target="https://www.munzee.com/m/J1Huisman/13013/" TargetMode="External"/><Relationship Id="rId3046" Type="http://schemas.openxmlformats.org/officeDocument/2006/relationships/hyperlink" Target="http://www.munzee.com" TargetMode="External"/><Relationship Id="rId3049" Type="http://schemas.openxmlformats.org/officeDocument/2006/relationships/hyperlink" Target="https://www.munzee.com/m/fsafranek/5489/" TargetMode="External"/><Relationship Id="rId3048" Type="http://schemas.openxmlformats.org/officeDocument/2006/relationships/hyperlink" Target="http://www.munzee.com" TargetMode="External"/><Relationship Id="rId2600" Type="http://schemas.openxmlformats.org/officeDocument/2006/relationships/hyperlink" Target="https://www.munzee.com/m/mortonfox/23234/" TargetMode="External"/><Relationship Id="rId2601" Type="http://schemas.openxmlformats.org/officeDocument/2006/relationships/hyperlink" Target="http://www.munzee.com" TargetMode="External"/><Relationship Id="rId2602" Type="http://schemas.openxmlformats.org/officeDocument/2006/relationships/hyperlink" Target="https://www.munzee.com/m/barefootguru/4258/" TargetMode="External"/><Relationship Id="rId2603" Type="http://schemas.openxmlformats.org/officeDocument/2006/relationships/hyperlink" Target="http://www.munzee.com" TargetMode="External"/><Relationship Id="rId2604" Type="http://schemas.openxmlformats.org/officeDocument/2006/relationships/hyperlink" Target="https://www.munzee.com/m/raunas/13089" TargetMode="External"/><Relationship Id="rId2605" Type="http://schemas.openxmlformats.org/officeDocument/2006/relationships/hyperlink" Target="http://www.munzee.com" TargetMode="External"/><Relationship Id="rId2606" Type="http://schemas.openxmlformats.org/officeDocument/2006/relationships/hyperlink" Target="https://www.munzee.com/m/sverlaan/6363/" TargetMode="External"/><Relationship Id="rId808" Type="http://schemas.openxmlformats.org/officeDocument/2006/relationships/hyperlink" Target="https://www.munzee.com/m/TheFrog/4204/" TargetMode="External"/><Relationship Id="rId2607" Type="http://schemas.openxmlformats.org/officeDocument/2006/relationships/hyperlink" Target="http://www.munzee.com" TargetMode="External"/><Relationship Id="rId807" Type="http://schemas.openxmlformats.org/officeDocument/2006/relationships/hyperlink" Target="http://www.munzee.com" TargetMode="External"/><Relationship Id="rId2608" Type="http://schemas.openxmlformats.org/officeDocument/2006/relationships/hyperlink" Target="https://www.munzee.com/m/PawPatrolThomas/4389/" TargetMode="External"/><Relationship Id="rId806" Type="http://schemas.openxmlformats.org/officeDocument/2006/relationships/hyperlink" Target="https://www.munzee.com/m/IggiePiggie/1850/" TargetMode="External"/><Relationship Id="rId2609" Type="http://schemas.openxmlformats.org/officeDocument/2006/relationships/hyperlink" Target="http://www.munzee.com" TargetMode="External"/><Relationship Id="rId805" Type="http://schemas.openxmlformats.org/officeDocument/2006/relationships/hyperlink" Target="https://www.munzee.com/m/rholierhoek/986/" TargetMode="External"/><Relationship Id="rId809" Type="http://schemas.openxmlformats.org/officeDocument/2006/relationships/hyperlink" Target="http://www.munzee.com" TargetMode="External"/><Relationship Id="rId800" Type="http://schemas.openxmlformats.org/officeDocument/2006/relationships/hyperlink" Target="http://www.munzee.com" TargetMode="External"/><Relationship Id="rId804" Type="http://schemas.openxmlformats.org/officeDocument/2006/relationships/hyperlink" Target="http://www.munzee.com" TargetMode="External"/><Relationship Id="rId803" Type="http://schemas.openxmlformats.org/officeDocument/2006/relationships/hyperlink" Target="https://www.munzee.com/m/123xilef/6884/" TargetMode="External"/><Relationship Id="rId802" Type="http://schemas.openxmlformats.org/officeDocument/2006/relationships/hyperlink" Target="http://www.munzee.com" TargetMode="External"/><Relationship Id="rId801" Type="http://schemas.openxmlformats.org/officeDocument/2006/relationships/hyperlink" Target="https://www.munzee.com/m/ArchieRuby/545/" TargetMode="External"/><Relationship Id="rId1334" Type="http://schemas.openxmlformats.org/officeDocument/2006/relationships/hyperlink" Target="https://www.munzee.com/m/BrotherWilliam/4280/admin/" TargetMode="External"/><Relationship Id="rId2665" Type="http://schemas.openxmlformats.org/officeDocument/2006/relationships/hyperlink" Target="https://www.munzee.com/m/EmileP68/5007/" TargetMode="External"/><Relationship Id="rId1335" Type="http://schemas.openxmlformats.org/officeDocument/2006/relationships/hyperlink" Target="http://www.munzee.com" TargetMode="External"/><Relationship Id="rId2666" Type="http://schemas.openxmlformats.org/officeDocument/2006/relationships/hyperlink" Target="http://www.munzee.com" TargetMode="External"/><Relationship Id="rId1336" Type="http://schemas.openxmlformats.org/officeDocument/2006/relationships/hyperlink" Target="https://www.munzee.com/m/ArtofEco/3116/admin/" TargetMode="External"/><Relationship Id="rId2667" Type="http://schemas.openxmlformats.org/officeDocument/2006/relationships/hyperlink" Target="https://www.munzee.com/m/PawPatrolThomas/4108/" TargetMode="External"/><Relationship Id="rId1337" Type="http://schemas.openxmlformats.org/officeDocument/2006/relationships/hyperlink" Target="http://www.munzee.com" TargetMode="External"/><Relationship Id="rId2668" Type="http://schemas.openxmlformats.org/officeDocument/2006/relationships/hyperlink" Target="http://www.munzee.com" TargetMode="External"/><Relationship Id="rId1338" Type="http://schemas.openxmlformats.org/officeDocument/2006/relationships/hyperlink" Target="https://www.munzee.com/m/TheFatCats/3948/" TargetMode="External"/><Relationship Id="rId2669" Type="http://schemas.openxmlformats.org/officeDocument/2006/relationships/hyperlink" Target="https://www.munzee.com/m/BrotherWilliam/5430/" TargetMode="External"/><Relationship Id="rId1339" Type="http://schemas.openxmlformats.org/officeDocument/2006/relationships/hyperlink" Target="http://www.munzee.com" TargetMode="External"/><Relationship Id="rId745" Type="http://schemas.openxmlformats.org/officeDocument/2006/relationships/hyperlink" Target="https://www.munzee.com/m/hoekraam/8962/" TargetMode="External"/><Relationship Id="rId744" Type="http://schemas.openxmlformats.org/officeDocument/2006/relationships/hyperlink" Target="http://www.munzee.com" TargetMode="External"/><Relationship Id="rId743" Type="http://schemas.openxmlformats.org/officeDocument/2006/relationships/hyperlink" Target="https://www.munzee.com/m/belladivadee/3025" TargetMode="External"/><Relationship Id="rId742" Type="http://schemas.openxmlformats.org/officeDocument/2006/relationships/hyperlink" Target="http://www.munzee.com" TargetMode="External"/><Relationship Id="rId749" Type="http://schemas.openxmlformats.org/officeDocument/2006/relationships/hyperlink" Target="https://www.munzee.com/m/Drazoria/742/" TargetMode="External"/><Relationship Id="rId748" Type="http://schemas.openxmlformats.org/officeDocument/2006/relationships/hyperlink" Target="http://www.munzee.com" TargetMode="External"/><Relationship Id="rId747" Type="http://schemas.openxmlformats.org/officeDocument/2006/relationships/hyperlink" Target="https://www.munzee.com/m/lison55/5298" TargetMode="External"/><Relationship Id="rId746" Type="http://schemas.openxmlformats.org/officeDocument/2006/relationships/hyperlink" Target="http://www.munzee.com" TargetMode="External"/><Relationship Id="rId2660" Type="http://schemas.openxmlformats.org/officeDocument/2006/relationships/hyperlink" Target="http://www.munzee.com" TargetMode="External"/><Relationship Id="rId741" Type="http://schemas.openxmlformats.org/officeDocument/2006/relationships/hyperlink" Target="https://www.munzee.com/m/EmileP68/2964/" TargetMode="External"/><Relationship Id="rId1330" Type="http://schemas.openxmlformats.org/officeDocument/2006/relationships/hyperlink" Target="https://www.munzee.com/m/123xilef/6997/" TargetMode="External"/><Relationship Id="rId2661" Type="http://schemas.openxmlformats.org/officeDocument/2006/relationships/hyperlink" Target="https://www.munzee.com/m/raunas/12273" TargetMode="External"/><Relationship Id="rId740" Type="http://schemas.openxmlformats.org/officeDocument/2006/relationships/hyperlink" Target="http://www.munzee.com" TargetMode="External"/><Relationship Id="rId1331" Type="http://schemas.openxmlformats.org/officeDocument/2006/relationships/hyperlink" Target="http://www.munzee.com" TargetMode="External"/><Relationship Id="rId2662" Type="http://schemas.openxmlformats.org/officeDocument/2006/relationships/hyperlink" Target="http://www.munzee.com" TargetMode="External"/><Relationship Id="rId1332" Type="http://schemas.openxmlformats.org/officeDocument/2006/relationships/hyperlink" Target="https://www.munzee.com/m/TheFatCats/3942/" TargetMode="External"/><Relationship Id="rId2663" Type="http://schemas.openxmlformats.org/officeDocument/2006/relationships/hyperlink" Target="https://www.munzee.com/m/sverlaan/6187/" TargetMode="External"/><Relationship Id="rId1333" Type="http://schemas.openxmlformats.org/officeDocument/2006/relationships/hyperlink" Target="http://www.munzee.com" TargetMode="External"/><Relationship Id="rId2664" Type="http://schemas.openxmlformats.org/officeDocument/2006/relationships/hyperlink" Target="http://www.munzee.com" TargetMode="External"/><Relationship Id="rId1323" Type="http://schemas.openxmlformats.org/officeDocument/2006/relationships/hyperlink" Target="http://www.munzee.com" TargetMode="External"/><Relationship Id="rId2654" Type="http://schemas.openxmlformats.org/officeDocument/2006/relationships/hyperlink" Target="http://www.munzee.com" TargetMode="External"/><Relationship Id="rId1324" Type="http://schemas.openxmlformats.org/officeDocument/2006/relationships/hyperlink" Target="https://www.munzee.com/m/sverlaan/3887/" TargetMode="External"/><Relationship Id="rId2655" Type="http://schemas.openxmlformats.org/officeDocument/2006/relationships/hyperlink" Target="https://www.munzee.com/m/mortonfox/24201/" TargetMode="External"/><Relationship Id="rId1325" Type="http://schemas.openxmlformats.org/officeDocument/2006/relationships/hyperlink" Target="http://www.munzee.com" TargetMode="External"/><Relationship Id="rId2656" Type="http://schemas.openxmlformats.org/officeDocument/2006/relationships/hyperlink" Target="http://www.munzee.com" TargetMode="External"/><Relationship Id="rId1326" Type="http://schemas.openxmlformats.org/officeDocument/2006/relationships/hyperlink" Target="https://www.munzee.com/m/amadoreugen/5827" TargetMode="External"/><Relationship Id="rId2657" Type="http://schemas.openxmlformats.org/officeDocument/2006/relationships/hyperlink" Target="https://www.munzee.com/m/Ellesche/841" TargetMode="External"/><Relationship Id="rId1327" Type="http://schemas.openxmlformats.org/officeDocument/2006/relationships/hyperlink" Target="http://www.munzee.com" TargetMode="External"/><Relationship Id="rId2658" Type="http://schemas.openxmlformats.org/officeDocument/2006/relationships/hyperlink" Target="http://www.munzee.com" TargetMode="External"/><Relationship Id="rId1328" Type="http://schemas.openxmlformats.org/officeDocument/2006/relationships/hyperlink" Target="https://www.munzee.com/m/TheFrog/4457/" TargetMode="External"/><Relationship Id="rId2659" Type="http://schemas.openxmlformats.org/officeDocument/2006/relationships/hyperlink" Target="https://www.munzee.com/m/barefootguru/5057/" TargetMode="External"/><Relationship Id="rId1329" Type="http://schemas.openxmlformats.org/officeDocument/2006/relationships/hyperlink" Target="http://www.munzee.com" TargetMode="External"/><Relationship Id="rId739" Type="http://schemas.openxmlformats.org/officeDocument/2006/relationships/hyperlink" Target="https://www.munzee.com/m/PawPatrolThomas/2271/" TargetMode="External"/><Relationship Id="rId734" Type="http://schemas.openxmlformats.org/officeDocument/2006/relationships/hyperlink" Target="http://www.munzee.com" TargetMode="External"/><Relationship Id="rId733" Type="http://schemas.openxmlformats.org/officeDocument/2006/relationships/hyperlink" Target="https://www.munzee.com/m/babyw/3051/" TargetMode="External"/><Relationship Id="rId732" Type="http://schemas.openxmlformats.org/officeDocument/2006/relationships/hyperlink" Target="http://www.munzee.com" TargetMode="External"/><Relationship Id="rId731" Type="http://schemas.openxmlformats.org/officeDocument/2006/relationships/hyperlink" Target="https://www.munzee.com/m/Bambinacattiva/663/" TargetMode="External"/><Relationship Id="rId738" Type="http://schemas.openxmlformats.org/officeDocument/2006/relationships/hyperlink" Target="http://www.munzee.com" TargetMode="External"/><Relationship Id="rId737" Type="http://schemas.openxmlformats.org/officeDocument/2006/relationships/hyperlink" Target="https://www.munzee.com/m/sverlaan/4185/" TargetMode="External"/><Relationship Id="rId736" Type="http://schemas.openxmlformats.org/officeDocument/2006/relationships/hyperlink" Target="http://www.munzee.com" TargetMode="External"/><Relationship Id="rId735" Type="http://schemas.openxmlformats.org/officeDocument/2006/relationships/hyperlink" Target="https://www.munzee.com/m/Lanyasummer/4367/" TargetMode="External"/><Relationship Id="rId730" Type="http://schemas.openxmlformats.org/officeDocument/2006/relationships/hyperlink" Target="http://www.munzee.com" TargetMode="External"/><Relationship Id="rId2650" Type="http://schemas.openxmlformats.org/officeDocument/2006/relationships/hyperlink" Target="http://www.munzee.com" TargetMode="External"/><Relationship Id="rId1320" Type="http://schemas.openxmlformats.org/officeDocument/2006/relationships/hyperlink" Target="https://www.munzee.com/m/FlatBlack/966" TargetMode="External"/><Relationship Id="rId2651" Type="http://schemas.openxmlformats.org/officeDocument/2006/relationships/hyperlink" Target="https://www.munzee.com/m/Bisquick2/7027/" TargetMode="External"/><Relationship Id="rId1321" Type="http://schemas.openxmlformats.org/officeDocument/2006/relationships/hyperlink" Target="http://www.munzee.com" TargetMode="External"/><Relationship Id="rId2652" Type="http://schemas.openxmlformats.org/officeDocument/2006/relationships/hyperlink" Target="http://www.munzee.com" TargetMode="External"/><Relationship Id="rId1322" Type="http://schemas.openxmlformats.org/officeDocument/2006/relationships/hyperlink" Target="https://www.munzee.com/m/PawPatrolThomas/2082/" TargetMode="External"/><Relationship Id="rId2653" Type="http://schemas.openxmlformats.org/officeDocument/2006/relationships/hyperlink" Target="https://www.munzee.com/m/res2100/887" TargetMode="External"/><Relationship Id="rId1356" Type="http://schemas.openxmlformats.org/officeDocument/2006/relationships/hyperlink" Target="https://www.munzee.com/m/PawPatrolThomas/3057/" TargetMode="External"/><Relationship Id="rId2687" Type="http://schemas.openxmlformats.org/officeDocument/2006/relationships/hyperlink" Target="https://www.munzee.com/m/lupo6/6721" TargetMode="External"/><Relationship Id="rId1357" Type="http://schemas.openxmlformats.org/officeDocument/2006/relationships/hyperlink" Target="http://www.munzee.com" TargetMode="External"/><Relationship Id="rId2688" Type="http://schemas.openxmlformats.org/officeDocument/2006/relationships/hyperlink" Target="http://www.munzee.com" TargetMode="External"/><Relationship Id="rId1358" Type="http://schemas.openxmlformats.org/officeDocument/2006/relationships/hyperlink" Target="https://www.munzee.com/m/EmileP68/3334/" TargetMode="External"/><Relationship Id="rId2689" Type="http://schemas.openxmlformats.org/officeDocument/2006/relationships/hyperlink" Target="https://www.munzee.com/m/barefootguru/4194/" TargetMode="External"/><Relationship Id="rId1359" Type="http://schemas.openxmlformats.org/officeDocument/2006/relationships/hyperlink" Target="http://www.munzee.com" TargetMode="External"/><Relationship Id="rId767" Type="http://schemas.openxmlformats.org/officeDocument/2006/relationships/hyperlink" Target="https://www.munzee.com/m/FromTheTardis/1375/" TargetMode="External"/><Relationship Id="rId766" Type="http://schemas.openxmlformats.org/officeDocument/2006/relationships/hyperlink" Target="http://www.munzee.com" TargetMode="External"/><Relationship Id="rId765" Type="http://schemas.openxmlformats.org/officeDocument/2006/relationships/hyperlink" Target="https://www.munzee.com/m/fsafranek/4154/" TargetMode="External"/><Relationship Id="rId764" Type="http://schemas.openxmlformats.org/officeDocument/2006/relationships/hyperlink" Target="http://www.munzee.com" TargetMode="External"/><Relationship Id="rId769" Type="http://schemas.openxmlformats.org/officeDocument/2006/relationships/hyperlink" Target="https://www.munzee.com/m/J1Huisman/11303/" TargetMode="External"/><Relationship Id="rId768" Type="http://schemas.openxmlformats.org/officeDocument/2006/relationships/hyperlink" Target="http://www.munzee.com" TargetMode="External"/><Relationship Id="rId2680" Type="http://schemas.openxmlformats.org/officeDocument/2006/relationships/hyperlink" Target="http://www.munzee.com" TargetMode="External"/><Relationship Id="rId1350" Type="http://schemas.openxmlformats.org/officeDocument/2006/relationships/hyperlink" Target="https://www.munzee.com/m/Bungle/3148" TargetMode="External"/><Relationship Id="rId2681" Type="http://schemas.openxmlformats.org/officeDocument/2006/relationships/hyperlink" Target="https://www.munzee.com/m/Tinake1309/1667/" TargetMode="External"/><Relationship Id="rId1351" Type="http://schemas.openxmlformats.org/officeDocument/2006/relationships/hyperlink" Target="http://www.munzee.com" TargetMode="External"/><Relationship Id="rId2682" Type="http://schemas.openxmlformats.org/officeDocument/2006/relationships/hyperlink" Target="http://www.munzee.com" TargetMode="External"/><Relationship Id="rId763" Type="http://schemas.openxmlformats.org/officeDocument/2006/relationships/hyperlink" Target="https://www.munzee.com/m/GroteSufferd/322/admin/" TargetMode="External"/><Relationship Id="rId1352" Type="http://schemas.openxmlformats.org/officeDocument/2006/relationships/hyperlink" Target="https://www.munzee.com/m/belladivadee/3272" TargetMode="External"/><Relationship Id="rId2683" Type="http://schemas.openxmlformats.org/officeDocument/2006/relationships/hyperlink" Target="https://www.munzee.com/m/Berg14/1574/" TargetMode="External"/><Relationship Id="rId762" Type="http://schemas.openxmlformats.org/officeDocument/2006/relationships/hyperlink" Target="http://www.munzee.com" TargetMode="External"/><Relationship Id="rId1353" Type="http://schemas.openxmlformats.org/officeDocument/2006/relationships/hyperlink" Target="http://www.munzee.com" TargetMode="External"/><Relationship Id="rId2684" Type="http://schemas.openxmlformats.org/officeDocument/2006/relationships/hyperlink" Target="http://www.munzee.com" TargetMode="External"/><Relationship Id="rId761" Type="http://schemas.openxmlformats.org/officeDocument/2006/relationships/hyperlink" Target="https://www.munzee.com/m/JackSparrow/19712" TargetMode="External"/><Relationship Id="rId1354" Type="http://schemas.openxmlformats.org/officeDocument/2006/relationships/hyperlink" Target="https://www.munzee.com/m/sverlaan/4638/" TargetMode="External"/><Relationship Id="rId2685" Type="http://schemas.openxmlformats.org/officeDocument/2006/relationships/hyperlink" Target="https://www.munzee.com/m/Niks13/1560/" TargetMode="External"/><Relationship Id="rId760" Type="http://schemas.openxmlformats.org/officeDocument/2006/relationships/hyperlink" Target="http://www.munzee.com" TargetMode="External"/><Relationship Id="rId1355" Type="http://schemas.openxmlformats.org/officeDocument/2006/relationships/hyperlink" Target="http://www.munzee.com" TargetMode="External"/><Relationship Id="rId2686" Type="http://schemas.openxmlformats.org/officeDocument/2006/relationships/hyperlink" Target="http://www.munzee.com" TargetMode="External"/><Relationship Id="rId1345" Type="http://schemas.openxmlformats.org/officeDocument/2006/relationships/hyperlink" Target="http://www.munzee.com" TargetMode="External"/><Relationship Id="rId2676" Type="http://schemas.openxmlformats.org/officeDocument/2006/relationships/hyperlink" Target="http://www.munzee.com" TargetMode="External"/><Relationship Id="rId1346" Type="http://schemas.openxmlformats.org/officeDocument/2006/relationships/hyperlink" Target="https://www.munzee.com/m/barefootguru/3185/" TargetMode="External"/><Relationship Id="rId2677" Type="http://schemas.openxmlformats.org/officeDocument/2006/relationships/hyperlink" Target="https://www.munzee.com/m/xrayneex/2533/" TargetMode="External"/><Relationship Id="rId1347" Type="http://schemas.openxmlformats.org/officeDocument/2006/relationships/hyperlink" Target="http://www.munzee.com" TargetMode="External"/><Relationship Id="rId2678" Type="http://schemas.openxmlformats.org/officeDocument/2006/relationships/hyperlink" Target="http://www.munzee.com" TargetMode="External"/><Relationship Id="rId1348" Type="http://schemas.openxmlformats.org/officeDocument/2006/relationships/hyperlink" Target="https://www.munzee.com/m/xrayneex/1542/" TargetMode="External"/><Relationship Id="rId2679" Type="http://schemas.openxmlformats.org/officeDocument/2006/relationships/hyperlink" Target="https://www.munzee.com/m/Drazoria/1652/" TargetMode="External"/><Relationship Id="rId1349" Type="http://schemas.openxmlformats.org/officeDocument/2006/relationships/hyperlink" Target="http://www.munzee.com" TargetMode="External"/><Relationship Id="rId756" Type="http://schemas.openxmlformats.org/officeDocument/2006/relationships/hyperlink" Target="http://www.munzee.com" TargetMode="External"/><Relationship Id="rId755" Type="http://schemas.openxmlformats.org/officeDocument/2006/relationships/hyperlink" Target="https://www.munzee.com/m/Niks13/544/" TargetMode="External"/><Relationship Id="rId754" Type="http://schemas.openxmlformats.org/officeDocument/2006/relationships/hyperlink" Target="http://www.munzee.com" TargetMode="External"/><Relationship Id="rId753" Type="http://schemas.openxmlformats.org/officeDocument/2006/relationships/hyperlink" Target="https://www.munzee.com/m/Berg14/566" TargetMode="External"/><Relationship Id="rId759" Type="http://schemas.openxmlformats.org/officeDocument/2006/relationships/hyperlink" Target="https://www.munzee.com/m/barefootguru/3130/" TargetMode="External"/><Relationship Id="rId758" Type="http://schemas.openxmlformats.org/officeDocument/2006/relationships/hyperlink" Target="http://www.munzee.com" TargetMode="External"/><Relationship Id="rId757" Type="http://schemas.openxmlformats.org/officeDocument/2006/relationships/hyperlink" Target="https://www.munzee.com/m/Derlame/12250/" TargetMode="External"/><Relationship Id="rId2670" Type="http://schemas.openxmlformats.org/officeDocument/2006/relationships/hyperlink" Target="http://www.munzee.com" TargetMode="External"/><Relationship Id="rId1340" Type="http://schemas.openxmlformats.org/officeDocument/2006/relationships/hyperlink" Target="https://www.munzee.com/m/DJSmith/7277/" TargetMode="External"/><Relationship Id="rId2671" Type="http://schemas.openxmlformats.org/officeDocument/2006/relationships/hyperlink" Target="https://www.munzee.com/m/ArtofEco/3660/" TargetMode="External"/><Relationship Id="rId752" Type="http://schemas.openxmlformats.org/officeDocument/2006/relationships/hyperlink" Target="http://www.munzee.com" TargetMode="External"/><Relationship Id="rId1341" Type="http://schemas.openxmlformats.org/officeDocument/2006/relationships/hyperlink" Target="http://www.munzee.com" TargetMode="External"/><Relationship Id="rId2672" Type="http://schemas.openxmlformats.org/officeDocument/2006/relationships/hyperlink" Target="http://www.munzee.com" TargetMode="External"/><Relationship Id="rId751" Type="http://schemas.openxmlformats.org/officeDocument/2006/relationships/hyperlink" Target="https://www.munzee.com/m/Tinake1309/729/" TargetMode="External"/><Relationship Id="rId1342" Type="http://schemas.openxmlformats.org/officeDocument/2006/relationships/hyperlink" Target="https://www.munzee.com/m/Wangotango/1352" TargetMode="External"/><Relationship Id="rId2673" Type="http://schemas.openxmlformats.org/officeDocument/2006/relationships/hyperlink" Target="https://www.munzee.com/m/J1Huisman/13072/" TargetMode="External"/><Relationship Id="rId750" Type="http://schemas.openxmlformats.org/officeDocument/2006/relationships/hyperlink" Target="http://www.munzee.com" TargetMode="External"/><Relationship Id="rId1343" Type="http://schemas.openxmlformats.org/officeDocument/2006/relationships/hyperlink" Target="http://www.munzee.com" TargetMode="External"/><Relationship Id="rId2674" Type="http://schemas.openxmlformats.org/officeDocument/2006/relationships/hyperlink" Target="http://www.munzee.com" TargetMode="External"/><Relationship Id="rId1344" Type="http://schemas.openxmlformats.org/officeDocument/2006/relationships/hyperlink" Target="https://www.munzee.com/m/5Star/4692/" TargetMode="External"/><Relationship Id="rId2675" Type="http://schemas.openxmlformats.org/officeDocument/2006/relationships/hyperlink" Target="https://www.munzee.com/m/fsafranek/5483/" TargetMode="External"/><Relationship Id="rId2621" Type="http://schemas.openxmlformats.org/officeDocument/2006/relationships/hyperlink" Target="https://www.munzee.com/m/rita85gto/3864/" TargetMode="External"/><Relationship Id="rId2622" Type="http://schemas.openxmlformats.org/officeDocument/2006/relationships/hyperlink" Target="http://www.munzee.com" TargetMode="External"/><Relationship Id="rId2623" Type="http://schemas.openxmlformats.org/officeDocument/2006/relationships/hyperlink" Target="https://www.munzee.com/m/xrayneex/2323/" TargetMode="External"/><Relationship Id="rId2624" Type="http://schemas.openxmlformats.org/officeDocument/2006/relationships/hyperlink" Target="http://www.munzee.com" TargetMode="External"/><Relationship Id="rId2625" Type="http://schemas.openxmlformats.org/officeDocument/2006/relationships/hyperlink" Target="https://www.munzee.com/m/Drazoria/1651/" TargetMode="External"/><Relationship Id="rId2626" Type="http://schemas.openxmlformats.org/officeDocument/2006/relationships/hyperlink" Target="http://www.munzee.com" TargetMode="External"/><Relationship Id="rId2627" Type="http://schemas.openxmlformats.org/officeDocument/2006/relationships/hyperlink" Target="https://www.munzee.com/m/Tinake1309/1614/" TargetMode="External"/><Relationship Id="rId2628" Type="http://schemas.openxmlformats.org/officeDocument/2006/relationships/hyperlink" Target="http://www.munzee.com" TargetMode="External"/><Relationship Id="rId709" Type="http://schemas.openxmlformats.org/officeDocument/2006/relationships/hyperlink" Target="https://www.munzee.com/m/Lylmik/1495" TargetMode="External"/><Relationship Id="rId2629" Type="http://schemas.openxmlformats.org/officeDocument/2006/relationships/hyperlink" Target="https://www.munzee.com/m/Berg14/1522/" TargetMode="External"/><Relationship Id="rId708" Type="http://schemas.openxmlformats.org/officeDocument/2006/relationships/hyperlink" Target="http://www.munzee.com" TargetMode="External"/><Relationship Id="rId707" Type="http://schemas.openxmlformats.org/officeDocument/2006/relationships/hyperlink" Target="https://www.munzee.com/m/123xilef/6999/" TargetMode="External"/><Relationship Id="rId706" Type="http://schemas.openxmlformats.org/officeDocument/2006/relationships/hyperlink" Target="http://www.munzee.com" TargetMode="External"/><Relationship Id="rId701" Type="http://schemas.openxmlformats.org/officeDocument/2006/relationships/hyperlink" Target="https://www.munzee.com/m/LtRangerBob/2603/" TargetMode="External"/><Relationship Id="rId700" Type="http://schemas.openxmlformats.org/officeDocument/2006/relationships/hyperlink" Target="http://www.munzee.com" TargetMode="External"/><Relationship Id="rId705" Type="http://schemas.openxmlformats.org/officeDocument/2006/relationships/hyperlink" Target="https://www.munzee.com/m/TheFrog/4170/" TargetMode="External"/><Relationship Id="rId704" Type="http://schemas.openxmlformats.org/officeDocument/2006/relationships/hyperlink" Target="http://www.munzee.com" TargetMode="External"/><Relationship Id="rId703" Type="http://schemas.openxmlformats.org/officeDocument/2006/relationships/hyperlink" Target="https://www.munzee.com/m/IXE13/186/" TargetMode="External"/><Relationship Id="rId702" Type="http://schemas.openxmlformats.org/officeDocument/2006/relationships/hyperlink" Target="http://www.munzee.com" TargetMode="External"/><Relationship Id="rId2620" Type="http://schemas.openxmlformats.org/officeDocument/2006/relationships/hyperlink" Target="https://www.munzee.com/m/fsafranek/5478/" TargetMode="External"/><Relationship Id="rId2610" Type="http://schemas.openxmlformats.org/officeDocument/2006/relationships/hyperlink" Target="https://www.munzee.com/m/EmileP68/5025/" TargetMode="External"/><Relationship Id="rId2611" Type="http://schemas.openxmlformats.org/officeDocument/2006/relationships/hyperlink" Target="http://www.munzee.com" TargetMode="External"/><Relationship Id="rId2612" Type="http://schemas.openxmlformats.org/officeDocument/2006/relationships/hyperlink" Target="https://www.munzee.com/m/Bungle/10527" TargetMode="External"/><Relationship Id="rId2613" Type="http://schemas.openxmlformats.org/officeDocument/2006/relationships/hyperlink" Target="http://www.munzee.com" TargetMode="External"/><Relationship Id="rId2614" Type="http://schemas.openxmlformats.org/officeDocument/2006/relationships/hyperlink" Target="https://www.munzee.com/m/BrotherWilliam/5400/" TargetMode="External"/><Relationship Id="rId2615" Type="http://schemas.openxmlformats.org/officeDocument/2006/relationships/hyperlink" Target="http://www.munzee.com" TargetMode="External"/><Relationship Id="rId2616" Type="http://schemas.openxmlformats.org/officeDocument/2006/relationships/hyperlink" Target="https://www.munzee.com/m/ArtofEco/3680/" TargetMode="External"/><Relationship Id="rId2617" Type="http://schemas.openxmlformats.org/officeDocument/2006/relationships/hyperlink" Target="http://www.munzee.com" TargetMode="External"/><Relationship Id="rId2618" Type="http://schemas.openxmlformats.org/officeDocument/2006/relationships/hyperlink" Target="https://www.munzee.com/m/J1Huisman/13460/" TargetMode="External"/><Relationship Id="rId2619" Type="http://schemas.openxmlformats.org/officeDocument/2006/relationships/hyperlink" Target="http://www.munzee.com" TargetMode="External"/><Relationship Id="rId1312" Type="http://schemas.openxmlformats.org/officeDocument/2006/relationships/hyperlink" Target="https://www.munzee.com/m/cbf600/2646/" TargetMode="External"/><Relationship Id="rId2643" Type="http://schemas.openxmlformats.org/officeDocument/2006/relationships/hyperlink" Target="https://www.munzee.com/m/cbf600/3781/" TargetMode="External"/><Relationship Id="rId1313" Type="http://schemas.openxmlformats.org/officeDocument/2006/relationships/hyperlink" Target="http://www.munzee.com" TargetMode="External"/><Relationship Id="rId2644" Type="http://schemas.openxmlformats.org/officeDocument/2006/relationships/hyperlink" Target="http://www.munzee.com" TargetMode="External"/><Relationship Id="rId1314" Type="http://schemas.openxmlformats.org/officeDocument/2006/relationships/hyperlink" Target="https://www.munzee.com/m/sverlaan/5175/" TargetMode="External"/><Relationship Id="rId2645" Type="http://schemas.openxmlformats.org/officeDocument/2006/relationships/hyperlink" Target="https://www.munzee.com/m/CzPeet/6724/admin/map/" TargetMode="External"/><Relationship Id="rId1315" Type="http://schemas.openxmlformats.org/officeDocument/2006/relationships/hyperlink" Target="http://www.munzee.com" TargetMode="External"/><Relationship Id="rId2646" Type="http://schemas.openxmlformats.org/officeDocument/2006/relationships/hyperlink" Target="http://www.munzee.com" TargetMode="External"/><Relationship Id="rId1316" Type="http://schemas.openxmlformats.org/officeDocument/2006/relationships/hyperlink" Target="https://www.munzee.com/m/Bisquick2/4559/" TargetMode="External"/><Relationship Id="rId2647" Type="http://schemas.openxmlformats.org/officeDocument/2006/relationships/hyperlink" Target="https://www.munzee.com/m/TheFrog/6341/" TargetMode="External"/><Relationship Id="rId1317" Type="http://schemas.openxmlformats.org/officeDocument/2006/relationships/hyperlink" Target="http://www.munzee.com" TargetMode="External"/><Relationship Id="rId2648" Type="http://schemas.openxmlformats.org/officeDocument/2006/relationships/hyperlink" Target="http://www.munzee.com" TargetMode="External"/><Relationship Id="rId1318" Type="http://schemas.openxmlformats.org/officeDocument/2006/relationships/hyperlink" Target="https://www.munzee.com/m/sverlaan/5026/" TargetMode="External"/><Relationship Id="rId2649" Type="http://schemas.openxmlformats.org/officeDocument/2006/relationships/hyperlink" Target="https://www.munzee.com/m/123xilef/13729/" TargetMode="External"/><Relationship Id="rId1319" Type="http://schemas.openxmlformats.org/officeDocument/2006/relationships/hyperlink" Target="http://www.munzee.com" TargetMode="External"/><Relationship Id="rId729" Type="http://schemas.openxmlformats.org/officeDocument/2006/relationships/hyperlink" Target="https://www.munzee.com/m/hoekraam/9011/" TargetMode="External"/><Relationship Id="rId728" Type="http://schemas.openxmlformats.org/officeDocument/2006/relationships/hyperlink" Target="http://www.munzee.com" TargetMode="External"/><Relationship Id="rId723" Type="http://schemas.openxmlformats.org/officeDocument/2006/relationships/hyperlink" Target="https://www.munzee.com/m/all0123/3932/" TargetMode="External"/><Relationship Id="rId722" Type="http://schemas.openxmlformats.org/officeDocument/2006/relationships/hyperlink" Target="http://www.munzee.com" TargetMode="External"/><Relationship Id="rId721" Type="http://schemas.openxmlformats.org/officeDocument/2006/relationships/hyperlink" Target="https://www.munzee.com/m/barefootguru/3128/" TargetMode="External"/><Relationship Id="rId720" Type="http://schemas.openxmlformats.org/officeDocument/2006/relationships/hyperlink" Target="http://www.munzee.com" TargetMode="External"/><Relationship Id="rId727" Type="http://schemas.openxmlformats.org/officeDocument/2006/relationships/hyperlink" Target="https://www.munzee.com/m/Lylmik/1492" TargetMode="External"/><Relationship Id="rId726" Type="http://schemas.openxmlformats.org/officeDocument/2006/relationships/hyperlink" Target="http://www.munzee.com" TargetMode="External"/><Relationship Id="rId725" Type="http://schemas.openxmlformats.org/officeDocument/2006/relationships/hyperlink" Target="https://www.munzee.com/m/belladivadee/3081" TargetMode="External"/><Relationship Id="rId724" Type="http://schemas.openxmlformats.org/officeDocument/2006/relationships/hyperlink" Target="http://www.munzee.com" TargetMode="External"/><Relationship Id="rId2640" Type="http://schemas.openxmlformats.org/officeDocument/2006/relationships/hyperlink" Target="http://www.munzee.com" TargetMode="External"/><Relationship Id="rId1310" Type="http://schemas.openxmlformats.org/officeDocument/2006/relationships/hyperlink" Target="https://www.munzee.com/m/mding4gold/4867" TargetMode="External"/><Relationship Id="rId2641" Type="http://schemas.openxmlformats.org/officeDocument/2006/relationships/hyperlink" Target="https://www.munzee.com/m/Anetzet/4843/" TargetMode="External"/><Relationship Id="rId1311" Type="http://schemas.openxmlformats.org/officeDocument/2006/relationships/hyperlink" Target="http://www.munzee.com" TargetMode="External"/><Relationship Id="rId2642" Type="http://schemas.openxmlformats.org/officeDocument/2006/relationships/hyperlink" Target="http://www.munzee.com" TargetMode="External"/><Relationship Id="rId1301" Type="http://schemas.openxmlformats.org/officeDocument/2006/relationships/hyperlink" Target="http://www.munzee.com" TargetMode="External"/><Relationship Id="rId2632" Type="http://schemas.openxmlformats.org/officeDocument/2006/relationships/hyperlink" Target="http://www.munzee.com" TargetMode="External"/><Relationship Id="rId1302" Type="http://schemas.openxmlformats.org/officeDocument/2006/relationships/hyperlink" Target="https://www.munzee.com/m/cbf600/2507/" TargetMode="External"/><Relationship Id="rId2633" Type="http://schemas.openxmlformats.org/officeDocument/2006/relationships/hyperlink" Target="https://www.munzee.com/m/lupo6/6723" TargetMode="External"/><Relationship Id="rId1303" Type="http://schemas.openxmlformats.org/officeDocument/2006/relationships/hyperlink" Target="http://www.munzee.com" TargetMode="External"/><Relationship Id="rId2634" Type="http://schemas.openxmlformats.org/officeDocument/2006/relationships/hyperlink" Target="http://www.munzee.com" TargetMode="External"/><Relationship Id="rId1304" Type="http://schemas.openxmlformats.org/officeDocument/2006/relationships/hyperlink" Target="https://www.munzee.com/m/IggiePiggie/2109/" TargetMode="External"/><Relationship Id="rId2635" Type="http://schemas.openxmlformats.org/officeDocument/2006/relationships/hyperlink" Target="https://www.munzee.com/m/crscousins/4089/" TargetMode="External"/><Relationship Id="rId1305" Type="http://schemas.openxmlformats.org/officeDocument/2006/relationships/hyperlink" Target="http://www.munzee.com" TargetMode="External"/><Relationship Id="rId2636" Type="http://schemas.openxmlformats.org/officeDocument/2006/relationships/hyperlink" Target="http://www.munzee.com" TargetMode="External"/><Relationship Id="rId1306" Type="http://schemas.openxmlformats.org/officeDocument/2006/relationships/hyperlink" Target="https://www.munzee.com/m/Fossillady/3471/" TargetMode="External"/><Relationship Id="rId2637" Type="http://schemas.openxmlformats.org/officeDocument/2006/relationships/hyperlink" Target="https://www.munzee.com/m/Wangotango/1377/" TargetMode="External"/><Relationship Id="rId1307" Type="http://schemas.openxmlformats.org/officeDocument/2006/relationships/hyperlink" Target="http://www.munzee.com" TargetMode="External"/><Relationship Id="rId2638" Type="http://schemas.openxmlformats.org/officeDocument/2006/relationships/hyperlink" Target="http://www.munzee.com" TargetMode="External"/><Relationship Id="rId1308" Type="http://schemas.openxmlformats.org/officeDocument/2006/relationships/hyperlink" Target="https://www.munzee.com/m/Trappertje/5488/" TargetMode="External"/><Relationship Id="rId2639" Type="http://schemas.openxmlformats.org/officeDocument/2006/relationships/hyperlink" Target="https://www.munzee.com/m/OdinsFiRe/2089/" TargetMode="External"/><Relationship Id="rId1309" Type="http://schemas.openxmlformats.org/officeDocument/2006/relationships/hyperlink" Target="http://www.munzee.com" TargetMode="External"/><Relationship Id="rId719" Type="http://schemas.openxmlformats.org/officeDocument/2006/relationships/hyperlink" Target="https://www.munzee.com/m/all0123/3912/" TargetMode="External"/><Relationship Id="rId718" Type="http://schemas.openxmlformats.org/officeDocument/2006/relationships/hyperlink" Target="http://www.munzee.com" TargetMode="External"/><Relationship Id="rId717" Type="http://schemas.openxmlformats.org/officeDocument/2006/relationships/hyperlink" Target="https://www.munzee.com/m/Dazzle007/795/" TargetMode="External"/><Relationship Id="rId712" Type="http://schemas.openxmlformats.org/officeDocument/2006/relationships/hyperlink" Target="http://www.munzee.com" TargetMode="External"/><Relationship Id="rId711" Type="http://schemas.openxmlformats.org/officeDocument/2006/relationships/hyperlink" Target="https://www.munzee.com/m/PinkBulldog/2312/" TargetMode="External"/><Relationship Id="rId710" Type="http://schemas.openxmlformats.org/officeDocument/2006/relationships/hyperlink" Target="http://www.munzee.com" TargetMode="External"/><Relationship Id="rId716" Type="http://schemas.openxmlformats.org/officeDocument/2006/relationships/hyperlink" Target="http://www.munzee.com" TargetMode="External"/><Relationship Id="rId715" Type="http://schemas.openxmlformats.org/officeDocument/2006/relationships/hyperlink" Target="https://www.munzee.com/m/BoyBou/3904/" TargetMode="External"/><Relationship Id="rId714" Type="http://schemas.openxmlformats.org/officeDocument/2006/relationships/hyperlink" Target="http://www.munzee.com" TargetMode="External"/><Relationship Id="rId713" Type="http://schemas.openxmlformats.org/officeDocument/2006/relationships/hyperlink" Target="https://www.munzee.com/m/Vanocho/810/" TargetMode="External"/><Relationship Id="rId2630" Type="http://schemas.openxmlformats.org/officeDocument/2006/relationships/hyperlink" Target="http://www.munzee.com" TargetMode="External"/><Relationship Id="rId1300" Type="http://schemas.openxmlformats.org/officeDocument/2006/relationships/hyperlink" Target="https://www.munzee.com/m/Wangotango/1366/" TargetMode="External"/><Relationship Id="rId2631" Type="http://schemas.openxmlformats.org/officeDocument/2006/relationships/hyperlink" Target="https://www.munzee.com/m/Niks13/1478/" TargetMode="External"/><Relationship Id="rId3117" Type="http://schemas.openxmlformats.org/officeDocument/2006/relationships/hyperlink" Target="https://www.munzee.com/m/fsafranek/4203/" TargetMode="External"/><Relationship Id="rId3116" Type="http://schemas.openxmlformats.org/officeDocument/2006/relationships/hyperlink" Target="http://www.munzee.com" TargetMode="External"/><Relationship Id="rId3119" Type="http://schemas.openxmlformats.org/officeDocument/2006/relationships/hyperlink" Target="https://www.munzee.com/m/babyw/3177/" TargetMode="External"/><Relationship Id="rId3118" Type="http://schemas.openxmlformats.org/officeDocument/2006/relationships/hyperlink" Target="http://www.munzee.com" TargetMode="External"/><Relationship Id="rId3111" Type="http://schemas.openxmlformats.org/officeDocument/2006/relationships/hyperlink" Target="https://www.munzee.com/m/Tinake1309/793/" TargetMode="External"/><Relationship Id="rId3110" Type="http://schemas.openxmlformats.org/officeDocument/2006/relationships/hyperlink" Target="http://www.munzee.com" TargetMode="External"/><Relationship Id="rId3113" Type="http://schemas.openxmlformats.org/officeDocument/2006/relationships/hyperlink" Target="https://www.munzee.com/m/Berg14/637/" TargetMode="External"/><Relationship Id="rId3112" Type="http://schemas.openxmlformats.org/officeDocument/2006/relationships/hyperlink" Target="http://www.munzee.com" TargetMode="External"/><Relationship Id="rId3115" Type="http://schemas.openxmlformats.org/officeDocument/2006/relationships/hyperlink" Target="https://www.munzee.com/m/Niks13/612/" TargetMode="External"/><Relationship Id="rId3114" Type="http://schemas.openxmlformats.org/officeDocument/2006/relationships/hyperlink" Target="http://www.munzee.com" TargetMode="External"/><Relationship Id="rId3106" Type="http://schemas.openxmlformats.org/officeDocument/2006/relationships/hyperlink" Target="http://www.munzee.com" TargetMode="External"/><Relationship Id="rId3105" Type="http://schemas.openxmlformats.org/officeDocument/2006/relationships/hyperlink" Target="https://www.munzee.com/m/EmileP68/3141/" TargetMode="External"/><Relationship Id="rId3108" Type="http://schemas.openxmlformats.org/officeDocument/2006/relationships/hyperlink" Target="http://www.munzee.com" TargetMode="External"/><Relationship Id="rId3107" Type="http://schemas.openxmlformats.org/officeDocument/2006/relationships/hyperlink" Target="https://www.munzee.com/m/OdinsFiRe/1646/" TargetMode="External"/><Relationship Id="rId3109" Type="http://schemas.openxmlformats.org/officeDocument/2006/relationships/hyperlink" Target="https://www.munzee.com/m/Drazoria/838/" TargetMode="External"/><Relationship Id="rId3100" Type="http://schemas.openxmlformats.org/officeDocument/2006/relationships/hyperlink" Target="http://www.munzee.com" TargetMode="External"/><Relationship Id="rId3102" Type="http://schemas.openxmlformats.org/officeDocument/2006/relationships/hyperlink" Target="http://www.munzee.com" TargetMode="External"/><Relationship Id="rId3101" Type="http://schemas.openxmlformats.org/officeDocument/2006/relationships/hyperlink" Target="https://www.munzee.com/m/sverlaan/4346/" TargetMode="External"/><Relationship Id="rId3104" Type="http://schemas.openxmlformats.org/officeDocument/2006/relationships/hyperlink" Target="http://www.munzee.com" TargetMode="External"/><Relationship Id="rId3103" Type="http://schemas.openxmlformats.org/officeDocument/2006/relationships/hyperlink" Target="https://www.munzee.com/m/PawPatrolThomas/2441/" TargetMode="External"/><Relationship Id="rId3139" Type="http://schemas.openxmlformats.org/officeDocument/2006/relationships/hyperlink" Target="https://www.munzee.com/m/Franca/835/" TargetMode="External"/><Relationship Id="rId3138" Type="http://schemas.openxmlformats.org/officeDocument/2006/relationships/hyperlink" Target="http://www.munzee.com" TargetMode="External"/><Relationship Id="rId3131" Type="http://schemas.openxmlformats.org/officeDocument/2006/relationships/hyperlink" Target="https://www.munzee.com/m/WiseOldWizard/4044/" TargetMode="External"/><Relationship Id="rId3130" Type="http://schemas.openxmlformats.org/officeDocument/2006/relationships/hyperlink" Target="http://www.munzee.com" TargetMode="External"/><Relationship Id="rId3133" Type="http://schemas.openxmlformats.org/officeDocument/2006/relationships/hyperlink" Target="https://www.munzee.com/m/Derlame/12889/" TargetMode="External"/><Relationship Id="rId3132" Type="http://schemas.openxmlformats.org/officeDocument/2006/relationships/hyperlink" Target="http://www.munzee.com" TargetMode="External"/><Relationship Id="rId3135" Type="http://schemas.openxmlformats.org/officeDocument/2006/relationships/hyperlink" Target="https://www.munzee.com/m/TheFatCats/3671/" TargetMode="External"/><Relationship Id="rId3134" Type="http://schemas.openxmlformats.org/officeDocument/2006/relationships/hyperlink" Target="http://www.munzee.com" TargetMode="External"/><Relationship Id="rId3137" Type="http://schemas.openxmlformats.org/officeDocument/2006/relationships/hyperlink" Target="https://www.munzee.com/m/fsafranek/4124/" TargetMode="External"/><Relationship Id="rId3136" Type="http://schemas.openxmlformats.org/officeDocument/2006/relationships/hyperlink" Target="http://www.munzee.com" TargetMode="External"/><Relationship Id="rId3128" Type="http://schemas.openxmlformats.org/officeDocument/2006/relationships/hyperlink" Target="http://www.munzee.com" TargetMode="External"/><Relationship Id="rId3127" Type="http://schemas.openxmlformats.org/officeDocument/2006/relationships/hyperlink" Target="https://www.munzee.com/m/ArtofEco/3022/admin/" TargetMode="External"/><Relationship Id="rId3129" Type="http://schemas.openxmlformats.org/officeDocument/2006/relationships/hyperlink" Target="https://www.munzee.com/m/TheFatCats/3645/" TargetMode="External"/><Relationship Id="rId3120" Type="http://schemas.openxmlformats.org/officeDocument/2006/relationships/hyperlink" Target="http://www.munzee.com" TargetMode="External"/><Relationship Id="rId3122" Type="http://schemas.openxmlformats.org/officeDocument/2006/relationships/hyperlink" Target="http://www.munzee.com" TargetMode="External"/><Relationship Id="rId3121" Type="http://schemas.openxmlformats.org/officeDocument/2006/relationships/hyperlink" Target="https://www.munzee.com/m/artofmunzeeing/3952/" TargetMode="External"/><Relationship Id="rId3124" Type="http://schemas.openxmlformats.org/officeDocument/2006/relationships/hyperlink" Target="http://www.munzee.com" TargetMode="External"/><Relationship Id="rId3123" Type="http://schemas.openxmlformats.org/officeDocument/2006/relationships/hyperlink" Target="https://www.munzee.com/m/Lanyasummer/4472/" TargetMode="External"/><Relationship Id="rId3126" Type="http://schemas.openxmlformats.org/officeDocument/2006/relationships/hyperlink" Target="http://www.munzee.com" TargetMode="External"/><Relationship Id="rId3125" Type="http://schemas.openxmlformats.org/officeDocument/2006/relationships/hyperlink" Target="https://www.munzee.com/m/BrotherWilliam/4080/admin/" TargetMode="External"/><Relationship Id="rId1378" Type="http://schemas.openxmlformats.org/officeDocument/2006/relationships/hyperlink" Target="http://www.munzee.com" TargetMode="External"/><Relationship Id="rId1379" Type="http://schemas.openxmlformats.org/officeDocument/2006/relationships/hyperlink" Target="https://www.munzee.com/m/Tinake1309/851/" TargetMode="External"/><Relationship Id="rId789" Type="http://schemas.openxmlformats.org/officeDocument/2006/relationships/hyperlink" Target="https://www.munzee.com/m/MunziMeg/4472/" TargetMode="External"/><Relationship Id="rId788" Type="http://schemas.openxmlformats.org/officeDocument/2006/relationships/hyperlink" Target="http://www.munzee.com" TargetMode="External"/><Relationship Id="rId787" Type="http://schemas.openxmlformats.org/officeDocument/2006/relationships/hyperlink" Target="https://www.munzee.com/m/upapou/1009/" TargetMode="External"/><Relationship Id="rId786" Type="http://schemas.openxmlformats.org/officeDocument/2006/relationships/hyperlink" Target="http://www.munzee.com" TargetMode="External"/><Relationship Id="rId781" Type="http://schemas.openxmlformats.org/officeDocument/2006/relationships/hyperlink" Target="https://www.munzee.com/m/ruud-1987/1472" TargetMode="External"/><Relationship Id="rId1370" Type="http://schemas.openxmlformats.org/officeDocument/2006/relationships/hyperlink" Target="http://www.munzee.com" TargetMode="External"/><Relationship Id="rId780" Type="http://schemas.openxmlformats.org/officeDocument/2006/relationships/hyperlink" Target="http://www.munzee.com" TargetMode="External"/><Relationship Id="rId1371" Type="http://schemas.openxmlformats.org/officeDocument/2006/relationships/hyperlink" Target="https://www.munzee.com/m/OdinsFiRe/1811/" TargetMode="External"/><Relationship Id="rId1372" Type="http://schemas.openxmlformats.org/officeDocument/2006/relationships/hyperlink" Target="http://www.munzee.com" TargetMode="External"/><Relationship Id="rId1373" Type="http://schemas.openxmlformats.org/officeDocument/2006/relationships/hyperlink" Target="https://www.munzee.com/m/xrayneex/1552/" TargetMode="External"/><Relationship Id="rId785" Type="http://schemas.openxmlformats.org/officeDocument/2006/relationships/hyperlink" Target="https://www.munzee.com/m/Franca/708/" TargetMode="External"/><Relationship Id="rId1374" Type="http://schemas.openxmlformats.org/officeDocument/2006/relationships/hyperlink" Target="http://www.munzee.com" TargetMode="External"/><Relationship Id="rId784" Type="http://schemas.openxmlformats.org/officeDocument/2006/relationships/hyperlink" Target="http://www.munzee.com" TargetMode="External"/><Relationship Id="rId1375" Type="http://schemas.openxmlformats.org/officeDocument/2006/relationships/hyperlink" Target="https://www.munzee.com/m/Aniara/6952" TargetMode="External"/><Relationship Id="rId783" Type="http://schemas.openxmlformats.org/officeDocument/2006/relationships/hyperlink" Target="https://www.munzee.com/m/cbf600/2387/admin/" TargetMode="External"/><Relationship Id="rId1376" Type="http://schemas.openxmlformats.org/officeDocument/2006/relationships/hyperlink" Target="http://www.munzee.com" TargetMode="External"/><Relationship Id="rId782" Type="http://schemas.openxmlformats.org/officeDocument/2006/relationships/hyperlink" Target="http://www.munzee.com" TargetMode="External"/><Relationship Id="rId1377" Type="http://schemas.openxmlformats.org/officeDocument/2006/relationships/hyperlink" Target="https://www.munzee.com/m/Drazoria/848/" TargetMode="External"/><Relationship Id="rId1367" Type="http://schemas.openxmlformats.org/officeDocument/2006/relationships/hyperlink" Target="https://www.munzee.com/m/cbf600/2867/admin/" TargetMode="External"/><Relationship Id="rId2698" Type="http://schemas.openxmlformats.org/officeDocument/2006/relationships/hyperlink" Target="http://www.munzee.com" TargetMode="External"/><Relationship Id="rId1368" Type="http://schemas.openxmlformats.org/officeDocument/2006/relationships/hyperlink" Target="http://www.munzee.com" TargetMode="External"/><Relationship Id="rId2699" Type="http://schemas.openxmlformats.org/officeDocument/2006/relationships/hyperlink" Target="https://www.munzee.com/m/Kastella/169" TargetMode="External"/><Relationship Id="rId1369" Type="http://schemas.openxmlformats.org/officeDocument/2006/relationships/hyperlink" Target="https://www.munzee.com/m/fsafranek/4674/" TargetMode="External"/><Relationship Id="rId778" Type="http://schemas.openxmlformats.org/officeDocument/2006/relationships/hyperlink" Target="http://www.munzee.com" TargetMode="External"/><Relationship Id="rId777" Type="http://schemas.openxmlformats.org/officeDocument/2006/relationships/hyperlink" Target="https://www.munzee.com/m/Pinkeltje/1215/" TargetMode="External"/><Relationship Id="rId776" Type="http://schemas.openxmlformats.org/officeDocument/2006/relationships/hyperlink" Target="http://www.munzee.com" TargetMode="External"/><Relationship Id="rId775" Type="http://schemas.openxmlformats.org/officeDocument/2006/relationships/hyperlink" Target="https://www.munzee.com/m/5Star/5741/" TargetMode="External"/><Relationship Id="rId779" Type="http://schemas.openxmlformats.org/officeDocument/2006/relationships/hyperlink" Target="https://www.munzee.com/m/xrayneex/1415/" TargetMode="External"/><Relationship Id="rId770" Type="http://schemas.openxmlformats.org/officeDocument/2006/relationships/hyperlink" Target="http://www.munzee.com" TargetMode="External"/><Relationship Id="rId2690" Type="http://schemas.openxmlformats.org/officeDocument/2006/relationships/hyperlink" Target="http://www.munzee.com" TargetMode="External"/><Relationship Id="rId1360" Type="http://schemas.openxmlformats.org/officeDocument/2006/relationships/hyperlink" Target="https://www.munzee.com/m/ArtofEco/3060/admin/" TargetMode="External"/><Relationship Id="rId2691" Type="http://schemas.openxmlformats.org/officeDocument/2006/relationships/hyperlink" Target="https://www.munzee.com/m/Arendsoog/8882/" TargetMode="External"/><Relationship Id="rId1361" Type="http://schemas.openxmlformats.org/officeDocument/2006/relationships/hyperlink" Target="http://www.munzee.com" TargetMode="External"/><Relationship Id="rId2692" Type="http://schemas.openxmlformats.org/officeDocument/2006/relationships/hyperlink" Target="http://www.munzee.com" TargetMode="External"/><Relationship Id="rId1362" Type="http://schemas.openxmlformats.org/officeDocument/2006/relationships/hyperlink" Target="https://www.munzee.com/m/BrotherWilliam/4125/admin/" TargetMode="External"/><Relationship Id="rId2693" Type="http://schemas.openxmlformats.org/officeDocument/2006/relationships/hyperlink" Target="https://www.munzee.com/m/Andrew81/1593/" TargetMode="External"/><Relationship Id="rId774" Type="http://schemas.openxmlformats.org/officeDocument/2006/relationships/hyperlink" Target="http://www.munzee.com" TargetMode="External"/><Relationship Id="rId1363" Type="http://schemas.openxmlformats.org/officeDocument/2006/relationships/hyperlink" Target="https://www.munzee.com/m/babyw/3255/" TargetMode="External"/><Relationship Id="rId2694" Type="http://schemas.openxmlformats.org/officeDocument/2006/relationships/hyperlink" Target="http://www.munzee.com" TargetMode="External"/><Relationship Id="rId773" Type="http://schemas.openxmlformats.org/officeDocument/2006/relationships/hyperlink" Target="https://www.munzee.com/m/ArtofEco/2958/admin/" TargetMode="External"/><Relationship Id="rId1364" Type="http://schemas.openxmlformats.org/officeDocument/2006/relationships/hyperlink" Target="http://www.munzee.com" TargetMode="External"/><Relationship Id="rId2695" Type="http://schemas.openxmlformats.org/officeDocument/2006/relationships/hyperlink" Target="https://www.munzee.com/m/Outlander21/121" TargetMode="External"/><Relationship Id="rId772" Type="http://schemas.openxmlformats.org/officeDocument/2006/relationships/hyperlink" Target="http://www.munzee.com" TargetMode="External"/><Relationship Id="rId1365" Type="http://schemas.openxmlformats.org/officeDocument/2006/relationships/hyperlink" Target="https://www.munzee.com/m/5Star/5979/" TargetMode="External"/><Relationship Id="rId2696" Type="http://schemas.openxmlformats.org/officeDocument/2006/relationships/hyperlink" Target="http://www.munzee.com" TargetMode="External"/><Relationship Id="rId771" Type="http://schemas.openxmlformats.org/officeDocument/2006/relationships/hyperlink" Target="https://www.munzee.com/m/BrotherWilliam/3921/admin/" TargetMode="External"/><Relationship Id="rId1366" Type="http://schemas.openxmlformats.org/officeDocument/2006/relationships/hyperlink" Target="http://www.munzee.com" TargetMode="External"/><Relationship Id="rId2697" Type="http://schemas.openxmlformats.org/officeDocument/2006/relationships/hyperlink" Target="https://www.munzee.com/m/Arendsoog/8883/" TargetMode="External"/><Relationship Id="rId1390" Type="http://schemas.openxmlformats.org/officeDocument/2006/relationships/hyperlink" Target="http://www.munzee.com" TargetMode="External"/><Relationship Id="rId1391" Type="http://schemas.openxmlformats.org/officeDocument/2006/relationships/hyperlink" Target="https://www.munzee.com/m/J1Huisman/11792/" TargetMode="External"/><Relationship Id="rId1392" Type="http://schemas.openxmlformats.org/officeDocument/2006/relationships/hyperlink" Target="http://www.munzee.com" TargetMode="External"/><Relationship Id="rId1393" Type="http://schemas.openxmlformats.org/officeDocument/2006/relationships/hyperlink" Target="https://www.munzee.com/m/EmileP68/4051/" TargetMode="External"/><Relationship Id="rId1394" Type="http://schemas.openxmlformats.org/officeDocument/2006/relationships/hyperlink" Target="http://www.munzee.com" TargetMode="External"/><Relationship Id="rId1395" Type="http://schemas.openxmlformats.org/officeDocument/2006/relationships/hyperlink" Target="https://www.munzee.com/m/ArtofEco/3061/admin/" TargetMode="External"/><Relationship Id="rId1396" Type="http://schemas.openxmlformats.org/officeDocument/2006/relationships/hyperlink" Target="http://www.munzee.com" TargetMode="External"/><Relationship Id="rId1397" Type="http://schemas.openxmlformats.org/officeDocument/2006/relationships/hyperlink" Target="https://www.munzee.com/m/Aniara/6951/" TargetMode="External"/><Relationship Id="rId1398" Type="http://schemas.openxmlformats.org/officeDocument/2006/relationships/hyperlink" Target="http://www.munzee.com" TargetMode="External"/><Relationship Id="rId1399" Type="http://schemas.openxmlformats.org/officeDocument/2006/relationships/hyperlink" Target="https://www.munzee.com/m/BrotherWilliam/4236/admin/" TargetMode="External"/><Relationship Id="rId1389" Type="http://schemas.openxmlformats.org/officeDocument/2006/relationships/hyperlink" Target="https://www.munzee.com/m/GroteSufferd/441/admin/" TargetMode="External"/><Relationship Id="rId799" Type="http://schemas.openxmlformats.org/officeDocument/2006/relationships/hyperlink" Target="https://www.munzee.com/m/TheFatCats/3604/" TargetMode="External"/><Relationship Id="rId798" Type="http://schemas.openxmlformats.org/officeDocument/2006/relationships/hyperlink" Target="http://www.munzee.com" TargetMode="External"/><Relationship Id="rId797" Type="http://schemas.openxmlformats.org/officeDocument/2006/relationships/hyperlink" Target="https://www.munzee.com/m/rholierhoek/973" TargetMode="External"/><Relationship Id="rId1380" Type="http://schemas.openxmlformats.org/officeDocument/2006/relationships/hyperlink" Target="http://www.munzee.com" TargetMode="External"/><Relationship Id="rId792" Type="http://schemas.openxmlformats.org/officeDocument/2006/relationships/hyperlink" Target="http://www.munzee.com" TargetMode="External"/><Relationship Id="rId1381" Type="http://schemas.openxmlformats.org/officeDocument/2006/relationships/hyperlink" Target="https://www.munzee.com/m/Berg14/654/" TargetMode="External"/><Relationship Id="rId791" Type="http://schemas.openxmlformats.org/officeDocument/2006/relationships/hyperlink" Target="https://www.munzee.com/m/all0123/3940/" TargetMode="External"/><Relationship Id="rId1382" Type="http://schemas.openxmlformats.org/officeDocument/2006/relationships/hyperlink" Target="http://www.munzee.com" TargetMode="External"/><Relationship Id="rId790" Type="http://schemas.openxmlformats.org/officeDocument/2006/relationships/hyperlink" Target="http://www.munzee.com" TargetMode="External"/><Relationship Id="rId1383" Type="http://schemas.openxmlformats.org/officeDocument/2006/relationships/hyperlink" Target="https://www.munzee.com/m/Niks13/636/" TargetMode="External"/><Relationship Id="rId1384" Type="http://schemas.openxmlformats.org/officeDocument/2006/relationships/hyperlink" Target="http://www.munzee.com" TargetMode="External"/><Relationship Id="rId796" Type="http://schemas.openxmlformats.org/officeDocument/2006/relationships/hyperlink" Target="http://www.munzee.com" TargetMode="External"/><Relationship Id="rId1385" Type="http://schemas.openxmlformats.org/officeDocument/2006/relationships/hyperlink" Target="https://www.munzee.com/m/Anetzet/3159/" TargetMode="External"/><Relationship Id="rId795" Type="http://schemas.openxmlformats.org/officeDocument/2006/relationships/hyperlink" Target="https://www.munzee.com/m/Anetzet/2771/" TargetMode="External"/><Relationship Id="rId1386" Type="http://schemas.openxmlformats.org/officeDocument/2006/relationships/hyperlink" Target="http://www.munzee.com" TargetMode="External"/><Relationship Id="rId794" Type="http://schemas.openxmlformats.org/officeDocument/2006/relationships/hyperlink" Target="http://www.munzee.com" TargetMode="External"/><Relationship Id="rId1387" Type="http://schemas.openxmlformats.org/officeDocument/2006/relationships/hyperlink" Target="https://www.munzee.com/m/barefootguru/3197/" TargetMode="External"/><Relationship Id="rId793" Type="http://schemas.openxmlformats.org/officeDocument/2006/relationships/hyperlink" Target="https://www.munzee.com/m/WiseOldWizard/3979/" TargetMode="External"/><Relationship Id="rId1388" Type="http://schemas.openxmlformats.org/officeDocument/2006/relationships/hyperlink" Target="http://www.munzee.com" TargetMode="External"/><Relationship Id="rId3191" Type="http://schemas.openxmlformats.org/officeDocument/2006/relationships/hyperlink" Target="https://www.munzee.com/m/Trappertje/5041/" TargetMode="External"/><Relationship Id="rId3190" Type="http://schemas.openxmlformats.org/officeDocument/2006/relationships/hyperlink" Target="http://www.munzee.com" TargetMode="External"/><Relationship Id="rId3193" Type="http://schemas.openxmlformats.org/officeDocument/2006/relationships/hyperlink" Target="https://www.munzee.com/m/MeanderingMonkeys/17481" TargetMode="External"/><Relationship Id="rId3192" Type="http://schemas.openxmlformats.org/officeDocument/2006/relationships/hyperlink" Target="http://www.munzee.com" TargetMode="External"/><Relationship Id="rId3195" Type="http://schemas.openxmlformats.org/officeDocument/2006/relationships/hyperlink" Target="https://www.munzee.com/m/sverlaan/4409/" TargetMode="External"/><Relationship Id="rId3194" Type="http://schemas.openxmlformats.org/officeDocument/2006/relationships/hyperlink" Target="http://www.munzee.com" TargetMode="External"/><Relationship Id="rId3197" Type="http://schemas.openxmlformats.org/officeDocument/2006/relationships/hyperlink" Target="https://www.munzee.com/m/gwendy/1189/" TargetMode="External"/><Relationship Id="rId3196" Type="http://schemas.openxmlformats.org/officeDocument/2006/relationships/hyperlink" Target="http://www.munzee.com" TargetMode="External"/><Relationship Id="rId3199" Type="http://schemas.openxmlformats.org/officeDocument/2006/relationships/hyperlink" Target="https://www.munzee.com/m/fsafranek/4178/" TargetMode="External"/><Relationship Id="rId3198" Type="http://schemas.openxmlformats.org/officeDocument/2006/relationships/hyperlink" Target="http://www.munzee.com" TargetMode="External"/><Relationship Id="rId3180" Type="http://schemas.openxmlformats.org/officeDocument/2006/relationships/hyperlink" Target="http://www.munzee.com" TargetMode="External"/><Relationship Id="rId3182" Type="http://schemas.openxmlformats.org/officeDocument/2006/relationships/hyperlink" Target="http://www.munzee.com" TargetMode="External"/><Relationship Id="rId3181" Type="http://schemas.openxmlformats.org/officeDocument/2006/relationships/hyperlink" Target="https://www.munzee.com/m/123xilef/7305/" TargetMode="External"/><Relationship Id="rId3184" Type="http://schemas.openxmlformats.org/officeDocument/2006/relationships/hyperlink" Target="http://www.munzee.com" TargetMode="External"/><Relationship Id="rId3183" Type="http://schemas.openxmlformats.org/officeDocument/2006/relationships/hyperlink" Target="https://www.munzee.com/m/TheFatCats/3673/" TargetMode="External"/><Relationship Id="rId3186" Type="http://schemas.openxmlformats.org/officeDocument/2006/relationships/hyperlink" Target="http://www.munzee.com" TargetMode="External"/><Relationship Id="rId3185" Type="http://schemas.openxmlformats.org/officeDocument/2006/relationships/hyperlink" Target="https://www.munzee.com/m/MunziMeg/4585/" TargetMode="External"/><Relationship Id="rId3188" Type="http://schemas.openxmlformats.org/officeDocument/2006/relationships/hyperlink" Target="http://www.munzee.com" TargetMode="External"/><Relationship Id="rId3187" Type="http://schemas.openxmlformats.org/officeDocument/2006/relationships/hyperlink" Target="https://www.munzee.com/m/BartWullems/5616" TargetMode="External"/><Relationship Id="rId3189" Type="http://schemas.openxmlformats.org/officeDocument/2006/relationships/hyperlink" Target="https://www.munzee.com/m/roughdraft/8732/" TargetMode="External"/><Relationship Id="rId3151" Type="http://schemas.openxmlformats.org/officeDocument/2006/relationships/hyperlink" Target="https://www.munzee.com/m/5Star/4694/" TargetMode="External"/><Relationship Id="rId3150" Type="http://schemas.openxmlformats.org/officeDocument/2006/relationships/hyperlink" Target="http://www.munzee.com" TargetMode="External"/><Relationship Id="rId3153" Type="http://schemas.openxmlformats.org/officeDocument/2006/relationships/hyperlink" Target="https://www.munzee.com/m/cbf600/2472/admin/convert/" TargetMode="External"/><Relationship Id="rId3152" Type="http://schemas.openxmlformats.org/officeDocument/2006/relationships/hyperlink" Target="http://www.munzee.com" TargetMode="External"/><Relationship Id="rId3155" Type="http://schemas.openxmlformats.org/officeDocument/2006/relationships/hyperlink" Target="https://www.munzee.com/m/Fossillady/3696" TargetMode="External"/><Relationship Id="rId3154" Type="http://schemas.openxmlformats.org/officeDocument/2006/relationships/hyperlink" Target="http://www.munzee.com" TargetMode="External"/><Relationship Id="rId3157" Type="http://schemas.openxmlformats.org/officeDocument/2006/relationships/hyperlink" Target="https://www.munzee.com/m/FlatBlack/681/" TargetMode="External"/><Relationship Id="rId3156" Type="http://schemas.openxmlformats.org/officeDocument/2006/relationships/hyperlink" Target="http://www.munzee.com" TargetMode="External"/><Relationship Id="rId3159" Type="http://schemas.openxmlformats.org/officeDocument/2006/relationships/hyperlink" Target="https://www.munzee.com/m/jwg68/1308/" TargetMode="External"/><Relationship Id="rId3158" Type="http://schemas.openxmlformats.org/officeDocument/2006/relationships/hyperlink" Target="http://www.munzee.com" TargetMode="External"/><Relationship Id="rId3149" Type="http://schemas.openxmlformats.org/officeDocument/2006/relationships/hyperlink" Target="https://www.munzee.com/m/halizwein/11587/" TargetMode="External"/><Relationship Id="rId3140" Type="http://schemas.openxmlformats.org/officeDocument/2006/relationships/hyperlink" Target="http://www.munzee.com" TargetMode="External"/><Relationship Id="rId3142" Type="http://schemas.openxmlformats.org/officeDocument/2006/relationships/hyperlink" Target="http://www.munzee.com" TargetMode="External"/><Relationship Id="rId3141" Type="http://schemas.openxmlformats.org/officeDocument/2006/relationships/hyperlink" Target="https://www.munzee.com/m/Anetzet/2597/" TargetMode="External"/><Relationship Id="rId3144" Type="http://schemas.openxmlformats.org/officeDocument/2006/relationships/hyperlink" Target="http://www.munzee.com" TargetMode="External"/><Relationship Id="rId3143" Type="http://schemas.openxmlformats.org/officeDocument/2006/relationships/hyperlink" Target="https://www.munzee.com/m/MunziMeg/4588/" TargetMode="External"/><Relationship Id="rId3146" Type="http://schemas.openxmlformats.org/officeDocument/2006/relationships/hyperlink" Target="http://www.munzee.com" TargetMode="External"/><Relationship Id="rId3145" Type="http://schemas.openxmlformats.org/officeDocument/2006/relationships/hyperlink" Target="https://www.munzee.com/m/IggiePiggie/1972/" TargetMode="External"/><Relationship Id="rId3148" Type="http://schemas.openxmlformats.org/officeDocument/2006/relationships/hyperlink" Target="http://www.munzee.com" TargetMode="External"/><Relationship Id="rId3147" Type="http://schemas.openxmlformats.org/officeDocument/2006/relationships/hyperlink" Target="https://www.munzee.com/m/denali0407/14438/" TargetMode="External"/><Relationship Id="rId3171" Type="http://schemas.openxmlformats.org/officeDocument/2006/relationships/hyperlink" Target="https://www.munzee.com/m/GroteSufferd/421/admin/" TargetMode="External"/><Relationship Id="rId3170" Type="http://schemas.openxmlformats.org/officeDocument/2006/relationships/hyperlink" Target="http://www.munzee.com" TargetMode="External"/><Relationship Id="rId3173" Type="http://schemas.openxmlformats.org/officeDocument/2006/relationships/hyperlink" Target="https://www.munzee.com/m/Aniara/6743/" TargetMode="External"/><Relationship Id="rId3172" Type="http://schemas.openxmlformats.org/officeDocument/2006/relationships/hyperlink" Target="http://www.munzee.com" TargetMode="External"/><Relationship Id="rId3175" Type="http://schemas.openxmlformats.org/officeDocument/2006/relationships/hyperlink" Target="https://www.munzee.com/m/Pinkeltje/1343/" TargetMode="External"/><Relationship Id="rId3174" Type="http://schemas.openxmlformats.org/officeDocument/2006/relationships/hyperlink" Target="http://www.munzee.com" TargetMode="External"/><Relationship Id="rId3177" Type="http://schemas.openxmlformats.org/officeDocument/2006/relationships/hyperlink" Target="https://www.munzee.com/m/xrayneex/1433/" TargetMode="External"/><Relationship Id="rId3176" Type="http://schemas.openxmlformats.org/officeDocument/2006/relationships/hyperlink" Target="http://www.munzee.com" TargetMode="External"/><Relationship Id="rId3179" Type="http://schemas.openxmlformats.org/officeDocument/2006/relationships/hyperlink" Target="https://www.munzee.com/m/TheFrog/4300/" TargetMode="External"/><Relationship Id="rId3178" Type="http://schemas.openxmlformats.org/officeDocument/2006/relationships/hyperlink" Target="http://www.munzee.com" TargetMode="External"/><Relationship Id="rId3160" Type="http://schemas.openxmlformats.org/officeDocument/2006/relationships/hyperlink" Target="http://www.munzee.com" TargetMode="External"/><Relationship Id="rId3162" Type="http://schemas.openxmlformats.org/officeDocument/2006/relationships/hyperlink" Target="http://www.munzee.com" TargetMode="External"/><Relationship Id="rId3161" Type="http://schemas.openxmlformats.org/officeDocument/2006/relationships/hyperlink" Target="https://www.munzee.com/m/artofmunzeeing/3946/" TargetMode="External"/><Relationship Id="rId3164" Type="http://schemas.openxmlformats.org/officeDocument/2006/relationships/hyperlink" Target="http://www.munzee.com" TargetMode="External"/><Relationship Id="rId3163" Type="http://schemas.openxmlformats.org/officeDocument/2006/relationships/hyperlink" Target="https://www.munzee.com/m/lison55/5448/" TargetMode="External"/><Relationship Id="rId3166" Type="http://schemas.openxmlformats.org/officeDocument/2006/relationships/hyperlink" Target="http://www.munzee.com" TargetMode="External"/><Relationship Id="rId3165" Type="http://schemas.openxmlformats.org/officeDocument/2006/relationships/hyperlink" Target="https://www.munzee.com/m/FromTheTardis/1434/" TargetMode="External"/><Relationship Id="rId3168" Type="http://schemas.openxmlformats.org/officeDocument/2006/relationships/hyperlink" Target="http://www.munzee.com" TargetMode="External"/><Relationship Id="rId3167" Type="http://schemas.openxmlformats.org/officeDocument/2006/relationships/hyperlink" Target="https://www.munzee.com/m/J1Huisman/11481/" TargetMode="External"/><Relationship Id="rId3169" Type="http://schemas.openxmlformats.org/officeDocument/2006/relationships/hyperlink" Target="https://www.munzee.com/m/barefootguru/3162/" TargetMode="External"/><Relationship Id="rId2700" Type="http://schemas.openxmlformats.org/officeDocument/2006/relationships/hyperlink" Target="http://www.munzee.com" TargetMode="External"/><Relationship Id="rId2701" Type="http://schemas.openxmlformats.org/officeDocument/2006/relationships/hyperlink" Target="https://www.munzee.com/m/Andrew81/1600/" TargetMode="External"/><Relationship Id="rId2702" Type="http://schemas.openxmlformats.org/officeDocument/2006/relationships/hyperlink" Target="http://www.munzee.com" TargetMode="External"/><Relationship Id="rId2703" Type="http://schemas.openxmlformats.org/officeDocument/2006/relationships/hyperlink" Target="https://www.munzee.com/m/Outlander21/139" TargetMode="External"/><Relationship Id="rId2704" Type="http://schemas.openxmlformats.org/officeDocument/2006/relationships/hyperlink" Target="http://www.munzee.com" TargetMode="External"/><Relationship Id="rId2705" Type="http://schemas.openxmlformats.org/officeDocument/2006/relationships/hyperlink" Target="https://www.munzee.com/m/Kastella/181" TargetMode="External"/><Relationship Id="rId2706" Type="http://schemas.openxmlformats.org/officeDocument/2006/relationships/hyperlink" Target="http://www.munzee.com" TargetMode="External"/><Relationship Id="rId2707" Type="http://schemas.openxmlformats.org/officeDocument/2006/relationships/hyperlink" Target="https://www.munzee.com/m/crscousins/7576/" TargetMode="External"/><Relationship Id="rId2708" Type="http://schemas.openxmlformats.org/officeDocument/2006/relationships/hyperlink" Target="http://www.munzee.com" TargetMode="External"/><Relationship Id="rId2709" Type="http://schemas.openxmlformats.org/officeDocument/2006/relationships/hyperlink" Target="https://www.munzee.com/m/Bungle/11159" TargetMode="External"/><Relationship Id="rId2720" Type="http://schemas.openxmlformats.org/officeDocument/2006/relationships/hyperlink" Target="http://www.munzee.com" TargetMode="External"/><Relationship Id="rId2721" Type="http://schemas.openxmlformats.org/officeDocument/2006/relationships/hyperlink" Target="https://www.munzee.com/m/Aniara/17554/" TargetMode="External"/><Relationship Id="rId2722" Type="http://schemas.openxmlformats.org/officeDocument/2006/relationships/hyperlink" Target="http://www.munzee.com" TargetMode="External"/><Relationship Id="rId2723" Type="http://schemas.openxmlformats.org/officeDocument/2006/relationships/hyperlink" Target="https://www.munzee.com/m/rita85gto/5143/" TargetMode="External"/><Relationship Id="rId2724" Type="http://schemas.openxmlformats.org/officeDocument/2006/relationships/hyperlink" Target="http://www.munzee.com" TargetMode="External"/><Relationship Id="rId2725" Type="http://schemas.openxmlformats.org/officeDocument/2006/relationships/hyperlink" Target="https://www.munzee.com/m/djeagle/7566/" TargetMode="External"/><Relationship Id="rId2726" Type="http://schemas.openxmlformats.org/officeDocument/2006/relationships/hyperlink" Target="http://www.munzee.com" TargetMode="External"/><Relationship Id="rId2727" Type="http://schemas.openxmlformats.org/officeDocument/2006/relationships/hyperlink" Target="https://www.munzee.com/m/IggiePiggie/11108/" TargetMode="External"/><Relationship Id="rId2728" Type="http://schemas.openxmlformats.org/officeDocument/2006/relationships/hyperlink" Target="http://www.munzee.com" TargetMode="External"/><Relationship Id="rId2729" Type="http://schemas.openxmlformats.org/officeDocument/2006/relationships/hyperlink" Target="https://www.munzee.com/m/Bisquick2/7258/" TargetMode="External"/><Relationship Id="rId2710" Type="http://schemas.openxmlformats.org/officeDocument/2006/relationships/hyperlink" Target="http://www.munzee.com" TargetMode="External"/><Relationship Id="rId2711" Type="http://schemas.openxmlformats.org/officeDocument/2006/relationships/hyperlink" Target="https://www.munzee.com/m/Girlteddy5/29/" TargetMode="External"/><Relationship Id="rId2712" Type="http://schemas.openxmlformats.org/officeDocument/2006/relationships/hyperlink" Target="http://www.munzee.com" TargetMode="External"/><Relationship Id="rId2713" Type="http://schemas.openxmlformats.org/officeDocument/2006/relationships/hyperlink" Target="https://www.munzee.com/m/djeagle/7602/" TargetMode="External"/><Relationship Id="rId2714" Type="http://schemas.openxmlformats.org/officeDocument/2006/relationships/hyperlink" Target="http://www.munzee.com" TargetMode="External"/><Relationship Id="rId2715" Type="http://schemas.openxmlformats.org/officeDocument/2006/relationships/hyperlink" Target="https://www.munzee.com/m/cbf600/3782/" TargetMode="External"/><Relationship Id="rId2716" Type="http://schemas.openxmlformats.org/officeDocument/2006/relationships/hyperlink" Target="http://www.munzee.com" TargetMode="External"/><Relationship Id="rId2717" Type="http://schemas.openxmlformats.org/officeDocument/2006/relationships/hyperlink" Target="https://www.munzee.com/m/OdinsFiRe/2075/" TargetMode="External"/><Relationship Id="rId2718" Type="http://schemas.openxmlformats.org/officeDocument/2006/relationships/hyperlink" Target="http://www.munzee.com" TargetMode="External"/><Relationship Id="rId2719" Type="http://schemas.openxmlformats.org/officeDocument/2006/relationships/hyperlink" Target="https://www.munzee.com/m/djeagle/7567/" TargetMode="External"/><Relationship Id="rId1455" Type="http://schemas.openxmlformats.org/officeDocument/2006/relationships/hyperlink" Target="https://www.munzee.com/m/belladivadee/3097" TargetMode="External"/><Relationship Id="rId2786" Type="http://schemas.openxmlformats.org/officeDocument/2006/relationships/hyperlink" Target="http://www.munzee.com" TargetMode="External"/><Relationship Id="rId1456" Type="http://schemas.openxmlformats.org/officeDocument/2006/relationships/hyperlink" Target="http://www.munzee.com" TargetMode="External"/><Relationship Id="rId2787" Type="http://schemas.openxmlformats.org/officeDocument/2006/relationships/hyperlink" Target="https://www.munzee.com/m/BrotherWilliam/4895/" TargetMode="External"/><Relationship Id="rId1457" Type="http://schemas.openxmlformats.org/officeDocument/2006/relationships/hyperlink" Target="https://www.munzee.com/m/sverlaan/4636/" TargetMode="External"/><Relationship Id="rId2788" Type="http://schemas.openxmlformats.org/officeDocument/2006/relationships/hyperlink" Target="http://www.munzee.com" TargetMode="External"/><Relationship Id="rId1458" Type="http://schemas.openxmlformats.org/officeDocument/2006/relationships/hyperlink" Target="http://www.munzee.com" TargetMode="External"/><Relationship Id="rId2789" Type="http://schemas.openxmlformats.org/officeDocument/2006/relationships/hyperlink" Target="https://www.munzee.com/m/cbf600/3013/admin/" TargetMode="External"/><Relationship Id="rId1459" Type="http://schemas.openxmlformats.org/officeDocument/2006/relationships/hyperlink" Target="https://www.munzee.com/m/EmileP68/3366/" TargetMode="External"/><Relationship Id="rId629" Type="http://schemas.openxmlformats.org/officeDocument/2006/relationships/hyperlink" Target="https://www.munzee.com/m/FromTheTardis/1359/" TargetMode="External"/><Relationship Id="rId624" Type="http://schemas.openxmlformats.org/officeDocument/2006/relationships/hyperlink" Target="http://www.munzee.com" TargetMode="External"/><Relationship Id="rId623" Type="http://schemas.openxmlformats.org/officeDocument/2006/relationships/hyperlink" Target="https://www.munzee.com/m/OdinsFiRe/1534" TargetMode="External"/><Relationship Id="rId622" Type="http://schemas.openxmlformats.org/officeDocument/2006/relationships/hyperlink" Target="http://www.munzee.com" TargetMode="External"/><Relationship Id="rId621" Type="http://schemas.openxmlformats.org/officeDocument/2006/relationships/hyperlink" Target="https://www.munzee.com/m/cbf600/2304/" TargetMode="External"/><Relationship Id="rId628" Type="http://schemas.openxmlformats.org/officeDocument/2006/relationships/hyperlink" Target="http://www.munzee.com" TargetMode="External"/><Relationship Id="rId627" Type="http://schemas.openxmlformats.org/officeDocument/2006/relationships/hyperlink" Target="https://www.munzee.com/m/all0123/3892/" TargetMode="External"/><Relationship Id="rId626" Type="http://schemas.openxmlformats.org/officeDocument/2006/relationships/hyperlink" Target="http://www.munzee.com" TargetMode="External"/><Relationship Id="rId625" Type="http://schemas.openxmlformats.org/officeDocument/2006/relationships/hyperlink" Target="https://www.munzee.com/m/lison55/5264/" TargetMode="External"/><Relationship Id="rId2780" Type="http://schemas.openxmlformats.org/officeDocument/2006/relationships/hyperlink" Target="http://www.munzee.com" TargetMode="External"/><Relationship Id="rId1450" Type="http://schemas.openxmlformats.org/officeDocument/2006/relationships/hyperlink" Target="http://www.munzee.com" TargetMode="External"/><Relationship Id="rId2781" Type="http://schemas.openxmlformats.org/officeDocument/2006/relationships/hyperlink" Target="https://www.munzee.com/m/WetCoaster/4100/" TargetMode="External"/><Relationship Id="rId620" Type="http://schemas.openxmlformats.org/officeDocument/2006/relationships/hyperlink" Target="http://www.munzee.com" TargetMode="External"/><Relationship Id="rId1451" Type="http://schemas.openxmlformats.org/officeDocument/2006/relationships/hyperlink" Target="https://www.munzee.com/m/wally62/4468/" TargetMode="External"/><Relationship Id="rId2782" Type="http://schemas.openxmlformats.org/officeDocument/2006/relationships/hyperlink" Target="http://www.munzee.com" TargetMode="External"/><Relationship Id="rId1452" Type="http://schemas.openxmlformats.org/officeDocument/2006/relationships/hyperlink" Target="http://www.munzee.com" TargetMode="External"/><Relationship Id="rId2783" Type="http://schemas.openxmlformats.org/officeDocument/2006/relationships/hyperlink" Target="https://www.munzee.com/m/GroteSufferd/739/admin/" TargetMode="External"/><Relationship Id="rId1453" Type="http://schemas.openxmlformats.org/officeDocument/2006/relationships/hyperlink" Target="https://www.munzee.com/m/amadoreugen/5994" TargetMode="External"/><Relationship Id="rId2784" Type="http://schemas.openxmlformats.org/officeDocument/2006/relationships/hyperlink" Target="http://www.munzee.com" TargetMode="External"/><Relationship Id="rId1454" Type="http://schemas.openxmlformats.org/officeDocument/2006/relationships/hyperlink" Target="http://www.munzee.com" TargetMode="External"/><Relationship Id="rId2785" Type="http://schemas.openxmlformats.org/officeDocument/2006/relationships/hyperlink" Target="https://www.munzee.com/m/ArtofEco/3500/admin/" TargetMode="External"/><Relationship Id="rId1444" Type="http://schemas.openxmlformats.org/officeDocument/2006/relationships/hyperlink" Target="http://www.munzee.com" TargetMode="External"/><Relationship Id="rId2775" Type="http://schemas.openxmlformats.org/officeDocument/2006/relationships/hyperlink" Target="https://www.munzee.com/m/Tinake1309/1582/" TargetMode="External"/><Relationship Id="rId1445" Type="http://schemas.openxmlformats.org/officeDocument/2006/relationships/hyperlink" Target="https://www.munzee.com/m/EmileP68/2790/" TargetMode="External"/><Relationship Id="rId2776" Type="http://schemas.openxmlformats.org/officeDocument/2006/relationships/hyperlink" Target="http://www.munzee.com" TargetMode="External"/><Relationship Id="rId1446" Type="http://schemas.openxmlformats.org/officeDocument/2006/relationships/hyperlink" Target="http://www.munzee.com" TargetMode="External"/><Relationship Id="rId2777" Type="http://schemas.openxmlformats.org/officeDocument/2006/relationships/hyperlink" Target="https://www.munzee.com/m/Berg14/1372/" TargetMode="External"/><Relationship Id="rId1447" Type="http://schemas.openxmlformats.org/officeDocument/2006/relationships/hyperlink" Target="https://www.munzee.com/m/sverlaan/3886/" TargetMode="External"/><Relationship Id="rId2778" Type="http://schemas.openxmlformats.org/officeDocument/2006/relationships/hyperlink" Target="http://www.munzee.com" TargetMode="External"/><Relationship Id="rId1448" Type="http://schemas.openxmlformats.org/officeDocument/2006/relationships/hyperlink" Target="http://www.munzee.com" TargetMode="External"/><Relationship Id="rId2779" Type="http://schemas.openxmlformats.org/officeDocument/2006/relationships/hyperlink" Target="https://www.munzee.com/m/Niks13/1409/" TargetMode="External"/><Relationship Id="rId1449" Type="http://schemas.openxmlformats.org/officeDocument/2006/relationships/hyperlink" Target="https://www.munzee.com/m/Aniara/6947/" TargetMode="External"/><Relationship Id="rId619" Type="http://schemas.openxmlformats.org/officeDocument/2006/relationships/hyperlink" Target="https://www.munzee.com/m/TheFatCats/3643/" TargetMode="External"/><Relationship Id="rId618" Type="http://schemas.openxmlformats.org/officeDocument/2006/relationships/hyperlink" Target="http://www.munzee.com" TargetMode="External"/><Relationship Id="rId613" Type="http://schemas.openxmlformats.org/officeDocument/2006/relationships/hyperlink" Target="https://www.munzee.com/m/sverlaan/4100/" TargetMode="External"/><Relationship Id="rId612" Type="http://schemas.openxmlformats.org/officeDocument/2006/relationships/hyperlink" Target="http://www.munzee.com" TargetMode="External"/><Relationship Id="rId611" Type="http://schemas.openxmlformats.org/officeDocument/2006/relationships/hyperlink" Target="https://www.munzee.com/m/Derlame/13403/" TargetMode="External"/><Relationship Id="rId610" Type="http://schemas.openxmlformats.org/officeDocument/2006/relationships/hyperlink" Target="http://www.munzee.com" TargetMode="External"/><Relationship Id="rId617" Type="http://schemas.openxmlformats.org/officeDocument/2006/relationships/hyperlink" Target="https://www.munzee.com/m/ladyanneraven/199/" TargetMode="External"/><Relationship Id="rId616" Type="http://schemas.openxmlformats.org/officeDocument/2006/relationships/hyperlink" Target="http://www.munzee.com" TargetMode="External"/><Relationship Id="rId615" Type="http://schemas.openxmlformats.org/officeDocument/2006/relationships/hyperlink" Target="https://www.munzee.com/m/BartWullems/5613" TargetMode="External"/><Relationship Id="rId614" Type="http://schemas.openxmlformats.org/officeDocument/2006/relationships/hyperlink" Target="http://www.munzee.com" TargetMode="External"/><Relationship Id="rId2770" Type="http://schemas.openxmlformats.org/officeDocument/2006/relationships/hyperlink" Target="http://www.munzee.com" TargetMode="External"/><Relationship Id="rId1440" Type="http://schemas.openxmlformats.org/officeDocument/2006/relationships/hyperlink" Target="http://www.munzee.com" TargetMode="External"/><Relationship Id="rId2771" Type="http://schemas.openxmlformats.org/officeDocument/2006/relationships/hyperlink" Target="https://www.munzee.com/m/fsafranek/5302/" TargetMode="External"/><Relationship Id="rId1441" Type="http://schemas.openxmlformats.org/officeDocument/2006/relationships/hyperlink" Target="https://www.munzee.com/m/PawPatrolThomas/2089/" TargetMode="External"/><Relationship Id="rId2772" Type="http://schemas.openxmlformats.org/officeDocument/2006/relationships/hyperlink" Target="http://www.munzee.com" TargetMode="External"/><Relationship Id="rId1442" Type="http://schemas.openxmlformats.org/officeDocument/2006/relationships/hyperlink" Target="http://www.munzee.com" TargetMode="External"/><Relationship Id="rId2773" Type="http://schemas.openxmlformats.org/officeDocument/2006/relationships/hyperlink" Target="https://www.munzee.com/m/Drazoria/1545/" TargetMode="External"/><Relationship Id="rId1443" Type="http://schemas.openxmlformats.org/officeDocument/2006/relationships/hyperlink" Target="https://www.munzee.com/m/Wangotango/1644" TargetMode="External"/><Relationship Id="rId2774" Type="http://schemas.openxmlformats.org/officeDocument/2006/relationships/hyperlink" Target="http://www.munzee.com" TargetMode="External"/><Relationship Id="rId1477" Type="http://schemas.openxmlformats.org/officeDocument/2006/relationships/hyperlink" Target="https://www.munzee.com/m/ArtofEco/3062/admin/" TargetMode="External"/><Relationship Id="rId1478" Type="http://schemas.openxmlformats.org/officeDocument/2006/relationships/hyperlink" Target="http://www.munzee.com" TargetMode="External"/><Relationship Id="rId1479" Type="http://schemas.openxmlformats.org/officeDocument/2006/relationships/hyperlink" Target="https://www.munzee.com/m/barefootguru/3223/" TargetMode="External"/><Relationship Id="rId646" Type="http://schemas.openxmlformats.org/officeDocument/2006/relationships/hyperlink" Target="http://www.munzee.com" TargetMode="External"/><Relationship Id="rId645" Type="http://schemas.openxmlformats.org/officeDocument/2006/relationships/hyperlink" Target="https://www.munzee.com/m/all0123/3897/" TargetMode="External"/><Relationship Id="rId644" Type="http://schemas.openxmlformats.org/officeDocument/2006/relationships/hyperlink" Target="http://www.munzee.com" TargetMode="External"/><Relationship Id="rId643" Type="http://schemas.openxmlformats.org/officeDocument/2006/relationships/hyperlink" Target="https://www.munzee.com/m/5Star/5704/" TargetMode="External"/><Relationship Id="rId649" Type="http://schemas.openxmlformats.org/officeDocument/2006/relationships/hyperlink" Target="https://www.munzee.com/m/BrotherWilliam/3888/admin/" TargetMode="External"/><Relationship Id="rId648" Type="http://schemas.openxmlformats.org/officeDocument/2006/relationships/hyperlink" Target="http://www.munzee.com" TargetMode="External"/><Relationship Id="rId647" Type="http://schemas.openxmlformats.org/officeDocument/2006/relationships/hyperlink" Target="https://www.munzee.com/m/J1Huisman/11234/" TargetMode="External"/><Relationship Id="rId1470" Type="http://schemas.openxmlformats.org/officeDocument/2006/relationships/hyperlink" Target="http://www.munzee.com" TargetMode="External"/><Relationship Id="rId1471" Type="http://schemas.openxmlformats.org/officeDocument/2006/relationships/hyperlink" Target="https://www.munzee.com/m/Niks13/642/" TargetMode="External"/><Relationship Id="rId1472" Type="http://schemas.openxmlformats.org/officeDocument/2006/relationships/hyperlink" Target="http://www.munzee.com" TargetMode="External"/><Relationship Id="rId642" Type="http://schemas.openxmlformats.org/officeDocument/2006/relationships/hyperlink" Target="http://www.munzee.com" TargetMode="External"/><Relationship Id="rId1473" Type="http://schemas.openxmlformats.org/officeDocument/2006/relationships/hyperlink" Target="https://www.munzee.com/m/xrayneex/1639/" TargetMode="External"/><Relationship Id="rId641" Type="http://schemas.openxmlformats.org/officeDocument/2006/relationships/hyperlink" Target="https://www.munzee.com/m/Pinkeltje/1137/" TargetMode="External"/><Relationship Id="rId1474" Type="http://schemas.openxmlformats.org/officeDocument/2006/relationships/hyperlink" Target="http://www.munzee.com" TargetMode="External"/><Relationship Id="rId640" Type="http://schemas.openxmlformats.org/officeDocument/2006/relationships/hyperlink" Target="http://www.munzee.com" TargetMode="External"/><Relationship Id="rId1475" Type="http://schemas.openxmlformats.org/officeDocument/2006/relationships/hyperlink" Target="https://www.munzee.com/m/BrotherWilliam/4248/admin/" TargetMode="External"/><Relationship Id="rId1476" Type="http://schemas.openxmlformats.org/officeDocument/2006/relationships/hyperlink" Target="http://www.munzee.com" TargetMode="External"/><Relationship Id="rId1466" Type="http://schemas.openxmlformats.org/officeDocument/2006/relationships/hyperlink" Target="http://www.munzee.com" TargetMode="External"/><Relationship Id="rId2797" Type="http://schemas.openxmlformats.org/officeDocument/2006/relationships/hyperlink" Target="https://www.munzee.com/m/lupo6/6880" TargetMode="External"/><Relationship Id="rId1467" Type="http://schemas.openxmlformats.org/officeDocument/2006/relationships/hyperlink" Target="https://www.munzee.com/m/Tinake1309/860/" TargetMode="External"/><Relationship Id="rId2798" Type="http://schemas.openxmlformats.org/officeDocument/2006/relationships/hyperlink" Target="http://www.munzee.com" TargetMode="External"/><Relationship Id="rId1468" Type="http://schemas.openxmlformats.org/officeDocument/2006/relationships/hyperlink" Target="http://www.munzee.com" TargetMode="External"/><Relationship Id="rId2799" Type="http://schemas.openxmlformats.org/officeDocument/2006/relationships/hyperlink" Target="https://www.munzee.com/m/Reart/917/" TargetMode="External"/><Relationship Id="rId1469" Type="http://schemas.openxmlformats.org/officeDocument/2006/relationships/hyperlink" Target="https://www.munzee.com/m/Berg14/676/" TargetMode="External"/><Relationship Id="rId635" Type="http://schemas.openxmlformats.org/officeDocument/2006/relationships/hyperlink" Target="https://www.munzee.com/m/EmileP68/2933/" TargetMode="External"/><Relationship Id="rId634" Type="http://schemas.openxmlformats.org/officeDocument/2006/relationships/hyperlink" Target="http://www.munzee.com" TargetMode="External"/><Relationship Id="rId633" Type="http://schemas.openxmlformats.org/officeDocument/2006/relationships/hyperlink" Target="https://www.munzee.com/m/sverlaan/4153/" TargetMode="External"/><Relationship Id="rId632" Type="http://schemas.openxmlformats.org/officeDocument/2006/relationships/hyperlink" Target="http://www.munzee.com" TargetMode="External"/><Relationship Id="rId639" Type="http://schemas.openxmlformats.org/officeDocument/2006/relationships/hyperlink" Target="https://www.munzee.com/m/fsafranek/4307/" TargetMode="External"/><Relationship Id="rId638" Type="http://schemas.openxmlformats.org/officeDocument/2006/relationships/hyperlink" Target="http://www.munzee.com" TargetMode="External"/><Relationship Id="rId637" Type="http://schemas.openxmlformats.org/officeDocument/2006/relationships/hyperlink" Target="https://www.munzee.com/m/PawPatrolThomas/2237/" TargetMode="External"/><Relationship Id="rId636" Type="http://schemas.openxmlformats.org/officeDocument/2006/relationships/hyperlink" Target="http://www.munzee.com" TargetMode="External"/><Relationship Id="rId2790" Type="http://schemas.openxmlformats.org/officeDocument/2006/relationships/hyperlink" Target="http://www.munzee.com" TargetMode="External"/><Relationship Id="rId1460" Type="http://schemas.openxmlformats.org/officeDocument/2006/relationships/hyperlink" Target="http://www.munzee.com" TargetMode="External"/><Relationship Id="rId2791" Type="http://schemas.openxmlformats.org/officeDocument/2006/relationships/hyperlink" Target="https://www.munzee.com/m/J1Huisman/14700/" TargetMode="External"/><Relationship Id="rId1461" Type="http://schemas.openxmlformats.org/officeDocument/2006/relationships/hyperlink" Target="https://www.munzee.com/m/pawpatrolthomas/2674/" TargetMode="External"/><Relationship Id="rId2792" Type="http://schemas.openxmlformats.org/officeDocument/2006/relationships/hyperlink" Target="http://www.munzee.com" TargetMode="External"/><Relationship Id="rId631" Type="http://schemas.openxmlformats.org/officeDocument/2006/relationships/hyperlink" Target="https://www.munzee.com/m/xrayneex/1349" TargetMode="External"/><Relationship Id="rId1462" Type="http://schemas.openxmlformats.org/officeDocument/2006/relationships/hyperlink" Target="http://www.munzee.com" TargetMode="External"/><Relationship Id="rId2793" Type="http://schemas.openxmlformats.org/officeDocument/2006/relationships/hyperlink" Target="https://www.munzee.com/m/raunas/7130" TargetMode="External"/><Relationship Id="rId630" Type="http://schemas.openxmlformats.org/officeDocument/2006/relationships/hyperlink" Target="http://www.munzee.com" TargetMode="External"/><Relationship Id="rId1463" Type="http://schemas.openxmlformats.org/officeDocument/2006/relationships/hyperlink" Target="https://www.munzee.com/m/Derlame/13867/" TargetMode="External"/><Relationship Id="rId2794" Type="http://schemas.openxmlformats.org/officeDocument/2006/relationships/hyperlink" Target="http://www.munzee.com" TargetMode="External"/><Relationship Id="rId1464" Type="http://schemas.openxmlformats.org/officeDocument/2006/relationships/hyperlink" Target="http://www.munzee.com" TargetMode="External"/><Relationship Id="rId2795" Type="http://schemas.openxmlformats.org/officeDocument/2006/relationships/hyperlink" Target="https://www.munzee.com/m/Anetzet/4281/" TargetMode="External"/><Relationship Id="rId1465" Type="http://schemas.openxmlformats.org/officeDocument/2006/relationships/hyperlink" Target="https://www.munzee.com/m/Drazoria/971/" TargetMode="External"/><Relationship Id="rId2796" Type="http://schemas.openxmlformats.org/officeDocument/2006/relationships/hyperlink" Target="http://www.munzee.com" TargetMode="External"/><Relationship Id="rId1411" Type="http://schemas.openxmlformats.org/officeDocument/2006/relationships/hyperlink" Target="https://www.munzee.com/m/GeodudeDK/3404/" TargetMode="External"/><Relationship Id="rId2742" Type="http://schemas.openxmlformats.org/officeDocument/2006/relationships/hyperlink" Target="http://www.munzee.com" TargetMode="External"/><Relationship Id="rId1412" Type="http://schemas.openxmlformats.org/officeDocument/2006/relationships/hyperlink" Target="http://www.munzee.com" TargetMode="External"/><Relationship Id="rId2743" Type="http://schemas.openxmlformats.org/officeDocument/2006/relationships/hyperlink" Target="https://www.munzee.com/m/Anetzet/4696/" TargetMode="External"/><Relationship Id="rId1413" Type="http://schemas.openxmlformats.org/officeDocument/2006/relationships/hyperlink" Target="https://www.munzee.com/m/Pinkeltje/1537/" TargetMode="External"/><Relationship Id="rId2744" Type="http://schemas.openxmlformats.org/officeDocument/2006/relationships/hyperlink" Target="http://www.munzee.com" TargetMode="External"/><Relationship Id="rId1414" Type="http://schemas.openxmlformats.org/officeDocument/2006/relationships/hyperlink" Target="http://www.munzee.com" TargetMode="External"/><Relationship Id="rId2745" Type="http://schemas.openxmlformats.org/officeDocument/2006/relationships/hyperlink" Target="https://www.munzee.com/m/mortonfox/23077/" TargetMode="External"/><Relationship Id="rId1415" Type="http://schemas.openxmlformats.org/officeDocument/2006/relationships/hyperlink" Target="https://www.munzee.com/m/amadoreugen/5826" TargetMode="External"/><Relationship Id="rId2746" Type="http://schemas.openxmlformats.org/officeDocument/2006/relationships/hyperlink" Target="http://www.munzee.com" TargetMode="External"/><Relationship Id="rId1416" Type="http://schemas.openxmlformats.org/officeDocument/2006/relationships/hyperlink" Target="http://www.munzee.com" TargetMode="External"/><Relationship Id="rId2747" Type="http://schemas.openxmlformats.org/officeDocument/2006/relationships/hyperlink" Target="https://www.munzee.com/m/djeagle/7559/" TargetMode="External"/><Relationship Id="rId1417" Type="http://schemas.openxmlformats.org/officeDocument/2006/relationships/hyperlink" Target="https://www.munzee.com/m/cbf600/2647/" TargetMode="External"/><Relationship Id="rId2748" Type="http://schemas.openxmlformats.org/officeDocument/2006/relationships/hyperlink" Target="http://www.munzee.com" TargetMode="External"/><Relationship Id="rId1418" Type="http://schemas.openxmlformats.org/officeDocument/2006/relationships/hyperlink" Target="http://www.munzee.com" TargetMode="External"/><Relationship Id="rId2749" Type="http://schemas.openxmlformats.org/officeDocument/2006/relationships/hyperlink" Target="https://www.munzee.com/m/lison55/23778/" TargetMode="External"/><Relationship Id="rId1419" Type="http://schemas.openxmlformats.org/officeDocument/2006/relationships/hyperlink" Target="https://www.munzee.com/m/fsafranek/4760/" TargetMode="External"/><Relationship Id="rId2740" Type="http://schemas.openxmlformats.org/officeDocument/2006/relationships/hyperlink" Target="http://www.munzee.com" TargetMode="External"/><Relationship Id="rId1410" Type="http://schemas.openxmlformats.org/officeDocument/2006/relationships/hyperlink" Target="http://www.munzee.com" TargetMode="External"/><Relationship Id="rId2741" Type="http://schemas.openxmlformats.org/officeDocument/2006/relationships/hyperlink" Target="https://www.munzee.com/m/123xilef/13708/" TargetMode="External"/><Relationship Id="rId1400" Type="http://schemas.openxmlformats.org/officeDocument/2006/relationships/hyperlink" Target="http://www.munzee.com" TargetMode="External"/><Relationship Id="rId2731" Type="http://schemas.openxmlformats.org/officeDocument/2006/relationships/hyperlink" Target="https://www.munzee.com/m/res2100/836" TargetMode="External"/><Relationship Id="rId1401" Type="http://schemas.openxmlformats.org/officeDocument/2006/relationships/hyperlink" Target="https://www.munzee.com/m/Derlame/13443/" TargetMode="External"/><Relationship Id="rId2732" Type="http://schemas.openxmlformats.org/officeDocument/2006/relationships/hyperlink" Target="http://www.munzee.com" TargetMode="External"/><Relationship Id="rId1402" Type="http://schemas.openxmlformats.org/officeDocument/2006/relationships/hyperlink" Target="http://www.munzee.com" TargetMode="External"/><Relationship Id="rId2733" Type="http://schemas.openxmlformats.org/officeDocument/2006/relationships/hyperlink" Target="https://www.munzee.com/m/Ellesche/797/" TargetMode="External"/><Relationship Id="rId1403" Type="http://schemas.openxmlformats.org/officeDocument/2006/relationships/hyperlink" Target="https://www.munzee.com/m/GeodudeDK/3403/" TargetMode="External"/><Relationship Id="rId2734" Type="http://schemas.openxmlformats.org/officeDocument/2006/relationships/hyperlink" Target="http://www.munzee.com" TargetMode="External"/><Relationship Id="rId1404" Type="http://schemas.openxmlformats.org/officeDocument/2006/relationships/hyperlink" Target="http://www.munzee.com" TargetMode="External"/><Relationship Id="rId2735" Type="http://schemas.openxmlformats.org/officeDocument/2006/relationships/hyperlink" Target="https://www.munzee.com/m/Arendsoog/9057/" TargetMode="External"/><Relationship Id="rId1405" Type="http://schemas.openxmlformats.org/officeDocument/2006/relationships/hyperlink" Target="https://www.munzee.com/m/cbf600/2539/" TargetMode="External"/><Relationship Id="rId2736" Type="http://schemas.openxmlformats.org/officeDocument/2006/relationships/hyperlink" Target="http://www.munzee.com" TargetMode="External"/><Relationship Id="rId1406" Type="http://schemas.openxmlformats.org/officeDocument/2006/relationships/hyperlink" Target="http://www.munzee.com" TargetMode="External"/><Relationship Id="rId2737" Type="http://schemas.openxmlformats.org/officeDocument/2006/relationships/hyperlink" Target="https://www.munzee.com/m/Trappertje/15205/" TargetMode="External"/><Relationship Id="rId1407" Type="http://schemas.openxmlformats.org/officeDocument/2006/relationships/hyperlink" Target="https://www.munzee.com/m/lison55/5523/" TargetMode="External"/><Relationship Id="rId2738" Type="http://schemas.openxmlformats.org/officeDocument/2006/relationships/hyperlink" Target="http://www.munzee.com" TargetMode="External"/><Relationship Id="rId1408" Type="http://schemas.openxmlformats.org/officeDocument/2006/relationships/hyperlink" Target="http://www.munzee.com" TargetMode="External"/><Relationship Id="rId2739" Type="http://schemas.openxmlformats.org/officeDocument/2006/relationships/hyperlink" Target="https://www.munzee.com/m/TheFrog/6336/" TargetMode="External"/><Relationship Id="rId1409" Type="http://schemas.openxmlformats.org/officeDocument/2006/relationships/hyperlink" Target="https://www.munzee.com/m/Bisquick2/4560/" TargetMode="External"/><Relationship Id="rId2730" Type="http://schemas.openxmlformats.org/officeDocument/2006/relationships/hyperlink" Target="http://www.munzee.com" TargetMode="External"/><Relationship Id="rId1433" Type="http://schemas.openxmlformats.org/officeDocument/2006/relationships/hyperlink" Target="https://www.munzee.com/m/123xilef/7722/" TargetMode="External"/><Relationship Id="rId2764" Type="http://schemas.openxmlformats.org/officeDocument/2006/relationships/hyperlink" Target="http://www.munzee.com" TargetMode="External"/><Relationship Id="rId1434" Type="http://schemas.openxmlformats.org/officeDocument/2006/relationships/hyperlink" Target="http://www.munzee.com" TargetMode="External"/><Relationship Id="rId2765" Type="http://schemas.openxmlformats.org/officeDocument/2006/relationships/hyperlink" Target="https://www.munzee.com/m/5Star/7451/" TargetMode="External"/><Relationship Id="rId1435" Type="http://schemas.openxmlformats.org/officeDocument/2006/relationships/hyperlink" Target="https://www.munzee.com/m/amadoreugen/5842" TargetMode="External"/><Relationship Id="rId2766" Type="http://schemas.openxmlformats.org/officeDocument/2006/relationships/hyperlink" Target="http://www.munzee.com" TargetMode="External"/><Relationship Id="rId1436" Type="http://schemas.openxmlformats.org/officeDocument/2006/relationships/hyperlink" Target="http://www.munzee.com" TargetMode="External"/><Relationship Id="rId2767" Type="http://schemas.openxmlformats.org/officeDocument/2006/relationships/hyperlink" Target="https://www.munzee.com/m/lison55/6322/" TargetMode="External"/><Relationship Id="rId1437" Type="http://schemas.openxmlformats.org/officeDocument/2006/relationships/hyperlink" Target="https://www.munzee.com/m/Mallet75/781/" TargetMode="External"/><Relationship Id="rId2768" Type="http://schemas.openxmlformats.org/officeDocument/2006/relationships/hyperlink" Target="http://www.munzee.com" TargetMode="External"/><Relationship Id="rId1438" Type="http://schemas.openxmlformats.org/officeDocument/2006/relationships/hyperlink" Target="http://www.munzee.com" TargetMode="External"/><Relationship Id="rId2769" Type="http://schemas.openxmlformats.org/officeDocument/2006/relationships/hyperlink" Target="https://www.munzee.com/m/jwg68/1652/" TargetMode="External"/><Relationship Id="rId1439" Type="http://schemas.openxmlformats.org/officeDocument/2006/relationships/hyperlink" Target="https://www.munzee.com/m/Trappertje/5521/" TargetMode="External"/><Relationship Id="rId609" Type="http://schemas.openxmlformats.org/officeDocument/2006/relationships/hyperlink" Target="https://www.munzee.com/m/amadoreugen/5811" TargetMode="External"/><Relationship Id="rId608" Type="http://schemas.openxmlformats.org/officeDocument/2006/relationships/hyperlink" Target="http://www.munzee.com" TargetMode="External"/><Relationship Id="rId607" Type="http://schemas.openxmlformats.org/officeDocument/2006/relationships/hyperlink" Target="https://www.munzee.com/m/EmileP68/3371/" TargetMode="External"/><Relationship Id="rId602" Type="http://schemas.openxmlformats.org/officeDocument/2006/relationships/hyperlink" Target="http://www.munzee.com" TargetMode="External"/><Relationship Id="rId601" Type="http://schemas.openxmlformats.org/officeDocument/2006/relationships/hyperlink" Target="https://www.munzee.com/m/TheFrog/4146/" TargetMode="External"/><Relationship Id="rId600" Type="http://schemas.openxmlformats.org/officeDocument/2006/relationships/hyperlink" Target="http://www.munzee.com" TargetMode="External"/><Relationship Id="rId606" Type="http://schemas.openxmlformats.org/officeDocument/2006/relationships/hyperlink" Target="http://www.munzee.com" TargetMode="External"/><Relationship Id="rId605" Type="http://schemas.openxmlformats.org/officeDocument/2006/relationships/hyperlink" Target="https://www.munzee.com/m/Wangotango/1231" TargetMode="External"/><Relationship Id="rId604" Type="http://schemas.openxmlformats.org/officeDocument/2006/relationships/hyperlink" Target="http://www.munzee.com" TargetMode="External"/><Relationship Id="rId603" Type="http://schemas.openxmlformats.org/officeDocument/2006/relationships/hyperlink" Target="https://www.munzee.com/m/123xilef/6653/" TargetMode="External"/><Relationship Id="rId2760" Type="http://schemas.openxmlformats.org/officeDocument/2006/relationships/hyperlink" Target="http://www.munzee.com" TargetMode="External"/><Relationship Id="rId1430" Type="http://schemas.openxmlformats.org/officeDocument/2006/relationships/hyperlink" Target="http://www.munzee.com" TargetMode="External"/><Relationship Id="rId2761" Type="http://schemas.openxmlformats.org/officeDocument/2006/relationships/hyperlink" Target="https://www.munzee.com/m/Fossillady/4419" TargetMode="External"/><Relationship Id="rId1431" Type="http://schemas.openxmlformats.org/officeDocument/2006/relationships/hyperlink" Target="https://www.munzee.com/m/TheFrog/5203/" TargetMode="External"/><Relationship Id="rId2762" Type="http://schemas.openxmlformats.org/officeDocument/2006/relationships/hyperlink" Target="http://www.munzee.com" TargetMode="External"/><Relationship Id="rId1432" Type="http://schemas.openxmlformats.org/officeDocument/2006/relationships/hyperlink" Target="http://www.munzee.com" TargetMode="External"/><Relationship Id="rId2763" Type="http://schemas.openxmlformats.org/officeDocument/2006/relationships/hyperlink" Target="https://www.munzee.com/m/xrayneex/2281/" TargetMode="External"/><Relationship Id="rId1422" Type="http://schemas.openxmlformats.org/officeDocument/2006/relationships/hyperlink" Target="http://www.munzee.com" TargetMode="External"/><Relationship Id="rId2753" Type="http://schemas.openxmlformats.org/officeDocument/2006/relationships/hyperlink" Target="https://www.munzee.com/m/Belladivadee/3180" TargetMode="External"/><Relationship Id="rId1423" Type="http://schemas.openxmlformats.org/officeDocument/2006/relationships/hyperlink" Target="https://www.munzee.com/m/IggiePiggie/2127/" TargetMode="External"/><Relationship Id="rId2754" Type="http://schemas.openxmlformats.org/officeDocument/2006/relationships/hyperlink" Target="http://www.munzee.com" TargetMode="External"/><Relationship Id="rId1424" Type="http://schemas.openxmlformats.org/officeDocument/2006/relationships/hyperlink" Target="http://www.munzee.com" TargetMode="External"/><Relationship Id="rId2755" Type="http://schemas.openxmlformats.org/officeDocument/2006/relationships/hyperlink" Target="https://www.munzee.com/m/sverlaan/5335/" TargetMode="External"/><Relationship Id="rId1425" Type="http://schemas.openxmlformats.org/officeDocument/2006/relationships/hyperlink" Target="https://www.munzee.com/m/BrotherWilliam/4289/admin/" TargetMode="External"/><Relationship Id="rId2756" Type="http://schemas.openxmlformats.org/officeDocument/2006/relationships/hyperlink" Target="http://www.munzee.com" TargetMode="External"/><Relationship Id="rId1426" Type="http://schemas.openxmlformats.org/officeDocument/2006/relationships/hyperlink" Target="http://www.munzee.com" TargetMode="External"/><Relationship Id="rId2757" Type="http://schemas.openxmlformats.org/officeDocument/2006/relationships/hyperlink" Target="https://www.munzee.com/m/PawPatrolThomas/3302/" TargetMode="External"/><Relationship Id="rId1427" Type="http://schemas.openxmlformats.org/officeDocument/2006/relationships/hyperlink" Target="https://www.munzee.com/m/mding4gold/4985" TargetMode="External"/><Relationship Id="rId2758" Type="http://schemas.openxmlformats.org/officeDocument/2006/relationships/hyperlink" Target="http://www.munzee.com" TargetMode="External"/><Relationship Id="rId1428" Type="http://schemas.openxmlformats.org/officeDocument/2006/relationships/hyperlink" Target="http://www.munzee.com" TargetMode="External"/><Relationship Id="rId2759" Type="http://schemas.openxmlformats.org/officeDocument/2006/relationships/hyperlink" Target="https://www.munzee.com/m/EmileP68/4066/" TargetMode="External"/><Relationship Id="rId1429" Type="http://schemas.openxmlformats.org/officeDocument/2006/relationships/hyperlink" Target="https://www.munzee.com/m/xrayneex/1549/" TargetMode="External"/><Relationship Id="rId2750" Type="http://schemas.openxmlformats.org/officeDocument/2006/relationships/hyperlink" Target="http://www.munzee.com" TargetMode="External"/><Relationship Id="rId1420" Type="http://schemas.openxmlformats.org/officeDocument/2006/relationships/hyperlink" Target="http://www.munzee.com" TargetMode="External"/><Relationship Id="rId2751" Type="http://schemas.openxmlformats.org/officeDocument/2006/relationships/hyperlink" Target="https://www.munzee.com/m/djeagle/7415/" TargetMode="External"/><Relationship Id="rId1421" Type="http://schemas.openxmlformats.org/officeDocument/2006/relationships/hyperlink" Target="https://www.munzee.com/m/Fossillady/3447" TargetMode="External"/><Relationship Id="rId2752" Type="http://schemas.openxmlformats.org/officeDocument/2006/relationships/hyperlink" Target="http://www.munzee.com" TargetMode="External"/><Relationship Id="rId3238" Type="http://schemas.openxmlformats.org/officeDocument/2006/relationships/hyperlink" Target="http://www.munzee.com" TargetMode="External"/><Relationship Id="rId3237" Type="http://schemas.openxmlformats.org/officeDocument/2006/relationships/hyperlink" Target="https://www.munzee.com/m/Anetzet/3160/" TargetMode="External"/><Relationship Id="rId3239" Type="http://schemas.openxmlformats.org/officeDocument/2006/relationships/hyperlink" Target="https://www.munzee.com/m/Theceoiksjes/5714/" TargetMode="External"/><Relationship Id="rId3230" Type="http://schemas.openxmlformats.org/officeDocument/2006/relationships/hyperlink" Target="http://www.munzee.com" TargetMode="External"/><Relationship Id="rId3232" Type="http://schemas.openxmlformats.org/officeDocument/2006/relationships/hyperlink" Target="http://www.munzee.com" TargetMode="External"/><Relationship Id="rId3231" Type="http://schemas.openxmlformats.org/officeDocument/2006/relationships/hyperlink" Target="https://www.munzee.com/m/WandelKuub/5693/admin/convert/" TargetMode="External"/><Relationship Id="rId3234" Type="http://schemas.openxmlformats.org/officeDocument/2006/relationships/hyperlink" Target="http://www.munzee.com" TargetMode="External"/><Relationship Id="rId3233" Type="http://schemas.openxmlformats.org/officeDocument/2006/relationships/hyperlink" Target="https://www.munzee.com/m/fsafranek/4675/" TargetMode="External"/><Relationship Id="rId3236" Type="http://schemas.openxmlformats.org/officeDocument/2006/relationships/hyperlink" Target="http://www.munzee.com" TargetMode="External"/><Relationship Id="rId3235" Type="http://schemas.openxmlformats.org/officeDocument/2006/relationships/hyperlink" Target="https://www.munzee.com/m/DutchLibrarian/476" TargetMode="External"/><Relationship Id="rId3227" Type="http://schemas.openxmlformats.org/officeDocument/2006/relationships/hyperlink" Target="https://www.munzee.com/m/Skater9468/450" TargetMode="External"/><Relationship Id="rId3226" Type="http://schemas.openxmlformats.org/officeDocument/2006/relationships/hyperlink" Target="http://www.munzee.com" TargetMode="External"/><Relationship Id="rId3229" Type="http://schemas.openxmlformats.org/officeDocument/2006/relationships/hyperlink" Target="https://www.munzee.com/m/DutchLibrarian/438" TargetMode="External"/><Relationship Id="rId3228" Type="http://schemas.openxmlformats.org/officeDocument/2006/relationships/hyperlink" Target="http://www.munzee.com" TargetMode="External"/><Relationship Id="rId699" Type="http://schemas.openxmlformats.org/officeDocument/2006/relationships/hyperlink" Target="https://www.munzee.com/m/jldh/2934/" TargetMode="External"/><Relationship Id="rId698" Type="http://schemas.openxmlformats.org/officeDocument/2006/relationships/hyperlink" Target="http://www.munzee.com" TargetMode="External"/><Relationship Id="rId693" Type="http://schemas.openxmlformats.org/officeDocument/2006/relationships/hyperlink" Target="https://www.munzee.com/m/jldh/2933/" TargetMode="External"/><Relationship Id="rId692" Type="http://schemas.openxmlformats.org/officeDocument/2006/relationships/hyperlink" Target="http://www.munzee.com" TargetMode="External"/><Relationship Id="rId691" Type="http://schemas.openxmlformats.org/officeDocument/2006/relationships/hyperlink" Target="https://www.munzee.com/m/babyw/3052/" TargetMode="External"/><Relationship Id="rId3221" Type="http://schemas.openxmlformats.org/officeDocument/2006/relationships/hyperlink" Target="https://www.munzee.com/m/Hanry/1008/" TargetMode="External"/><Relationship Id="rId690" Type="http://schemas.openxmlformats.org/officeDocument/2006/relationships/hyperlink" Target="http://www.munzee.com" TargetMode="External"/><Relationship Id="rId3220" Type="http://schemas.openxmlformats.org/officeDocument/2006/relationships/hyperlink" Target="http://www.munzee.com" TargetMode="External"/><Relationship Id="rId697" Type="http://schemas.openxmlformats.org/officeDocument/2006/relationships/hyperlink" Target="https://www.munzee.com/m/Lanyasummer/4398/" TargetMode="External"/><Relationship Id="rId3223" Type="http://schemas.openxmlformats.org/officeDocument/2006/relationships/hyperlink" Target="https://www.munzee.com/m/DutchLibrarian/432" TargetMode="External"/><Relationship Id="rId696" Type="http://schemas.openxmlformats.org/officeDocument/2006/relationships/hyperlink" Target="http://www.munzee.com" TargetMode="External"/><Relationship Id="rId3222" Type="http://schemas.openxmlformats.org/officeDocument/2006/relationships/hyperlink" Target="http://www.munzee.com" TargetMode="External"/><Relationship Id="rId695" Type="http://schemas.openxmlformats.org/officeDocument/2006/relationships/hyperlink" Target="https://www.munzee.com/m/LtRangerBob/2591/" TargetMode="External"/><Relationship Id="rId3225" Type="http://schemas.openxmlformats.org/officeDocument/2006/relationships/hyperlink" Target="https://www.munzee.com/m/DeNachtwaker/5776" TargetMode="External"/><Relationship Id="rId694" Type="http://schemas.openxmlformats.org/officeDocument/2006/relationships/hyperlink" Target="http://www.munzee.com" TargetMode="External"/><Relationship Id="rId3224" Type="http://schemas.openxmlformats.org/officeDocument/2006/relationships/hyperlink" Target="http://www.munzee.com" TargetMode="External"/><Relationship Id="rId3259" Type="http://schemas.openxmlformats.org/officeDocument/2006/relationships/hyperlink" Target="https://www.munzee.com/m/Rhaegal/7/" TargetMode="External"/><Relationship Id="rId3250" Type="http://schemas.openxmlformats.org/officeDocument/2006/relationships/hyperlink" Target="http://www.munzee.com" TargetMode="External"/><Relationship Id="rId3252" Type="http://schemas.openxmlformats.org/officeDocument/2006/relationships/hyperlink" Target="http://www.munzee.com" TargetMode="External"/><Relationship Id="rId3251" Type="http://schemas.openxmlformats.org/officeDocument/2006/relationships/hyperlink" Target="https://www.munzee.com/m/feikjen/8006/" TargetMode="External"/><Relationship Id="rId3254" Type="http://schemas.openxmlformats.org/officeDocument/2006/relationships/hyperlink" Target="http://www.munzee.com" TargetMode="External"/><Relationship Id="rId3253" Type="http://schemas.openxmlformats.org/officeDocument/2006/relationships/hyperlink" Target="https://www.munzee.com/m/Trappertje/5102/" TargetMode="External"/><Relationship Id="rId3256" Type="http://schemas.openxmlformats.org/officeDocument/2006/relationships/hyperlink" Target="http://www.munzee.com" TargetMode="External"/><Relationship Id="rId3255" Type="http://schemas.openxmlformats.org/officeDocument/2006/relationships/hyperlink" Target="https://www.munzee.com/m/MrsSourflush/1468/" TargetMode="External"/><Relationship Id="rId3258" Type="http://schemas.openxmlformats.org/officeDocument/2006/relationships/hyperlink" Target="http://www.munzee.com" TargetMode="External"/><Relationship Id="rId3257" Type="http://schemas.openxmlformats.org/officeDocument/2006/relationships/hyperlink" Target="https://www.munzee.com/m/cbf600/2533/" TargetMode="External"/><Relationship Id="rId3249" Type="http://schemas.openxmlformats.org/officeDocument/2006/relationships/hyperlink" Target="https://www.munzee.com/m/felixbongers/7920/" TargetMode="External"/><Relationship Id="rId3248" Type="http://schemas.openxmlformats.org/officeDocument/2006/relationships/hyperlink" Target="http://www.munzee.com" TargetMode="External"/><Relationship Id="rId3241" Type="http://schemas.openxmlformats.org/officeDocument/2006/relationships/hyperlink" Target="https://www.munzee.com/m/Pronkrug/2812" TargetMode="External"/><Relationship Id="rId3240" Type="http://schemas.openxmlformats.org/officeDocument/2006/relationships/hyperlink" Target="http://www.munzee.com" TargetMode="External"/><Relationship Id="rId3243" Type="http://schemas.openxmlformats.org/officeDocument/2006/relationships/hyperlink" Target="https://www.munzee.com/m/cvdchiller/8750" TargetMode="External"/><Relationship Id="rId3242" Type="http://schemas.openxmlformats.org/officeDocument/2006/relationships/hyperlink" Target="http://www.munzee.com" TargetMode="External"/><Relationship Id="rId3245" Type="http://schemas.openxmlformats.org/officeDocument/2006/relationships/hyperlink" Target="https://www.munzee.com/m/Vonney/2/" TargetMode="External"/><Relationship Id="rId3244" Type="http://schemas.openxmlformats.org/officeDocument/2006/relationships/hyperlink" Target="http://www.munzee.com" TargetMode="External"/><Relationship Id="rId3247" Type="http://schemas.openxmlformats.org/officeDocument/2006/relationships/hyperlink" Target="https://www.munzee.com/m/xrayneex/1555/" TargetMode="External"/><Relationship Id="rId3246" Type="http://schemas.openxmlformats.org/officeDocument/2006/relationships/hyperlink" Target="http://www.munzee.com" TargetMode="External"/><Relationship Id="rId1499" Type="http://schemas.openxmlformats.org/officeDocument/2006/relationships/hyperlink" Target="http://www.munzee.com" TargetMode="External"/><Relationship Id="rId668" Type="http://schemas.openxmlformats.org/officeDocument/2006/relationships/hyperlink" Target="http://www.munzee.com" TargetMode="External"/><Relationship Id="rId667" Type="http://schemas.openxmlformats.org/officeDocument/2006/relationships/hyperlink" Target="https://www.munzee.com/m/Anetzet/2744/" TargetMode="External"/><Relationship Id="rId666" Type="http://schemas.openxmlformats.org/officeDocument/2006/relationships/hyperlink" Target="http://www.munzee.com" TargetMode="External"/><Relationship Id="rId665" Type="http://schemas.openxmlformats.org/officeDocument/2006/relationships/hyperlink" Target="https://www.munzee.com/m/Niks13/524/" TargetMode="External"/><Relationship Id="rId669" Type="http://schemas.openxmlformats.org/officeDocument/2006/relationships/hyperlink" Target="https://www.munzee.com/m/xrayneex/1348" TargetMode="External"/><Relationship Id="rId1490" Type="http://schemas.openxmlformats.org/officeDocument/2006/relationships/hyperlink" Target="http://www.munzee.com" TargetMode="External"/><Relationship Id="rId660" Type="http://schemas.openxmlformats.org/officeDocument/2006/relationships/hyperlink" Target="http://www.munzee.com" TargetMode="External"/><Relationship Id="rId1491" Type="http://schemas.openxmlformats.org/officeDocument/2006/relationships/hyperlink" Target="https://www.munzee.com/m/WetCoaster/4144/" TargetMode="External"/><Relationship Id="rId1492" Type="http://schemas.openxmlformats.org/officeDocument/2006/relationships/hyperlink" Target="https://www.munzee.com/m/TheFatCats/4194/" TargetMode="External"/><Relationship Id="rId1493" Type="http://schemas.openxmlformats.org/officeDocument/2006/relationships/hyperlink" Target="http://www.munzee.com" TargetMode="External"/><Relationship Id="rId1494" Type="http://schemas.openxmlformats.org/officeDocument/2006/relationships/hyperlink" Target="https://www.munzee.com/m/IggiePiggie/2131/" TargetMode="External"/><Relationship Id="rId664" Type="http://schemas.openxmlformats.org/officeDocument/2006/relationships/hyperlink" Target="http://www.munzee.com" TargetMode="External"/><Relationship Id="rId1495" Type="http://schemas.openxmlformats.org/officeDocument/2006/relationships/hyperlink" Target="http://www.munzee.com" TargetMode="External"/><Relationship Id="rId663" Type="http://schemas.openxmlformats.org/officeDocument/2006/relationships/hyperlink" Target="https://www.munzee.com/m/Berg14/559" TargetMode="External"/><Relationship Id="rId1496" Type="http://schemas.openxmlformats.org/officeDocument/2006/relationships/hyperlink" Target="https://www.munzee.com/m/OdinsFiRe/1974/" TargetMode="External"/><Relationship Id="rId662" Type="http://schemas.openxmlformats.org/officeDocument/2006/relationships/hyperlink" Target="http://www.munzee.com" TargetMode="External"/><Relationship Id="rId1497" Type="http://schemas.openxmlformats.org/officeDocument/2006/relationships/hyperlink" Target="http://www.munzee.com" TargetMode="External"/><Relationship Id="rId661" Type="http://schemas.openxmlformats.org/officeDocument/2006/relationships/hyperlink" Target="https://www.munzee.com/m/Tinake1309/721" TargetMode="External"/><Relationship Id="rId1498" Type="http://schemas.openxmlformats.org/officeDocument/2006/relationships/hyperlink" Target="https://www.munzee.com/m/Anetzet/3259/" TargetMode="External"/><Relationship Id="rId1488" Type="http://schemas.openxmlformats.org/officeDocument/2006/relationships/hyperlink" Target="http://www.munzee.com" TargetMode="External"/><Relationship Id="rId1489" Type="http://schemas.openxmlformats.org/officeDocument/2006/relationships/hyperlink" Target="https://www.munzee.com/m/TheFatCats/4132/" TargetMode="External"/><Relationship Id="rId657" Type="http://schemas.openxmlformats.org/officeDocument/2006/relationships/hyperlink" Target="https://www.munzee.com/m/all0123/3909/" TargetMode="External"/><Relationship Id="rId656" Type="http://schemas.openxmlformats.org/officeDocument/2006/relationships/hyperlink" Target="http://www.munzee.com" TargetMode="External"/><Relationship Id="rId655" Type="http://schemas.openxmlformats.org/officeDocument/2006/relationships/hyperlink" Target="https://www.munzee.com/m/Taz30/1630/" TargetMode="External"/><Relationship Id="rId654" Type="http://schemas.openxmlformats.org/officeDocument/2006/relationships/hyperlink" Target="http://www.munzee.com" TargetMode="External"/><Relationship Id="rId659" Type="http://schemas.openxmlformats.org/officeDocument/2006/relationships/hyperlink" Target="https://www.munzee.com/m/Drazoria/735/" TargetMode="External"/><Relationship Id="rId658" Type="http://schemas.openxmlformats.org/officeDocument/2006/relationships/hyperlink" Target="http://www.munzee.com" TargetMode="External"/><Relationship Id="rId1480" Type="http://schemas.openxmlformats.org/officeDocument/2006/relationships/hyperlink" Target="http://www.munzee.com" TargetMode="External"/><Relationship Id="rId1481" Type="http://schemas.openxmlformats.org/officeDocument/2006/relationships/hyperlink" Target="https://www.munzee.com/m/lison55/5688/" TargetMode="External"/><Relationship Id="rId1482" Type="http://schemas.openxmlformats.org/officeDocument/2006/relationships/hyperlink" Target="http://www.munzee.com" TargetMode="External"/><Relationship Id="rId1483" Type="http://schemas.openxmlformats.org/officeDocument/2006/relationships/hyperlink" Target="https://www.munzee.com/m/J1Huisman/11809/" TargetMode="External"/><Relationship Id="rId653" Type="http://schemas.openxmlformats.org/officeDocument/2006/relationships/hyperlink" Target="https://www.munzee.com/m/ArtofEco/2920/admin/" TargetMode="External"/><Relationship Id="rId1484" Type="http://schemas.openxmlformats.org/officeDocument/2006/relationships/hyperlink" Target="http://www.munzee.com" TargetMode="External"/><Relationship Id="rId652" Type="http://schemas.openxmlformats.org/officeDocument/2006/relationships/hyperlink" Target="http://www.munzee.com" TargetMode="External"/><Relationship Id="rId1485" Type="http://schemas.openxmlformats.org/officeDocument/2006/relationships/hyperlink" Target="https://www.munzee.com/m/amadoreugen/5825" TargetMode="External"/><Relationship Id="rId651" Type="http://schemas.openxmlformats.org/officeDocument/2006/relationships/hyperlink" Target="https://www.munzee.com/m/WiseOldWizard/3968/" TargetMode="External"/><Relationship Id="rId1486" Type="http://schemas.openxmlformats.org/officeDocument/2006/relationships/hyperlink" Target="http://www.munzee.com" TargetMode="External"/><Relationship Id="rId650" Type="http://schemas.openxmlformats.org/officeDocument/2006/relationships/hyperlink" Target="http://www.munzee.com" TargetMode="External"/><Relationship Id="rId1487" Type="http://schemas.openxmlformats.org/officeDocument/2006/relationships/hyperlink" Target="https://www.munzee.com/m/Fossillady/3425" TargetMode="External"/><Relationship Id="rId3216" Type="http://schemas.openxmlformats.org/officeDocument/2006/relationships/hyperlink" Target="http://www.munzee.com" TargetMode="External"/><Relationship Id="rId3215" Type="http://schemas.openxmlformats.org/officeDocument/2006/relationships/hyperlink" Target="https://www.munzee.com/m/SuperKoe/13096" TargetMode="External"/><Relationship Id="rId3218" Type="http://schemas.openxmlformats.org/officeDocument/2006/relationships/hyperlink" Target="http://www.munzee.com" TargetMode="External"/><Relationship Id="rId3217" Type="http://schemas.openxmlformats.org/officeDocument/2006/relationships/hyperlink" Target="https://www.munzee.com/m/HtV/7523/" TargetMode="External"/><Relationship Id="rId3219" Type="http://schemas.openxmlformats.org/officeDocument/2006/relationships/hyperlink" Target="https://www.munzee.com/m/Ronella42/196" TargetMode="External"/><Relationship Id="rId689" Type="http://schemas.openxmlformats.org/officeDocument/2006/relationships/hyperlink" Target="https://www.munzee.com/m/Vanocho/784/" TargetMode="External"/><Relationship Id="rId688" Type="http://schemas.openxmlformats.org/officeDocument/2006/relationships/hyperlink" Target="http://www.munzee.com" TargetMode="External"/><Relationship Id="rId687" Type="http://schemas.openxmlformats.org/officeDocument/2006/relationships/hyperlink" Target="https://www.munzee.com/m/OdinsFiRe/1631" TargetMode="External"/><Relationship Id="rId682" Type="http://schemas.openxmlformats.org/officeDocument/2006/relationships/hyperlink" Target="http://www.munzee.com" TargetMode="External"/><Relationship Id="rId681" Type="http://schemas.openxmlformats.org/officeDocument/2006/relationships/hyperlink" Target="https://www.munzee.com/m/Laouate/318/" TargetMode="External"/><Relationship Id="rId680" Type="http://schemas.openxmlformats.org/officeDocument/2006/relationships/hyperlink" Target="http://www.munzee.com" TargetMode="External"/><Relationship Id="rId3210" Type="http://schemas.openxmlformats.org/officeDocument/2006/relationships/hyperlink" Target="http://www.munzee.com" TargetMode="External"/><Relationship Id="rId686" Type="http://schemas.openxmlformats.org/officeDocument/2006/relationships/hyperlink" Target="http://www.munzee.com" TargetMode="External"/><Relationship Id="rId3212" Type="http://schemas.openxmlformats.org/officeDocument/2006/relationships/hyperlink" Target="http://www.munzee.com" TargetMode="External"/><Relationship Id="rId685" Type="http://schemas.openxmlformats.org/officeDocument/2006/relationships/hyperlink" Target="https://www.munzee.com/m/upapou/969/" TargetMode="External"/><Relationship Id="rId3211" Type="http://schemas.openxmlformats.org/officeDocument/2006/relationships/hyperlink" Target="https://www.munzee.com/m/J1Huisman/11590/" TargetMode="External"/><Relationship Id="rId684" Type="http://schemas.openxmlformats.org/officeDocument/2006/relationships/hyperlink" Target="http://www.munzee.com" TargetMode="External"/><Relationship Id="rId3214" Type="http://schemas.openxmlformats.org/officeDocument/2006/relationships/hyperlink" Target="http://www.munzee.com" TargetMode="External"/><Relationship Id="rId683" Type="http://schemas.openxmlformats.org/officeDocument/2006/relationships/hyperlink" Target="https://www.munzee.com/m/all0123/3911/" TargetMode="External"/><Relationship Id="rId3213" Type="http://schemas.openxmlformats.org/officeDocument/2006/relationships/hyperlink" Target="https://www.munzee.com/m/Pinkeltje/1408/" TargetMode="External"/><Relationship Id="rId3205" Type="http://schemas.openxmlformats.org/officeDocument/2006/relationships/hyperlink" Target="https://www.munzee.com/m/sverlaan/4452/" TargetMode="External"/><Relationship Id="rId3204" Type="http://schemas.openxmlformats.org/officeDocument/2006/relationships/hyperlink" Target="http://www.munzee.com" TargetMode="External"/><Relationship Id="rId3207" Type="http://schemas.openxmlformats.org/officeDocument/2006/relationships/hyperlink" Target="https://www.munzee.com/m/PawPatrolThomas/2506/" TargetMode="External"/><Relationship Id="rId3206" Type="http://schemas.openxmlformats.org/officeDocument/2006/relationships/hyperlink" Target="http://www.munzee.com" TargetMode="External"/><Relationship Id="rId3209" Type="http://schemas.openxmlformats.org/officeDocument/2006/relationships/hyperlink" Target="https://www.munzee.com/m/EmileP68/3222/" TargetMode="External"/><Relationship Id="rId3208" Type="http://schemas.openxmlformats.org/officeDocument/2006/relationships/hyperlink" Target="http://www.munzee.com" TargetMode="External"/><Relationship Id="rId679" Type="http://schemas.openxmlformats.org/officeDocument/2006/relationships/hyperlink" Target="https://www.munzee.com/m/cbf600/2359/admin/" TargetMode="External"/><Relationship Id="rId678" Type="http://schemas.openxmlformats.org/officeDocument/2006/relationships/hyperlink" Target="http://www.munzee.com" TargetMode="External"/><Relationship Id="rId677" Type="http://schemas.openxmlformats.org/officeDocument/2006/relationships/hyperlink" Target="https://www.munzee.com/m/BoyBou/3907/" TargetMode="External"/><Relationship Id="rId676" Type="http://schemas.openxmlformats.org/officeDocument/2006/relationships/hyperlink" Target="http://www.munzee.com" TargetMode="External"/><Relationship Id="rId671" Type="http://schemas.openxmlformats.org/officeDocument/2006/relationships/hyperlink" Target="https://www.munzee.com/m/Dazzle007/797/" TargetMode="External"/><Relationship Id="rId670" Type="http://schemas.openxmlformats.org/officeDocument/2006/relationships/hyperlink" Target="http://www.munzee.com" TargetMode="External"/><Relationship Id="rId675" Type="http://schemas.openxmlformats.org/officeDocument/2006/relationships/hyperlink" Target="https://www.munzee.com/m/BoyBou/3910/" TargetMode="External"/><Relationship Id="rId3201" Type="http://schemas.openxmlformats.org/officeDocument/2006/relationships/hyperlink" Target="https://www.munzee.com/m/TheFatCats/3681/" TargetMode="External"/><Relationship Id="rId674" Type="http://schemas.openxmlformats.org/officeDocument/2006/relationships/hyperlink" Target="http://www.munzee.com" TargetMode="External"/><Relationship Id="rId3200" Type="http://schemas.openxmlformats.org/officeDocument/2006/relationships/hyperlink" Target="http://www.munzee.com" TargetMode="External"/><Relationship Id="rId673" Type="http://schemas.openxmlformats.org/officeDocument/2006/relationships/hyperlink" Target="https://www.munzee.com/m/Lylmik/1482/" TargetMode="External"/><Relationship Id="rId3203" Type="http://schemas.openxmlformats.org/officeDocument/2006/relationships/hyperlink" Target="https://www.munzee.com/m/belladivadee/3184/" TargetMode="External"/><Relationship Id="rId672" Type="http://schemas.openxmlformats.org/officeDocument/2006/relationships/hyperlink" Target="http://www.munzee.com" TargetMode="External"/><Relationship Id="rId3202" Type="http://schemas.openxmlformats.org/officeDocument/2006/relationships/hyperlink" Target="http://www.munzee.com" TargetMode="External"/><Relationship Id="rId190" Type="http://schemas.openxmlformats.org/officeDocument/2006/relationships/hyperlink" Target="http://www.munzee.com" TargetMode="External"/><Relationship Id="rId194" Type="http://schemas.openxmlformats.org/officeDocument/2006/relationships/hyperlink" Target="http://www.munzee.com" TargetMode="External"/><Relationship Id="rId193" Type="http://schemas.openxmlformats.org/officeDocument/2006/relationships/hyperlink" Target="https://www.munzee.com/m/fsafranek/4429/" TargetMode="External"/><Relationship Id="rId192" Type="http://schemas.openxmlformats.org/officeDocument/2006/relationships/hyperlink" Target="http://www.munzee.com" TargetMode="External"/><Relationship Id="rId191" Type="http://schemas.openxmlformats.org/officeDocument/2006/relationships/hyperlink" Target="https://www.munzee.com/m/benotje/1340/" TargetMode="External"/><Relationship Id="rId187" Type="http://schemas.openxmlformats.org/officeDocument/2006/relationships/hyperlink" Target="https://www.munzee.com/m/123xilef/6734/" TargetMode="External"/><Relationship Id="rId186" Type="http://schemas.openxmlformats.org/officeDocument/2006/relationships/hyperlink" Target="http://www.munzee.com" TargetMode="External"/><Relationship Id="rId185" Type="http://schemas.openxmlformats.org/officeDocument/2006/relationships/hyperlink" Target="https://www.munzee.com/m/TheFrog/4047/" TargetMode="External"/><Relationship Id="rId184" Type="http://schemas.openxmlformats.org/officeDocument/2006/relationships/hyperlink" Target="http://www.munzee.com" TargetMode="External"/><Relationship Id="rId189" Type="http://schemas.openxmlformats.org/officeDocument/2006/relationships/hyperlink" Target="https://www.munzee.com/m/Trappertje/4588/" TargetMode="External"/><Relationship Id="rId188" Type="http://schemas.openxmlformats.org/officeDocument/2006/relationships/hyperlink" Target="http://www.munzee.com" TargetMode="External"/><Relationship Id="rId183" Type="http://schemas.openxmlformats.org/officeDocument/2006/relationships/hyperlink" Target="https://www.munzee.com/m/xrayneex/1310" TargetMode="External"/><Relationship Id="rId182" Type="http://schemas.openxmlformats.org/officeDocument/2006/relationships/hyperlink" Target="http://www.munzee.com" TargetMode="External"/><Relationship Id="rId181" Type="http://schemas.openxmlformats.org/officeDocument/2006/relationships/hyperlink" Target="https://www.munzee.com/m/roxiemama/142" TargetMode="External"/><Relationship Id="rId180" Type="http://schemas.openxmlformats.org/officeDocument/2006/relationships/hyperlink" Target="http://www.munzee.com" TargetMode="External"/><Relationship Id="rId176" Type="http://schemas.openxmlformats.org/officeDocument/2006/relationships/hyperlink" Target="http://www.munzee.com" TargetMode="External"/><Relationship Id="rId175" Type="http://schemas.openxmlformats.org/officeDocument/2006/relationships/hyperlink" Target="https://www.munzee.com/m/Questing4/7105" TargetMode="External"/><Relationship Id="rId174" Type="http://schemas.openxmlformats.org/officeDocument/2006/relationships/hyperlink" Target="http://www.munzee.com" TargetMode="External"/><Relationship Id="rId173" Type="http://schemas.openxmlformats.org/officeDocument/2006/relationships/hyperlink" Target="https://www.munzee.com/m/hoekraam/6641/" TargetMode="External"/><Relationship Id="rId179" Type="http://schemas.openxmlformats.org/officeDocument/2006/relationships/hyperlink" Target="https://www.munzee.com/m/OdinsFiRe/1520" TargetMode="External"/><Relationship Id="rId178" Type="http://schemas.openxmlformats.org/officeDocument/2006/relationships/hyperlink" Target="http://www.munzee.com" TargetMode="External"/><Relationship Id="rId177" Type="http://schemas.openxmlformats.org/officeDocument/2006/relationships/hyperlink" Target="https://www.munzee.com/m/rgforsythe/8522" TargetMode="External"/><Relationship Id="rId198" Type="http://schemas.openxmlformats.org/officeDocument/2006/relationships/hyperlink" Target="http://www.munzee.com" TargetMode="External"/><Relationship Id="rId197" Type="http://schemas.openxmlformats.org/officeDocument/2006/relationships/hyperlink" Target="https://www.munzee.com/m/PawPatrolThomas/2392/" TargetMode="External"/><Relationship Id="rId196" Type="http://schemas.openxmlformats.org/officeDocument/2006/relationships/hyperlink" Target="http://www.munzee.com" TargetMode="External"/><Relationship Id="rId195" Type="http://schemas.openxmlformats.org/officeDocument/2006/relationships/hyperlink" Target="https://www.munzee.com/m/EmileP68/3093/" TargetMode="External"/><Relationship Id="rId199" Type="http://schemas.openxmlformats.org/officeDocument/2006/relationships/hyperlink" Target="https://www.munzee.com/m/sverlaan/4201/" TargetMode="External"/><Relationship Id="rId150" Type="http://schemas.openxmlformats.org/officeDocument/2006/relationships/hyperlink" Target="http://www.munzee.com" TargetMode="External"/><Relationship Id="rId149" Type="http://schemas.openxmlformats.org/officeDocument/2006/relationships/hyperlink" Target="https://www.munzee.com/m/babyw/2848/" TargetMode="External"/><Relationship Id="rId148" Type="http://schemas.openxmlformats.org/officeDocument/2006/relationships/hyperlink" Target="http://www.munzee.com" TargetMode="External"/><Relationship Id="rId3270" Type="http://schemas.openxmlformats.org/officeDocument/2006/relationships/hyperlink" Target="http://www.munzee.com" TargetMode="External"/><Relationship Id="rId3272" Type="http://schemas.openxmlformats.org/officeDocument/2006/relationships/hyperlink" Target="http://www.munzee.com" TargetMode="External"/><Relationship Id="rId3271" Type="http://schemas.openxmlformats.org/officeDocument/2006/relationships/hyperlink" Target="https://www.munzee.com/m/raftjen/2350" TargetMode="External"/><Relationship Id="rId143" Type="http://schemas.openxmlformats.org/officeDocument/2006/relationships/hyperlink" Target="https://www.munzee.com/m/IggiePiggie/1769/" TargetMode="External"/><Relationship Id="rId3274" Type="http://schemas.openxmlformats.org/officeDocument/2006/relationships/hyperlink" Target="http://www.munzee.com" TargetMode="External"/><Relationship Id="rId142" Type="http://schemas.openxmlformats.org/officeDocument/2006/relationships/hyperlink" Target="http://www.munzee.com" TargetMode="External"/><Relationship Id="rId3273" Type="http://schemas.openxmlformats.org/officeDocument/2006/relationships/hyperlink" Target="https://www.munzee.com/m/Iphoney/7/" TargetMode="External"/><Relationship Id="rId141" Type="http://schemas.openxmlformats.org/officeDocument/2006/relationships/hyperlink" Target="https://www.munzee.com/m/Andrew81/1331" TargetMode="External"/><Relationship Id="rId3276" Type="http://schemas.openxmlformats.org/officeDocument/2006/relationships/hyperlink" Target="http://www.munzee.com" TargetMode="External"/><Relationship Id="rId140" Type="http://schemas.openxmlformats.org/officeDocument/2006/relationships/hyperlink" Target="http://www.munzee.com" TargetMode="External"/><Relationship Id="rId3275" Type="http://schemas.openxmlformats.org/officeDocument/2006/relationships/hyperlink" Target="https://www.munzee.com/m/roughdraft/8948/" TargetMode="External"/><Relationship Id="rId147" Type="http://schemas.openxmlformats.org/officeDocument/2006/relationships/hyperlink" Target="https://www.munzee.com/m/Anetzet/2523/" TargetMode="External"/><Relationship Id="rId3278" Type="http://schemas.openxmlformats.org/officeDocument/2006/relationships/hyperlink" Target="http://www.munzee.com" TargetMode="External"/><Relationship Id="rId146" Type="http://schemas.openxmlformats.org/officeDocument/2006/relationships/hyperlink" Target="http://www.munzee.com" TargetMode="External"/><Relationship Id="rId3277" Type="http://schemas.openxmlformats.org/officeDocument/2006/relationships/hyperlink" Target="https://www.munzee.com/m/vadotech/8542/" TargetMode="External"/><Relationship Id="rId145" Type="http://schemas.openxmlformats.org/officeDocument/2006/relationships/hyperlink" Target="https://www.munzee.com/m/ArtofEco/2886/admin/" TargetMode="External"/><Relationship Id="rId144" Type="http://schemas.openxmlformats.org/officeDocument/2006/relationships/hyperlink" Target="http://www.munzee.com" TargetMode="External"/><Relationship Id="rId3279" Type="http://schemas.openxmlformats.org/officeDocument/2006/relationships/hyperlink" Target="https://www.munzee.com/m/Pamster13/4135/" TargetMode="External"/><Relationship Id="rId139" Type="http://schemas.openxmlformats.org/officeDocument/2006/relationships/hyperlink" Target="https://www.munzee.com/m/barefootguru/3091/" TargetMode="External"/><Relationship Id="rId138" Type="http://schemas.openxmlformats.org/officeDocument/2006/relationships/hyperlink" Target="http://www.munzee.com" TargetMode="External"/><Relationship Id="rId137" Type="http://schemas.openxmlformats.org/officeDocument/2006/relationships/hyperlink" Target="https://www.munzee.com/m/hoekraam/6640/" TargetMode="External"/><Relationship Id="rId3261" Type="http://schemas.openxmlformats.org/officeDocument/2006/relationships/hyperlink" Target="https://www.munzee.com/m/Hanry/1007/" TargetMode="External"/><Relationship Id="rId3260" Type="http://schemas.openxmlformats.org/officeDocument/2006/relationships/hyperlink" Target="http://www.munzee.com" TargetMode="External"/><Relationship Id="rId132" Type="http://schemas.openxmlformats.org/officeDocument/2006/relationships/hyperlink" Target="http://www.munzee.com" TargetMode="External"/><Relationship Id="rId3263" Type="http://schemas.openxmlformats.org/officeDocument/2006/relationships/hyperlink" Target="https://www.munzee.com/m/MrsSourflush/1465/" TargetMode="External"/><Relationship Id="rId131" Type="http://schemas.openxmlformats.org/officeDocument/2006/relationships/hyperlink" Target="https://www.munzee.com/m/hoekraam/6630" TargetMode="External"/><Relationship Id="rId3262" Type="http://schemas.openxmlformats.org/officeDocument/2006/relationships/hyperlink" Target="http://www.munzee.com" TargetMode="External"/><Relationship Id="rId130" Type="http://schemas.openxmlformats.org/officeDocument/2006/relationships/hyperlink" Target="http://www.munzee.com" TargetMode="External"/><Relationship Id="rId3265" Type="http://schemas.openxmlformats.org/officeDocument/2006/relationships/hyperlink" Target="https://www.munzee.com/m/MariaHTJ/8563/" TargetMode="External"/><Relationship Id="rId3264" Type="http://schemas.openxmlformats.org/officeDocument/2006/relationships/hyperlink" Target="http://www.munzee.com" TargetMode="External"/><Relationship Id="rId136" Type="http://schemas.openxmlformats.org/officeDocument/2006/relationships/hyperlink" Target="http://www.munzee.com" TargetMode="External"/><Relationship Id="rId3267" Type="http://schemas.openxmlformats.org/officeDocument/2006/relationships/hyperlink" Target="https://www.munzee.com/m/destolkjes4ever/3014/" TargetMode="External"/><Relationship Id="rId135" Type="http://schemas.openxmlformats.org/officeDocument/2006/relationships/hyperlink" Target="https://www.munzee.com/m/BrotherWilliam/3859/admin/" TargetMode="External"/><Relationship Id="rId3266" Type="http://schemas.openxmlformats.org/officeDocument/2006/relationships/hyperlink" Target="http://www.munzee.com" TargetMode="External"/><Relationship Id="rId134" Type="http://schemas.openxmlformats.org/officeDocument/2006/relationships/hyperlink" Target="http://www.munzee.com" TargetMode="External"/><Relationship Id="rId3269" Type="http://schemas.openxmlformats.org/officeDocument/2006/relationships/hyperlink" Target="https://www.munzee.com/m/denali0407/15173/" TargetMode="External"/><Relationship Id="rId133" Type="http://schemas.openxmlformats.org/officeDocument/2006/relationships/hyperlink" Target="https://www.munzee.com/m/xrayneex/1314/" TargetMode="External"/><Relationship Id="rId3268" Type="http://schemas.openxmlformats.org/officeDocument/2006/relationships/hyperlink" Target="http://www.munzee.com" TargetMode="External"/><Relationship Id="rId172" Type="http://schemas.openxmlformats.org/officeDocument/2006/relationships/hyperlink" Target="http://www.munzee.com" TargetMode="External"/><Relationship Id="rId171" Type="http://schemas.openxmlformats.org/officeDocument/2006/relationships/hyperlink" Target="https://www.munzee.com/m/GroteSufferd/306/admin/" TargetMode="External"/><Relationship Id="rId170" Type="http://schemas.openxmlformats.org/officeDocument/2006/relationships/hyperlink" Target="http://www.munzee.com" TargetMode="External"/><Relationship Id="rId3290" Type="http://schemas.openxmlformats.org/officeDocument/2006/relationships/hyperlink" Target="http://www.munzee.com" TargetMode="External"/><Relationship Id="rId3292" Type="http://schemas.openxmlformats.org/officeDocument/2006/relationships/hyperlink" Target="http://www.munzee.com" TargetMode="External"/><Relationship Id="rId3291" Type="http://schemas.openxmlformats.org/officeDocument/2006/relationships/hyperlink" Target="https://www.munzee.com/m/lostsole68/3922/" TargetMode="External"/><Relationship Id="rId3294" Type="http://schemas.openxmlformats.org/officeDocument/2006/relationships/hyperlink" Target="http://www.munzee.com" TargetMode="External"/><Relationship Id="rId3293" Type="http://schemas.openxmlformats.org/officeDocument/2006/relationships/hyperlink" Target="https://www.munzee.com/m/Liekensboys/98/" TargetMode="External"/><Relationship Id="rId165" Type="http://schemas.openxmlformats.org/officeDocument/2006/relationships/hyperlink" Target="https://www.munzee.com/m/Niks13/411/" TargetMode="External"/><Relationship Id="rId3296" Type="http://schemas.openxmlformats.org/officeDocument/2006/relationships/hyperlink" Target="http://www.munzee.com" TargetMode="External"/><Relationship Id="rId164" Type="http://schemas.openxmlformats.org/officeDocument/2006/relationships/hyperlink" Target="http://www.munzee.com" TargetMode="External"/><Relationship Id="rId3295" Type="http://schemas.openxmlformats.org/officeDocument/2006/relationships/hyperlink" Target="https://www.munzee.com/m/Trappertje/5107/" TargetMode="External"/><Relationship Id="rId163" Type="http://schemas.openxmlformats.org/officeDocument/2006/relationships/hyperlink" Target="https://www.munzee.com/m/Berg14/441/" TargetMode="External"/><Relationship Id="rId3298" Type="http://schemas.openxmlformats.org/officeDocument/2006/relationships/hyperlink" Target="http://www.munzee.com" TargetMode="External"/><Relationship Id="rId162" Type="http://schemas.openxmlformats.org/officeDocument/2006/relationships/hyperlink" Target="http://www.munzee.com" TargetMode="External"/><Relationship Id="rId3297" Type="http://schemas.openxmlformats.org/officeDocument/2006/relationships/hyperlink" Target="https://www.munzee.com/m/ChudleighTraveller/1183/" TargetMode="External"/><Relationship Id="rId169" Type="http://schemas.openxmlformats.org/officeDocument/2006/relationships/hyperlink" Target="https://www.munzee.com/m/amigoth2de/1661/" TargetMode="External"/><Relationship Id="rId168" Type="http://schemas.openxmlformats.org/officeDocument/2006/relationships/hyperlink" Target="http://www.munzee.com" TargetMode="External"/><Relationship Id="rId3299" Type="http://schemas.openxmlformats.org/officeDocument/2006/relationships/hyperlink" Target="https://www.munzee.com/m/does/677" TargetMode="External"/><Relationship Id="rId167" Type="http://schemas.openxmlformats.org/officeDocument/2006/relationships/hyperlink" Target="https://www.munzee.com/m/Bambinacattiva/614" TargetMode="External"/><Relationship Id="rId166" Type="http://schemas.openxmlformats.org/officeDocument/2006/relationships/hyperlink" Target="http://www.munzee.com" TargetMode="External"/><Relationship Id="rId161" Type="http://schemas.openxmlformats.org/officeDocument/2006/relationships/hyperlink" Target="https://www.munzee.com/m/Tinake1309/647/" TargetMode="External"/><Relationship Id="rId160" Type="http://schemas.openxmlformats.org/officeDocument/2006/relationships/hyperlink" Target="http://www.munzee.com" TargetMode="External"/><Relationship Id="rId159" Type="http://schemas.openxmlformats.org/officeDocument/2006/relationships/hyperlink" Target="https://www.munzee.com/m/Drazoria/657/" TargetMode="External"/><Relationship Id="rId3281" Type="http://schemas.openxmlformats.org/officeDocument/2006/relationships/hyperlink" Target="https://www.munzee.com/m/Lusifeerus/1074/" TargetMode="External"/><Relationship Id="rId3280" Type="http://schemas.openxmlformats.org/officeDocument/2006/relationships/hyperlink" Target="http://www.munzee.com" TargetMode="External"/><Relationship Id="rId3283" Type="http://schemas.openxmlformats.org/officeDocument/2006/relationships/hyperlink" Target="https://www.munzee.com/m/TheFrog/4155/" TargetMode="External"/><Relationship Id="rId3282" Type="http://schemas.openxmlformats.org/officeDocument/2006/relationships/hyperlink" Target="http://www.munzee.com" TargetMode="External"/><Relationship Id="rId154" Type="http://schemas.openxmlformats.org/officeDocument/2006/relationships/hyperlink" Target="http://www.munzee.com" TargetMode="External"/><Relationship Id="rId3285" Type="http://schemas.openxmlformats.org/officeDocument/2006/relationships/hyperlink" Target="https://www.munzee.com/m/123xilef/7023/" TargetMode="External"/><Relationship Id="rId153" Type="http://schemas.openxmlformats.org/officeDocument/2006/relationships/hyperlink" Target="https://www.munzee.com/m/cbf600/2349/admin/" TargetMode="External"/><Relationship Id="rId3284" Type="http://schemas.openxmlformats.org/officeDocument/2006/relationships/hyperlink" Target="http://www.munzee.com" TargetMode="External"/><Relationship Id="rId152" Type="http://schemas.openxmlformats.org/officeDocument/2006/relationships/hyperlink" Target="http://www.munzee.com" TargetMode="External"/><Relationship Id="rId3287" Type="http://schemas.openxmlformats.org/officeDocument/2006/relationships/hyperlink" Target="https://www.munzee.com/m/Aniara/6961/" TargetMode="External"/><Relationship Id="rId151" Type="http://schemas.openxmlformats.org/officeDocument/2006/relationships/hyperlink" Target="https://www.munzee.com/m/WiseOldWizard/3935/" TargetMode="External"/><Relationship Id="rId3286" Type="http://schemas.openxmlformats.org/officeDocument/2006/relationships/hyperlink" Target="http://www.munzee.com" TargetMode="External"/><Relationship Id="rId158" Type="http://schemas.openxmlformats.org/officeDocument/2006/relationships/hyperlink" Target="http://www.munzee.com" TargetMode="External"/><Relationship Id="rId3289" Type="http://schemas.openxmlformats.org/officeDocument/2006/relationships/hyperlink" Target="https://www.munzee.com/m/Human01d/4071/" TargetMode="External"/><Relationship Id="rId157" Type="http://schemas.openxmlformats.org/officeDocument/2006/relationships/hyperlink" Target="https://www.munzee.com/m/Aniara/6512/" TargetMode="External"/><Relationship Id="rId3288" Type="http://schemas.openxmlformats.org/officeDocument/2006/relationships/hyperlink" Target="http://www.munzee.com" TargetMode="External"/><Relationship Id="rId156" Type="http://schemas.openxmlformats.org/officeDocument/2006/relationships/hyperlink" Target="http://www.munzee.com" TargetMode="External"/><Relationship Id="rId155" Type="http://schemas.openxmlformats.org/officeDocument/2006/relationships/hyperlink" Target="https://www.munzee.com/m/LonelyWalker/412/" TargetMode="External"/><Relationship Id="rId2820" Type="http://schemas.openxmlformats.org/officeDocument/2006/relationships/hyperlink" Target="http://www.munzee.com" TargetMode="External"/><Relationship Id="rId2821" Type="http://schemas.openxmlformats.org/officeDocument/2006/relationships/hyperlink" Target="https://www.munzee.com/m/Bisquick2/5977/" TargetMode="External"/><Relationship Id="rId2822" Type="http://schemas.openxmlformats.org/officeDocument/2006/relationships/hyperlink" Target="http://www.munzee.com" TargetMode="External"/><Relationship Id="rId2823" Type="http://schemas.openxmlformats.org/officeDocument/2006/relationships/hyperlink" Target="https://www.munzee.com/m/kwd/17267/" TargetMode="External"/><Relationship Id="rId2824" Type="http://schemas.openxmlformats.org/officeDocument/2006/relationships/hyperlink" Target="http://www.munzee.com" TargetMode="External"/><Relationship Id="rId2825" Type="http://schemas.openxmlformats.org/officeDocument/2006/relationships/hyperlink" Target="https://www.munzee.com/m/richardg01/5080/" TargetMode="External"/><Relationship Id="rId2826" Type="http://schemas.openxmlformats.org/officeDocument/2006/relationships/hyperlink" Target="http://www.munzee.com" TargetMode="External"/><Relationship Id="rId2827" Type="http://schemas.openxmlformats.org/officeDocument/2006/relationships/hyperlink" Target="https://www.munzee.com/m/StridentUK/7256/" TargetMode="External"/><Relationship Id="rId2828" Type="http://schemas.openxmlformats.org/officeDocument/2006/relationships/hyperlink" Target="http://www.munzee.com" TargetMode="External"/><Relationship Id="rId2829" Type="http://schemas.openxmlformats.org/officeDocument/2006/relationships/hyperlink" Target="https://www.munzee.com/m/TheaG/334/" TargetMode="External"/><Relationship Id="rId2810" Type="http://schemas.openxmlformats.org/officeDocument/2006/relationships/hyperlink" Target="http://www.munzee.com" TargetMode="External"/><Relationship Id="rId2811" Type="http://schemas.openxmlformats.org/officeDocument/2006/relationships/hyperlink" Target="https://www.munzee.com/m/iScreamBIue/2173" TargetMode="External"/><Relationship Id="rId2812" Type="http://schemas.openxmlformats.org/officeDocument/2006/relationships/hyperlink" Target="http://www.munzee.com" TargetMode="External"/><Relationship Id="rId2813" Type="http://schemas.openxmlformats.org/officeDocument/2006/relationships/hyperlink" Target="https://www.munzee.com/m/kwd/17268/" TargetMode="External"/><Relationship Id="rId2814" Type="http://schemas.openxmlformats.org/officeDocument/2006/relationships/hyperlink" Target="http://www.munzee.com" TargetMode="External"/><Relationship Id="rId2815" Type="http://schemas.openxmlformats.org/officeDocument/2006/relationships/hyperlink" Target="https://www.munzee.com/m/Fossillady/4367" TargetMode="External"/><Relationship Id="rId2816" Type="http://schemas.openxmlformats.org/officeDocument/2006/relationships/hyperlink" Target="http://www.munzee.com" TargetMode="External"/><Relationship Id="rId2817" Type="http://schemas.openxmlformats.org/officeDocument/2006/relationships/hyperlink" Target="https://www.munzee.com/m/FlatBlack/1142" TargetMode="External"/><Relationship Id="rId2818" Type="http://schemas.openxmlformats.org/officeDocument/2006/relationships/hyperlink" Target="http://www.munzee.com" TargetMode="External"/><Relationship Id="rId2819" Type="http://schemas.openxmlformats.org/officeDocument/2006/relationships/hyperlink" Target="https://www.munzee.com/m/Orky99/3993/" TargetMode="External"/><Relationship Id="rId1510" Type="http://schemas.openxmlformats.org/officeDocument/2006/relationships/hyperlink" Target="http://www.munzee.com" TargetMode="External"/><Relationship Id="rId2841" Type="http://schemas.openxmlformats.org/officeDocument/2006/relationships/hyperlink" Target="https://www.munzee.com/m/lupo6/2715" TargetMode="External"/><Relationship Id="rId1511" Type="http://schemas.openxmlformats.org/officeDocument/2006/relationships/hyperlink" Target="https://www.munzee.com/m/5Star/4687/" TargetMode="External"/><Relationship Id="rId2842" Type="http://schemas.openxmlformats.org/officeDocument/2006/relationships/hyperlink" Target="http://www.munzee.com" TargetMode="External"/><Relationship Id="rId1512" Type="http://schemas.openxmlformats.org/officeDocument/2006/relationships/hyperlink" Target="http://www.munzee.com" TargetMode="External"/><Relationship Id="rId2843" Type="http://schemas.openxmlformats.org/officeDocument/2006/relationships/hyperlink" Target="https://www.munzee.com/m/res2100/925" TargetMode="External"/><Relationship Id="rId1513" Type="http://schemas.openxmlformats.org/officeDocument/2006/relationships/hyperlink" Target="https://www.munzee.com/m/Jasper95/1511/" TargetMode="External"/><Relationship Id="rId2844" Type="http://schemas.openxmlformats.org/officeDocument/2006/relationships/hyperlink" Target="http://www.munzee.com" TargetMode="External"/><Relationship Id="rId1514" Type="http://schemas.openxmlformats.org/officeDocument/2006/relationships/hyperlink" Target="http://www.munzee.com" TargetMode="External"/><Relationship Id="rId2845" Type="http://schemas.openxmlformats.org/officeDocument/2006/relationships/hyperlink" Target="https://www.munzee.com/m/Ellesche/872" TargetMode="External"/><Relationship Id="rId1515" Type="http://schemas.openxmlformats.org/officeDocument/2006/relationships/hyperlink" Target="https://www.munzee.com/m/ArtofEco/3154/admin/" TargetMode="External"/><Relationship Id="rId2846" Type="http://schemas.openxmlformats.org/officeDocument/2006/relationships/hyperlink" Target="http://www.munzee.com" TargetMode="External"/><Relationship Id="rId1516" Type="http://schemas.openxmlformats.org/officeDocument/2006/relationships/hyperlink" Target="http://www.munzee.com" TargetMode="External"/><Relationship Id="rId2847" Type="http://schemas.openxmlformats.org/officeDocument/2006/relationships/hyperlink" Target="https://www.munzee.com/m/xrayneex/2367/" TargetMode="External"/><Relationship Id="rId1517" Type="http://schemas.openxmlformats.org/officeDocument/2006/relationships/hyperlink" Target="https://www.munzee.com/m/BrotherWilliam/4459/admin/" TargetMode="External"/><Relationship Id="rId2848" Type="http://schemas.openxmlformats.org/officeDocument/2006/relationships/hyperlink" Target="http://www.munzee.com" TargetMode="External"/><Relationship Id="rId1518" Type="http://schemas.openxmlformats.org/officeDocument/2006/relationships/hyperlink" Target="http://www.munzee.com" TargetMode="External"/><Relationship Id="rId2849" Type="http://schemas.openxmlformats.org/officeDocument/2006/relationships/hyperlink" Target="https://www.munzee.com/m/Derlame/18660/" TargetMode="External"/><Relationship Id="rId1519" Type="http://schemas.openxmlformats.org/officeDocument/2006/relationships/hyperlink" Target="https://www.munzee.com/m/lupo6/7018" TargetMode="External"/><Relationship Id="rId2840" Type="http://schemas.openxmlformats.org/officeDocument/2006/relationships/hyperlink" Target="http://www.munzee.com" TargetMode="External"/><Relationship Id="rId2830" Type="http://schemas.openxmlformats.org/officeDocument/2006/relationships/hyperlink" Target="http://www.munzee.com" TargetMode="External"/><Relationship Id="rId1500" Type="http://schemas.openxmlformats.org/officeDocument/2006/relationships/hyperlink" Target="https://www.munzee.com/m/Trappertje/5534/" TargetMode="External"/><Relationship Id="rId2831" Type="http://schemas.openxmlformats.org/officeDocument/2006/relationships/hyperlink" Target="https://www.munzee.com/m/struwel/20079" TargetMode="External"/><Relationship Id="rId1501" Type="http://schemas.openxmlformats.org/officeDocument/2006/relationships/hyperlink" Target="http://www.munzee.com" TargetMode="External"/><Relationship Id="rId2832" Type="http://schemas.openxmlformats.org/officeDocument/2006/relationships/hyperlink" Target="http://www.munzee.com" TargetMode="External"/><Relationship Id="rId1502" Type="http://schemas.openxmlformats.org/officeDocument/2006/relationships/hyperlink" Target="https://www.munzee.com/m/fsafranek/5342/" TargetMode="External"/><Relationship Id="rId2833" Type="http://schemas.openxmlformats.org/officeDocument/2006/relationships/hyperlink" Target="https://www.munzee.com/m/richardg01/5079/" TargetMode="External"/><Relationship Id="rId1503" Type="http://schemas.openxmlformats.org/officeDocument/2006/relationships/hyperlink" Target="http://www.munzee.com" TargetMode="External"/><Relationship Id="rId2834" Type="http://schemas.openxmlformats.org/officeDocument/2006/relationships/hyperlink" Target="http://www.munzee.com" TargetMode="External"/><Relationship Id="rId1504" Type="http://schemas.openxmlformats.org/officeDocument/2006/relationships/hyperlink" Target="https://www.munzee.com/m/cbf600/3992/" TargetMode="External"/><Relationship Id="rId2835" Type="http://schemas.openxmlformats.org/officeDocument/2006/relationships/hyperlink" Target="https://www.munzee.com/m/123xilef/10961/" TargetMode="External"/><Relationship Id="rId1505" Type="http://schemas.openxmlformats.org/officeDocument/2006/relationships/hyperlink" Target="https://www.munzee.com/m/GroteSufferd/452/admin/" TargetMode="External"/><Relationship Id="rId2836" Type="http://schemas.openxmlformats.org/officeDocument/2006/relationships/hyperlink" Target="http://www.munzee.com" TargetMode="External"/><Relationship Id="rId1506" Type="http://schemas.openxmlformats.org/officeDocument/2006/relationships/hyperlink" Target="http://www.munzee.com" TargetMode="External"/><Relationship Id="rId2837" Type="http://schemas.openxmlformats.org/officeDocument/2006/relationships/hyperlink" Target="https://www.munzee.com/m/Bouffe/2619/" TargetMode="External"/><Relationship Id="rId1507" Type="http://schemas.openxmlformats.org/officeDocument/2006/relationships/hyperlink" Target="https://www.munzee.com/m/cbf600/2541/admin/" TargetMode="External"/><Relationship Id="rId2838" Type="http://schemas.openxmlformats.org/officeDocument/2006/relationships/hyperlink" Target="http://www.munzee.com" TargetMode="External"/><Relationship Id="rId1508" Type="http://schemas.openxmlformats.org/officeDocument/2006/relationships/hyperlink" Target="http://www.munzee.com" TargetMode="External"/><Relationship Id="rId2839" Type="http://schemas.openxmlformats.org/officeDocument/2006/relationships/hyperlink" Target="https://www.munzee.com/m/Laura02/1227/" TargetMode="External"/><Relationship Id="rId1509" Type="http://schemas.openxmlformats.org/officeDocument/2006/relationships/hyperlink" Target="https://www.munzee.com/m/xrayneex/1635/" TargetMode="External"/><Relationship Id="rId2800" Type="http://schemas.openxmlformats.org/officeDocument/2006/relationships/hyperlink" Target="http://www.munzee.com" TargetMode="External"/><Relationship Id="rId2801" Type="http://schemas.openxmlformats.org/officeDocument/2006/relationships/hyperlink" Target="https://www.munzee.com/m/OdinsFiRe/2019/" TargetMode="External"/><Relationship Id="rId2802" Type="http://schemas.openxmlformats.org/officeDocument/2006/relationships/hyperlink" Target="http://www.munzee.com" TargetMode="External"/><Relationship Id="rId2803" Type="http://schemas.openxmlformats.org/officeDocument/2006/relationships/hyperlink" Target="https://www.munzee.com/m/cbf600/3018/admin/convert/" TargetMode="External"/><Relationship Id="rId2804" Type="http://schemas.openxmlformats.org/officeDocument/2006/relationships/hyperlink" Target="http://www.munzee.com" TargetMode="External"/><Relationship Id="rId2805" Type="http://schemas.openxmlformats.org/officeDocument/2006/relationships/hyperlink" Target="https://www.munzee.com/m/WetCoaster/4112/" TargetMode="External"/><Relationship Id="rId2806" Type="http://schemas.openxmlformats.org/officeDocument/2006/relationships/hyperlink" Target="http://www.munzee.com" TargetMode="External"/><Relationship Id="rId2807" Type="http://schemas.openxmlformats.org/officeDocument/2006/relationships/hyperlink" Target="https://www.munzee.com/m/TK2100/361" TargetMode="External"/><Relationship Id="rId2808" Type="http://schemas.openxmlformats.org/officeDocument/2006/relationships/hyperlink" Target="http://www.munzee.com" TargetMode="External"/><Relationship Id="rId2809" Type="http://schemas.openxmlformats.org/officeDocument/2006/relationships/hyperlink" Target="https://www.munzee.com/m/Orky99/3987/" TargetMode="External"/><Relationship Id="rId1576" Type="http://schemas.openxmlformats.org/officeDocument/2006/relationships/hyperlink" Target="https://www.munzee.com/m/Drazoria/999/" TargetMode="External"/><Relationship Id="rId1577" Type="http://schemas.openxmlformats.org/officeDocument/2006/relationships/hyperlink" Target="http://www.munzee.com" TargetMode="External"/><Relationship Id="rId1578" Type="http://schemas.openxmlformats.org/officeDocument/2006/relationships/hyperlink" Target="https://www.munzee.com/m/Tinake1309/947/" TargetMode="External"/><Relationship Id="rId1579" Type="http://schemas.openxmlformats.org/officeDocument/2006/relationships/hyperlink" Target="http://www.munzee.com" TargetMode="External"/><Relationship Id="rId987" Type="http://schemas.openxmlformats.org/officeDocument/2006/relationships/hyperlink" Target="http://www.munzee.com" TargetMode="External"/><Relationship Id="rId986" Type="http://schemas.openxmlformats.org/officeDocument/2006/relationships/hyperlink" Target="https://www.munzee.com/m/TheFatCats/3521/" TargetMode="External"/><Relationship Id="rId985" Type="http://schemas.openxmlformats.org/officeDocument/2006/relationships/hyperlink" Target="http://www.munzee.com" TargetMode="External"/><Relationship Id="rId984" Type="http://schemas.openxmlformats.org/officeDocument/2006/relationships/hyperlink" Target="https://www.munzee.com/m/KublaKhan/618/" TargetMode="External"/><Relationship Id="rId989" Type="http://schemas.openxmlformats.org/officeDocument/2006/relationships/hyperlink" Target="http://www.munzee.com" TargetMode="External"/><Relationship Id="rId988" Type="http://schemas.openxmlformats.org/officeDocument/2006/relationships/hyperlink" Target="https://www.munzee.com/m/IggiePiggie/1877/" TargetMode="External"/><Relationship Id="rId1570" Type="http://schemas.openxmlformats.org/officeDocument/2006/relationships/hyperlink" Target="https://www.munzee.com/m/Anetzet/3334/" TargetMode="External"/><Relationship Id="rId1571" Type="http://schemas.openxmlformats.org/officeDocument/2006/relationships/hyperlink" Target="http://www.munzee.com" TargetMode="External"/><Relationship Id="rId983" Type="http://schemas.openxmlformats.org/officeDocument/2006/relationships/hyperlink" Target="http://www.munzee.com" TargetMode="External"/><Relationship Id="rId1572" Type="http://schemas.openxmlformats.org/officeDocument/2006/relationships/hyperlink" Target="https://www.munzee.com/m/xrayneex/1673/" TargetMode="External"/><Relationship Id="rId982" Type="http://schemas.openxmlformats.org/officeDocument/2006/relationships/hyperlink" Target="https://www.munzee.com/m/upapou/1011/" TargetMode="External"/><Relationship Id="rId1573" Type="http://schemas.openxmlformats.org/officeDocument/2006/relationships/hyperlink" Target="http://www.munzee.com" TargetMode="External"/><Relationship Id="rId981" Type="http://schemas.openxmlformats.org/officeDocument/2006/relationships/hyperlink" Target="http://www.munzee.com" TargetMode="External"/><Relationship Id="rId1574" Type="http://schemas.openxmlformats.org/officeDocument/2006/relationships/hyperlink" Target="https://www.munzee.com/m/5Star/6065/" TargetMode="External"/><Relationship Id="rId980" Type="http://schemas.openxmlformats.org/officeDocument/2006/relationships/hyperlink" Target="https://www.munzee.com/m/GroteSufferd/377/admin/" TargetMode="External"/><Relationship Id="rId1575" Type="http://schemas.openxmlformats.org/officeDocument/2006/relationships/hyperlink" Target="http://www.munzee.com" TargetMode="External"/><Relationship Id="rId1565" Type="http://schemas.openxmlformats.org/officeDocument/2006/relationships/hyperlink" Target="http://www.munzee.com" TargetMode="External"/><Relationship Id="rId2896" Type="http://schemas.openxmlformats.org/officeDocument/2006/relationships/hyperlink" Target="http://www.munzee.com" TargetMode="External"/><Relationship Id="rId1566" Type="http://schemas.openxmlformats.org/officeDocument/2006/relationships/hyperlink" Target="https://www.munzee.com/m/J1Huisman/11801/" TargetMode="External"/><Relationship Id="rId2897" Type="http://schemas.openxmlformats.org/officeDocument/2006/relationships/hyperlink" Target="https://www.munzee.com/m/skyfox/14477/" TargetMode="External"/><Relationship Id="rId1567" Type="http://schemas.openxmlformats.org/officeDocument/2006/relationships/hyperlink" Target="http://www.munzee.com" TargetMode="External"/><Relationship Id="rId2898" Type="http://schemas.openxmlformats.org/officeDocument/2006/relationships/hyperlink" Target="http://www.munzee.com" TargetMode="External"/><Relationship Id="rId1568" Type="http://schemas.openxmlformats.org/officeDocument/2006/relationships/hyperlink" Target="https://www.munzee.com/m/amadoreugen/5799/" TargetMode="External"/><Relationship Id="rId2899" Type="http://schemas.openxmlformats.org/officeDocument/2006/relationships/hyperlink" Target="https://www.munzee.com/m/Anetzet/4508/" TargetMode="External"/><Relationship Id="rId1569" Type="http://schemas.openxmlformats.org/officeDocument/2006/relationships/hyperlink" Target="http://www.munzee.com" TargetMode="External"/><Relationship Id="rId976" Type="http://schemas.openxmlformats.org/officeDocument/2006/relationships/hyperlink" Target="https://www.munzee.com/m/belladivadee/3035" TargetMode="External"/><Relationship Id="rId975" Type="http://schemas.openxmlformats.org/officeDocument/2006/relationships/hyperlink" Target="http://www.munzee.com" TargetMode="External"/><Relationship Id="rId974" Type="http://schemas.openxmlformats.org/officeDocument/2006/relationships/hyperlink" Target="https://www.munzee.com/m/all0123/3944/" TargetMode="External"/><Relationship Id="rId973" Type="http://schemas.openxmlformats.org/officeDocument/2006/relationships/hyperlink" Target="http://www.munzee.com" TargetMode="External"/><Relationship Id="rId979" Type="http://schemas.openxmlformats.org/officeDocument/2006/relationships/hyperlink" Target="http://www.munzee.com" TargetMode="External"/><Relationship Id="rId978" Type="http://schemas.openxmlformats.org/officeDocument/2006/relationships/hyperlink" Target="https://www.munzee.com/m/Anetzet/2816/" TargetMode="External"/><Relationship Id="rId977" Type="http://schemas.openxmlformats.org/officeDocument/2006/relationships/hyperlink" Target="http://www.munzee.com" TargetMode="External"/><Relationship Id="rId2890" Type="http://schemas.openxmlformats.org/officeDocument/2006/relationships/hyperlink" Target="http://www.munzee.com" TargetMode="External"/><Relationship Id="rId1560" Type="http://schemas.openxmlformats.org/officeDocument/2006/relationships/hyperlink" Target="https://www.munzee.com/m/PawPatrolThomas/2678/" TargetMode="External"/><Relationship Id="rId2891" Type="http://schemas.openxmlformats.org/officeDocument/2006/relationships/hyperlink" Target="https://www.munzee.com/m/Bungle/11243" TargetMode="External"/><Relationship Id="rId972" Type="http://schemas.openxmlformats.org/officeDocument/2006/relationships/hyperlink" Target="https://www.munzee.com/m/Niks13/557/" TargetMode="External"/><Relationship Id="rId1561" Type="http://schemas.openxmlformats.org/officeDocument/2006/relationships/hyperlink" Target="http://www.munzee.com" TargetMode="External"/><Relationship Id="rId2892" Type="http://schemas.openxmlformats.org/officeDocument/2006/relationships/hyperlink" Target="http://www.munzee.com" TargetMode="External"/><Relationship Id="rId971" Type="http://schemas.openxmlformats.org/officeDocument/2006/relationships/hyperlink" Target="http://www.munzee.com" TargetMode="External"/><Relationship Id="rId1562" Type="http://schemas.openxmlformats.org/officeDocument/2006/relationships/hyperlink" Target="https://www.munzee.com/m/EmileP68/3358/" TargetMode="External"/><Relationship Id="rId2893" Type="http://schemas.openxmlformats.org/officeDocument/2006/relationships/hyperlink" Target="https://www.munzee.com/m/Trappertje/9352/" TargetMode="External"/><Relationship Id="rId970" Type="http://schemas.openxmlformats.org/officeDocument/2006/relationships/hyperlink" Target="https://www.munzee.com/m/Berg14/589/" TargetMode="External"/><Relationship Id="rId1563" Type="http://schemas.openxmlformats.org/officeDocument/2006/relationships/hyperlink" Target="http://www.munzee.com" TargetMode="External"/><Relationship Id="rId2894" Type="http://schemas.openxmlformats.org/officeDocument/2006/relationships/hyperlink" Target="http://www.munzee.com" TargetMode="External"/><Relationship Id="rId1564" Type="http://schemas.openxmlformats.org/officeDocument/2006/relationships/hyperlink" Target="https://www.munzee.com/m/amundadus/747/" TargetMode="External"/><Relationship Id="rId2895" Type="http://schemas.openxmlformats.org/officeDocument/2006/relationships/hyperlink" Target="https://www.munzee.com/m/OdinsFiRe/2078/" TargetMode="External"/><Relationship Id="rId1598" Type="http://schemas.openxmlformats.org/officeDocument/2006/relationships/hyperlink" Target="https://www.munzee.com/m/Fossillady/3491" TargetMode="External"/><Relationship Id="rId1599" Type="http://schemas.openxmlformats.org/officeDocument/2006/relationships/hyperlink" Target="http://www.munzee.com" TargetMode="External"/><Relationship Id="rId1590" Type="http://schemas.openxmlformats.org/officeDocument/2006/relationships/hyperlink" Target="https://www.munzee.com/m/amundadus/1508/" TargetMode="External"/><Relationship Id="rId1591" Type="http://schemas.openxmlformats.org/officeDocument/2006/relationships/hyperlink" Target="http://www.munzee.com" TargetMode="External"/><Relationship Id="rId1592" Type="http://schemas.openxmlformats.org/officeDocument/2006/relationships/hyperlink" Target="https://www.munzee.com/m/BrotherWilliam/4250/" TargetMode="External"/><Relationship Id="rId1593" Type="http://schemas.openxmlformats.org/officeDocument/2006/relationships/hyperlink" Target="http://www.munzee.com" TargetMode="External"/><Relationship Id="rId1594" Type="http://schemas.openxmlformats.org/officeDocument/2006/relationships/hyperlink" Target="https://www.munzee.com/m/ArtofEco/3063/" TargetMode="External"/><Relationship Id="rId1595" Type="http://schemas.openxmlformats.org/officeDocument/2006/relationships/hyperlink" Target="http://www.munzee.com" TargetMode="External"/><Relationship Id="rId1596" Type="http://schemas.openxmlformats.org/officeDocument/2006/relationships/hyperlink" Target="https://www.munzee.com/m/Krauseengineer/2483" TargetMode="External"/><Relationship Id="rId1597" Type="http://schemas.openxmlformats.org/officeDocument/2006/relationships/hyperlink" Target="http://www.munzee.com" TargetMode="External"/><Relationship Id="rId1587" Type="http://schemas.openxmlformats.org/officeDocument/2006/relationships/hyperlink" Target="http://www.munzee.com" TargetMode="External"/><Relationship Id="rId1588" Type="http://schemas.openxmlformats.org/officeDocument/2006/relationships/hyperlink" Target="https://www.munzee.com/m/fsafranek/4840/" TargetMode="External"/><Relationship Id="rId1589" Type="http://schemas.openxmlformats.org/officeDocument/2006/relationships/hyperlink" Target="http://www.munzee.com" TargetMode="External"/><Relationship Id="rId998" Type="http://schemas.openxmlformats.org/officeDocument/2006/relationships/hyperlink" Target="https://www.munzee.com/m/Beermaven/2916/" TargetMode="External"/><Relationship Id="rId997" Type="http://schemas.openxmlformats.org/officeDocument/2006/relationships/hyperlink" Target="http://www.munzee.com" TargetMode="External"/><Relationship Id="rId996" Type="http://schemas.openxmlformats.org/officeDocument/2006/relationships/hyperlink" Target="https://www.munzee.com/m/FromTheTardis/1410/" TargetMode="External"/><Relationship Id="rId995" Type="http://schemas.openxmlformats.org/officeDocument/2006/relationships/hyperlink" Target="http://www.munzee.com" TargetMode="External"/><Relationship Id="rId999" Type="http://schemas.openxmlformats.org/officeDocument/2006/relationships/hyperlink" Target="http://www.munzee.com" TargetMode="External"/><Relationship Id="rId990" Type="http://schemas.openxmlformats.org/officeDocument/2006/relationships/hyperlink" Target="https://www.munzee.com/m/cbf600/2406/admin/" TargetMode="External"/><Relationship Id="rId1580" Type="http://schemas.openxmlformats.org/officeDocument/2006/relationships/hyperlink" Target="https://www.munzee.com/m/Berg14/686/" TargetMode="External"/><Relationship Id="rId1581" Type="http://schemas.openxmlformats.org/officeDocument/2006/relationships/hyperlink" Target="http://www.munzee.com" TargetMode="External"/><Relationship Id="rId1582" Type="http://schemas.openxmlformats.org/officeDocument/2006/relationships/hyperlink" Target="https://www.munzee.com/m/Niks13/645/" TargetMode="External"/><Relationship Id="rId994" Type="http://schemas.openxmlformats.org/officeDocument/2006/relationships/hyperlink" Target="https://www.munzee.com/m/MurphyLM/86/" TargetMode="External"/><Relationship Id="rId1583" Type="http://schemas.openxmlformats.org/officeDocument/2006/relationships/hyperlink" Target="http://www.munzee.com" TargetMode="External"/><Relationship Id="rId993" Type="http://schemas.openxmlformats.org/officeDocument/2006/relationships/hyperlink" Target="http://www.munzee.com" TargetMode="External"/><Relationship Id="rId1584" Type="http://schemas.openxmlformats.org/officeDocument/2006/relationships/hyperlink" Target="https://www.munzee.com/m/GroteSufferd/462/" TargetMode="External"/><Relationship Id="rId992" Type="http://schemas.openxmlformats.org/officeDocument/2006/relationships/hyperlink" Target="https://www.munzee.com/m/TheFatCats/3499/" TargetMode="External"/><Relationship Id="rId1585" Type="http://schemas.openxmlformats.org/officeDocument/2006/relationships/hyperlink" Target="http://www.munzee.com" TargetMode="External"/><Relationship Id="rId991" Type="http://schemas.openxmlformats.org/officeDocument/2006/relationships/hyperlink" Target="http://www.munzee.com" TargetMode="External"/><Relationship Id="rId1586" Type="http://schemas.openxmlformats.org/officeDocument/2006/relationships/hyperlink" Target="https://www.munzee.com/m/MariaHTJ/9062/" TargetMode="External"/><Relationship Id="rId1532" Type="http://schemas.openxmlformats.org/officeDocument/2006/relationships/hyperlink" Target="https://www.munzee.com/m/TheFrog/4634/" TargetMode="External"/><Relationship Id="rId2863" Type="http://schemas.openxmlformats.org/officeDocument/2006/relationships/hyperlink" Target="https://www.munzee.com/m/EmileP68/4928/" TargetMode="External"/><Relationship Id="rId1533" Type="http://schemas.openxmlformats.org/officeDocument/2006/relationships/hyperlink" Target="http://www.munzee.com" TargetMode="External"/><Relationship Id="rId2864" Type="http://schemas.openxmlformats.org/officeDocument/2006/relationships/hyperlink" Target="http://www.munzee.com" TargetMode="External"/><Relationship Id="rId1534" Type="http://schemas.openxmlformats.org/officeDocument/2006/relationships/hyperlink" Target="https://www.munzee.com/m/123xilef/7858/" TargetMode="External"/><Relationship Id="rId2865" Type="http://schemas.openxmlformats.org/officeDocument/2006/relationships/hyperlink" Target="https://www.munzee.com/m/BrotherWilliam/5474/" TargetMode="External"/><Relationship Id="rId1535" Type="http://schemas.openxmlformats.org/officeDocument/2006/relationships/hyperlink" Target="http://www.munzee.com" TargetMode="External"/><Relationship Id="rId2866" Type="http://schemas.openxmlformats.org/officeDocument/2006/relationships/hyperlink" Target="http://www.munzee.com" TargetMode="External"/><Relationship Id="rId1536" Type="http://schemas.openxmlformats.org/officeDocument/2006/relationships/hyperlink" Target="https://www.munzee.com/m/TheFatCats/4272/" TargetMode="External"/><Relationship Id="rId2867" Type="http://schemas.openxmlformats.org/officeDocument/2006/relationships/hyperlink" Target="https://www.munzee.com/m/ArtofEco/3688/" TargetMode="External"/><Relationship Id="rId1537" Type="http://schemas.openxmlformats.org/officeDocument/2006/relationships/hyperlink" Target="http://www.munzee.com" TargetMode="External"/><Relationship Id="rId2868" Type="http://schemas.openxmlformats.org/officeDocument/2006/relationships/hyperlink" Target="http://www.munzee.com" TargetMode="External"/><Relationship Id="rId1538" Type="http://schemas.openxmlformats.org/officeDocument/2006/relationships/hyperlink" Target="https://www.munzee.com/m/FlatBlack/972/" TargetMode="External"/><Relationship Id="rId2869" Type="http://schemas.openxmlformats.org/officeDocument/2006/relationships/hyperlink" Target="https://www.munzee.com/m/J1Huisman/13016/" TargetMode="External"/><Relationship Id="rId1539" Type="http://schemas.openxmlformats.org/officeDocument/2006/relationships/hyperlink" Target="http://www.munzee.com" TargetMode="External"/><Relationship Id="rId949" Type="http://schemas.openxmlformats.org/officeDocument/2006/relationships/hyperlink" Target="http://www.munzee.com" TargetMode="External"/><Relationship Id="rId948" Type="http://schemas.openxmlformats.org/officeDocument/2006/relationships/hyperlink" Target="https://www.munzee.com/m/Pinkeltje/1205/" TargetMode="External"/><Relationship Id="rId943" Type="http://schemas.openxmlformats.org/officeDocument/2006/relationships/hyperlink" Target="http://www.munzee.com" TargetMode="External"/><Relationship Id="rId942" Type="http://schemas.openxmlformats.org/officeDocument/2006/relationships/hyperlink" Target="https://www.munzee.com/m/TheFatCats/3747/" TargetMode="External"/><Relationship Id="rId941" Type="http://schemas.openxmlformats.org/officeDocument/2006/relationships/hyperlink" Target="http://www.munzee.com" TargetMode="External"/><Relationship Id="rId940" Type="http://schemas.openxmlformats.org/officeDocument/2006/relationships/hyperlink" Target="https://www.munzee.com/m/PawPatrolThomas/2281/" TargetMode="External"/><Relationship Id="rId947" Type="http://schemas.openxmlformats.org/officeDocument/2006/relationships/hyperlink" Target="http://www.munzee.com" TargetMode="External"/><Relationship Id="rId946" Type="http://schemas.openxmlformats.org/officeDocument/2006/relationships/hyperlink" Target="https://www.munzee.com/m/J1Huisman/11293/" TargetMode="External"/><Relationship Id="rId945" Type="http://schemas.openxmlformats.org/officeDocument/2006/relationships/hyperlink" Target="http://www.munzee.com" TargetMode="External"/><Relationship Id="rId944" Type="http://schemas.openxmlformats.org/officeDocument/2006/relationships/hyperlink" Target="https://www.munzee.com/m/lison55/5345/" TargetMode="External"/><Relationship Id="rId2860" Type="http://schemas.openxmlformats.org/officeDocument/2006/relationships/hyperlink" Target="http://www.munzee.com" TargetMode="External"/><Relationship Id="rId1530" Type="http://schemas.openxmlformats.org/officeDocument/2006/relationships/hyperlink" Target="https://www.munzee.com/m/TheFatCats/4266/" TargetMode="External"/><Relationship Id="rId2861" Type="http://schemas.openxmlformats.org/officeDocument/2006/relationships/hyperlink" Target="https://www.munzee.com/m/PawPatrolThomas/4105/" TargetMode="External"/><Relationship Id="rId1531" Type="http://schemas.openxmlformats.org/officeDocument/2006/relationships/hyperlink" Target="http://www.munzee.com" TargetMode="External"/><Relationship Id="rId2862" Type="http://schemas.openxmlformats.org/officeDocument/2006/relationships/hyperlink" Target="http://www.munzee.com" TargetMode="External"/><Relationship Id="rId1521" Type="http://schemas.openxmlformats.org/officeDocument/2006/relationships/hyperlink" Target="http://www.munzee.com" TargetMode="External"/><Relationship Id="rId2852" Type="http://schemas.openxmlformats.org/officeDocument/2006/relationships/hyperlink" Target="http://www.munzee.com" TargetMode="External"/><Relationship Id="rId1522" Type="http://schemas.openxmlformats.org/officeDocument/2006/relationships/hyperlink" Target="https://www.munzee.com/m/WiseOldWizard/4337/" TargetMode="External"/><Relationship Id="rId2853" Type="http://schemas.openxmlformats.org/officeDocument/2006/relationships/hyperlink" Target="https://www.munzee.com/m/WetCoaster/4088/" TargetMode="External"/><Relationship Id="rId1523" Type="http://schemas.openxmlformats.org/officeDocument/2006/relationships/hyperlink" Target="http://www.munzee.com" TargetMode="External"/><Relationship Id="rId2854" Type="http://schemas.openxmlformats.org/officeDocument/2006/relationships/hyperlink" Target="http://www.munzee.com" TargetMode="External"/><Relationship Id="rId1524" Type="http://schemas.openxmlformats.org/officeDocument/2006/relationships/hyperlink" Target="https://www.munzee.com/m/Wangotango/1554/" TargetMode="External"/><Relationship Id="rId2855" Type="http://schemas.openxmlformats.org/officeDocument/2006/relationships/hyperlink" Target="https://www.munzee.com/m/Bouffe/361/" TargetMode="External"/><Relationship Id="rId1525" Type="http://schemas.openxmlformats.org/officeDocument/2006/relationships/hyperlink" Target="http://www.munzee.com" TargetMode="External"/><Relationship Id="rId2856" Type="http://schemas.openxmlformats.org/officeDocument/2006/relationships/hyperlink" Target="http://www.munzee.com" TargetMode="External"/><Relationship Id="rId1526" Type="http://schemas.openxmlformats.org/officeDocument/2006/relationships/hyperlink" Target="https://www.munzee.com/m/fsafranek/4756/" TargetMode="External"/><Relationship Id="rId2857" Type="http://schemas.openxmlformats.org/officeDocument/2006/relationships/hyperlink" Target="https://www.munzee.com/m/raunas/12264" TargetMode="External"/><Relationship Id="rId1527" Type="http://schemas.openxmlformats.org/officeDocument/2006/relationships/hyperlink" Target="http://www.munzee.com" TargetMode="External"/><Relationship Id="rId2858" Type="http://schemas.openxmlformats.org/officeDocument/2006/relationships/hyperlink" Target="http://www.munzee.com" TargetMode="External"/><Relationship Id="rId1528" Type="http://schemas.openxmlformats.org/officeDocument/2006/relationships/hyperlink" Target="https://www.munzee.com/m/cbf600/2747/admin/" TargetMode="External"/><Relationship Id="rId2859" Type="http://schemas.openxmlformats.org/officeDocument/2006/relationships/hyperlink" Target="https://www.munzee.com/m/sverlaan/6171/" TargetMode="External"/><Relationship Id="rId1529" Type="http://schemas.openxmlformats.org/officeDocument/2006/relationships/hyperlink" Target="http://www.munzee.com" TargetMode="External"/><Relationship Id="rId939" Type="http://schemas.openxmlformats.org/officeDocument/2006/relationships/hyperlink" Target="http://www.munzee.com" TargetMode="External"/><Relationship Id="rId938" Type="http://schemas.openxmlformats.org/officeDocument/2006/relationships/hyperlink" Target="https://www.munzee.com/m/sverlaan/4214/" TargetMode="External"/><Relationship Id="rId937" Type="http://schemas.openxmlformats.org/officeDocument/2006/relationships/hyperlink" Target="http://www.munzee.com" TargetMode="External"/><Relationship Id="rId932" Type="http://schemas.openxmlformats.org/officeDocument/2006/relationships/hyperlink" Target="https://www.munzee.com/m/Sinister/2249/admin/" TargetMode="External"/><Relationship Id="rId931" Type="http://schemas.openxmlformats.org/officeDocument/2006/relationships/hyperlink" Target="http://www.munzee.com" TargetMode="External"/><Relationship Id="rId930" Type="http://schemas.openxmlformats.org/officeDocument/2006/relationships/hyperlink" Target="https://www.munzee.com/m/wangotango/1256" TargetMode="External"/><Relationship Id="rId936" Type="http://schemas.openxmlformats.org/officeDocument/2006/relationships/hyperlink" Target="https://www.munzee.com/m/OdinsFiRe/1563/" TargetMode="External"/><Relationship Id="rId935" Type="http://schemas.openxmlformats.org/officeDocument/2006/relationships/hyperlink" Target="http://www.munzee.com" TargetMode="External"/><Relationship Id="rId934" Type="http://schemas.openxmlformats.org/officeDocument/2006/relationships/hyperlink" Target="https://www.munzee.com/m/MadDogLady/2225/admin/" TargetMode="External"/><Relationship Id="rId933" Type="http://schemas.openxmlformats.org/officeDocument/2006/relationships/hyperlink" Target="http://www.munzee.com" TargetMode="External"/><Relationship Id="rId2850" Type="http://schemas.openxmlformats.org/officeDocument/2006/relationships/hyperlink" Target="http://www.munzee.com" TargetMode="External"/><Relationship Id="rId1520" Type="http://schemas.openxmlformats.org/officeDocument/2006/relationships/hyperlink" Target="https://www.munzee.com/m/Bisquick2/4565/" TargetMode="External"/><Relationship Id="rId2851" Type="http://schemas.openxmlformats.org/officeDocument/2006/relationships/hyperlink" Target="https://www.munzee.com/m/barefootguru/3348/" TargetMode="External"/><Relationship Id="rId1554" Type="http://schemas.openxmlformats.org/officeDocument/2006/relationships/hyperlink" Target="https://www.munzee.com/m/xrayneex/1632/" TargetMode="External"/><Relationship Id="rId2885" Type="http://schemas.openxmlformats.org/officeDocument/2006/relationships/hyperlink" Target="https://www.munzee.com/m/Niks13/1475/" TargetMode="External"/><Relationship Id="rId1555" Type="http://schemas.openxmlformats.org/officeDocument/2006/relationships/hyperlink" Target="http://www.munzee.com" TargetMode="External"/><Relationship Id="rId2886" Type="http://schemas.openxmlformats.org/officeDocument/2006/relationships/hyperlink" Target="http://www.munzee.com" TargetMode="External"/><Relationship Id="rId1556" Type="http://schemas.openxmlformats.org/officeDocument/2006/relationships/hyperlink" Target="https://www.munzee.com/m/TheFatCats/4276/" TargetMode="External"/><Relationship Id="rId2887" Type="http://schemas.openxmlformats.org/officeDocument/2006/relationships/hyperlink" Target="https://www.munzee.com/m/lupo6/2716" TargetMode="External"/><Relationship Id="rId1557" Type="http://schemas.openxmlformats.org/officeDocument/2006/relationships/hyperlink" Target="http://www.munzee.com" TargetMode="External"/><Relationship Id="rId2888" Type="http://schemas.openxmlformats.org/officeDocument/2006/relationships/hyperlink" Target="http://www.munzee.com" TargetMode="External"/><Relationship Id="rId1558" Type="http://schemas.openxmlformats.org/officeDocument/2006/relationships/hyperlink" Target="https://www.munzee.com/m/sverlaan/4631/" TargetMode="External"/><Relationship Id="rId2889" Type="http://schemas.openxmlformats.org/officeDocument/2006/relationships/hyperlink" Target="https://www.munzee.com/m/crscousins/7544/" TargetMode="External"/><Relationship Id="rId1559" Type="http://schemas.openxmlformats.org/officeDocument/2006/relationships/hyperlink" Target="http://www.munzee.com" TargetMode="External"/><Relationship Id="rId965" Type="http://schemas.openxmlformats.org/officeDocument/2006/relationships/hyperlink" Target="http://www.munzee.com" TargetMode="External"/><Relationship Id="rId964" Type="http://schemas.openxmlformats.org/officeDocument/2006/relationships/hyperlink" Target="https://www.munzee.com/m/ArtofEco/2969/admin/" TargetMode="External"/><Relationship Id="rId963" Type="http://schemas.openxmlformats.org/officeDocument/2006/relationships/hyperlink" Target="http://www.munzee.com" TargetMode="External"/><Relationship Id="rId962" Type="http://schemas.openxmlformats.org/officeDocument/2006/relationships/hyperlink" Target="https://www.munzee.com/m/BrotherWilliam/3946/admin/" TargetMode="External"/><Relationship Id="rId969" Type="http://schemas.openxmlformats.org/officeDocument/2006/relationships/hyperlink" Target="http://www.munzee.com" TargetMode="External"/><Relationship Id="rId968" Type="http://schemas.openxmlformats.org/officeDocument/2006/relationships/hyperlink" Target="https://www.munzee.com/m/Tinake1309/751/" TargetMode="External"/><Relationship Id="rId967" Type="http://schemas.openxmlformats.org/officeDocument/2006/relationships/hyperlink" Target="http://www.munzee.com" TargetMode="External"/><Relationship Id="rId966" Type="http://schemas.openxmlformats.org/officeDocument/2006/relationships/hyperlink" Target="https://www.munzee.com/m/Drazoria/754/" TargetMode="External"/><Relationship Id="rId2880" Type="http://schemas.openxmlformats.org/officeDocument/2006/relationships/hyperlink" Target="http://www.munzee.com" TargetMode="External"/><Relationship Id="rId961" Type="http://schemas.openxmlformats.org/officeDocument/2006/relationships/hyperlink" Target="http://www.munzee.com" TargetMode="External"/><Relationship Id="rId1550" Type="http://schemas.openxmlformats.org/officeDocument/2006/relationships/hyperlink" Target="https://www.munzee.com/m/PcLocator/4188/" TargetMode="External"/><Relationship Id="rId2881" Type="http://schemas.openxmlformats.org/officeDocument/2006/relationships/hyperlink" Target="https://www.munzee.com/m/Tinake1309/1591" TargetMode="External"/><Relationship Id="rId960" Type="http://schemas.openxmlformats.org/officeDocument/2006/relationships/hyperlink" Target="https://www.munzee.com/m/5Star/5758/" TargetMode="External"/><Relationship Id="rId1551" Type="http://schemas.openxmlformats.org/officeDocument/2006/relationships/hyperlink" Target="http://www.munzee.com" TargetMode="External"/><Relationship Id="rId2882" Type="http://schemas.openxmlformats.org/officeDocument/2006/relationships/hyperlink" Target="http://www.munzee.com" TargetMode="External"/><Relationship Id="rId1552" Type="http://schemas.openxmlformats.org/officeDocument/2006/relationships/hyperlink" Target="https://www.munzee.com/m/ddtsnorton/11375" TargetMode="External"/><Relationship Id="rId2883" Type="http://schemas.openxmlformats.org/officeDocument/2006/relationships/hyperlink" Target="https://www.munzee.com/m/Berg14/1505/" TargetMode="External"/><Relationship Id="rId1553" Type="http://schemas.openxmlformats.org/officeDocument/2006/relationships/hyperlink" Target="http://www.munzee.com" TargetMode="External"/><Relationship Id="rId2884" Type="http://schemas.openxmlformats.org/officeDocument/2006/relationships/hyperlink" Target="http://www.munzee.com" TargetMode="External"/><Relationship Id="rId1543" Type="http://schemas.openxmlformats.org/officeDocument/2006/relationships/hyperlink" Target="http://www.munzee.com" TargetMode="External"/><Relationship Id="rId2874" Type="http://schemas.openxmlformats.org/officeDocument/2006/relationships/hyperlink" Target="http://www.munzee.com" TargetMode="External"/><Relationship Id="rId1544" Type="http://schemas.openxmlformats.org/officeDocument/2006/relationships/hyperlink" Target="https://www.munzee.com/m/Ellesche/784" TargetMode="External"/><Relationship Id="rId2875" Type="http://schemas.openxmlformats.org/officeDocument/2006/relationships/hyperlink" Target="https://www.munzee.com/m/xrayneex/2447/" TargetMode="External"/><Relationship Id="rId1545" Type="http://schemas.openxmlformats.org/officeDocument/2006/relationships/hyperlink" Target="http://www.munzee.com" TargetMode="External"/><Relationship Id="rId2876" Type="http://schemas.openxmlformats.org/officeDocument/2006/relationships/hyperlink" Target="http://www.munzee.com" TargetMode="External"/><Relationship Id="rId1546" Type="http://schemas.openxmlformats.org/officeDocument/2006/relationships/hyperlink" Target="https://www.munzee.com/m/amadoreugen/6914" TargetMode="External"/><Relationship Id="rId2877" Type="http://schemas.openxmlformats.org/officeDocument/2006/relationships/hyperlink" Target="https://www.munzee.com/m/res2100/744/" TargetMode="External"/><Relationship Id="rId1547" Type="http://schemas.openxmlformats.org/officeDocument/2006/relationships/hyperlink" Target="http://www.munzee.com" TargetMode="External"/><Relationship Id="rId2878" Type="http://schemas.openxmlformats.org/officeDocument/2006/relationships/hyperlink" Target="http://www.munzee.com" TargetMode="External"/><Relationship Id="rId1548" Type="http://schemas.openxmlformats.org/officeDocument/2006/relationships/hyperlink" Target="https://www.munzee.com/m/raunas/7126" TargetMode="External"/><Relationship Id="rId2879" Type="http://schemas.openxmlformats.org/officeDocument/2006/relationships/hyperlink" Target="https://www.munzee.com/m/Drazoria/1591/" TargetMode="External"/><Relationship Id="rId1549" Type="http://schemas.openxmlformats.org/officeDocument/2006/relationships/hyperlink" Target="http://www.munzee.com" TargetMode="External"/><Relationship Id="rId959" Type="http://schemas.openxmlformats.org/officeDocument/2006/relationships/hyperlink" Target="http://www.munzee.com" TargetMode="External"/><Relationship Id="rId954" Type="http://schemas.openxmlformats.org/officeDocument/2006/relationships/hyperlink" Target="https://www.munzee.com/m/Lanyasummer/4399/" TargetMode="External"/><Relationship Id="rId953" Type="http://schemas.openxmlformats.org/officeDocument/2006/relationships/hyperlink" Target="http://www.munzee.com" TargetMode="External"/><Relationship Id="rId952" Type="http://schemas.openxmlformats.org/officeDocument/2006/relationships/hyperlink" Target="https://www.munzee.com/m/fsafranek/4430/" TargetMode="External"/><Relationship Id="rId951" Type="http://schemas.openxmlformats.org/officeDocument/2006/relationships/hyperlink" Target="http://www.munzee.com" TargetMode="External"/><Relationship Id="rId958" Type="http://schemas.openxmlformats.org/officeDocument/2006/relationships/hyperlink" Target="https://www.munzee.com/m/fsafranek/4427/" TargetMode="External"/><Relationship Id="rId957" Type="http://schemas.openxmlformats.org/officeDocument/2006/relationships/hyperlink" Target="http://www.munzee.com" TargetMode="External"/><Relationship Id="rId956" Type="http://schemas.openxmlformats.org/officeDocument/2006/relationships/hyperlink" Target="https://www.munzee.com/m/babyw/3118/" TargetMode="External"/><Relationship Id="rId955" Type="http://schemas.openxmlformats.org/officeDocument/2006/relationships/hyperlink" Target="http://www.munzee.com" TargetMode="External"/><Relationship Id="rId950" Type="http://schemas.openxmlformats.org/officeDocument/2006/relationships/hyperlink" Target="https://www.munzee.com/m/xrayneex/1413/" TargetMode="External"/><Relationship Id="rId2870" Type="http://schemas.openxmlformats.org/officeDocument/2006/relationships/hyperlink" Target="http://www.munzee.com" TargetMode="External"/><Relationship Id="rId1540" Type="http://schemas.openxmlformats.org/officeDocument/2006/relationships/hyperlink" Target="https://www.munzee.com/m/wally62/4878/" TargetMode="External"/><Relationship Id="rId2871" Type="http://schemas.openxmlformats.org/officeDocument/2006/relationships/hyperlink" Target="https://www.munzee.com/m/fsafranek/5488/" TargetMode="External"/><Relationship Id="rId1541" Type="http://schemas.openxmlformats.org/officeDocument/2006/relationships/hyperlink" Target="http://www.munzee.com" TargetMode="External"/><Relationship Id="rId2872" Type="http://schemas.openxmlformats.org/officeDocument/2006/relationships/hyperlink" Target="http://www.munzee.com" TargetMode="External"/><Relationship Id="rId1542" Type="http://schemas.openxmlformats.org/officeDocument/2006/relationships/hyperlink" Target="https://www.munzee.com/m/res2100/807" TargetMode="External"/><Relationship Id="rId2873" Type="http://schemas.openxmlformats.org/officeDocument/2006/relationships/hyperlink" Target="https://www.munzee.com/m/rita85gto/3870/" TargetMode="External"/><Relationship Id="rId2027" Type="http://schemas.openxmlformats.org/officeDocument/2006/relationships/hyperlink" Target="http://www.munzee.com" TargetMode="External"/><Relationship Id="rId2028" Type="http://schemas.openxmlformats.org/officeDocument/2006/relationships/hyperlink" Target="https://www.munzee.com/m/Niks13/1499/" TargetMode="External"/><Relationship Id="rId2029" Type="http://schemas.openxmlformats.org/officeDocument/2006/relationships/hyperlink" Target="http://www.munzee.com" TargetMode="External"/><Relationship Id="rId107" Type="http://schemas.openxmlformats.org/officeDocument/2006/relationships/hyperlink" Target="https://www.munzee.com/m/DHitz/3720/" TargetMode="Externa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Andrew81/1325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hyperlink" Target="https://www.munzee.com/m/lison55/5132/" TargetMode="External"/><Relationship Id="rId108" Type="http://schemas.openxmlformats.org/officeDocument/2006/relationships/hyperlink" Target="http://www.munzee.com" TargetMode="External"/><Relationship Id="rId2020" Type="http://schemas.openxmlformats.org/officeDocument/2006/relationships/hyperlink" Target="https://www.munzee.com/m/xrayneex/2623/" TargetMode="External"/><Relationship Id="rId2021" Type="http://schemas.openxmlformats.org/officeDocument/2006/relationships/hyperlink" Target="http://www.munzee.com" TargetMode="External"/><Relationship Id="rId2022" Type="http://schemas.openxmlformats.org/officeDocument/2006/relationships/hyperlink" Target="https://www.munzee.com/m/Drazoria/1600/" TargetMode="External"/><Relationship Id="rId103" Type="http://schemas.openxmlformats.org/officeDocument/2006/relationships/hyperlink" Target="https://www.munzee.com/m/JackSparrow/19420" TargetMode="External"/><Relationship Id="rId2023" Type="http://schemas.openxmlformats.org/officeDocument/2006/relationships/hyperlink" Target="http://www.munzee.com" TargetMode="External"/><Relationship Id="rId102" Type="http://schemas.openxmlformats.org/officeDocument/2006/relationships/hyperlink" Target="http://www.munzee.com" TargetMode="External"/><Relationship Id="rId2024" Type="http://schemas.openxmlformats.org/officeDocument/2006/relationships/hyperlink" Target="https://www.munzee.com/m/Tinake1309/1597/" TargetMode="External"/><Relationship Id="rId101" Type="http://schemas.openxmlformats.org/officeDocument/2006/relationships/hyperlink" Target="https://www.munzee.com/m/LonelyWalker/403/" TargetMode="External"/><Relationship Id="rId2025" Type="http://schemas.openxmlformats.org/officeDocument/2006/relationships/hyperlink" Target="http://www.munzee.com" TargetMode="External"/><Relationship Id="rId100" Type="http://schemas.openxmlformats.org/officeDocument/2006/relationships/hyperlink" Target="http://www.munzee.com" TargetMode="External"/><Relationship Id="rId2026" Type="http://schemas.openxmlformats.org/officeDocument/2006/relationships/hyperlink" Target="https://www.munzee.com/m/Berg14/1519/" TargetMode="External"/><Relationship Id="rId2016" Type="http://schemas.openxmlformats.org/officeDocument/2006/relationships/hyperlink" Target="https://www.munzee.com/m/Ellesche/807" TargetMode="External"/><Relationship Id="rId2017" Type="http://schemas.openxmlformats.org/officeDocument/2006/relationships/hyperlink" Target="http://www.munzee.com" TargetMode="External"/><Relationship Id="rId2018" Type="http://schemas.openxmlformats.org/officeDocument/2006/relationships/hyperlink" Target="https://www.munzee.com/m/res2100/753" TargetMode="External"/><Relationship Id="rId2019" Type="http://schemas.openxmlformats.org/officeDocument/2006/relationships/hyperlink" Target="http://www.munzee.com" TargetMode="External"/><Relationship Id="rId2010" Type="http://schemas.openxmlformats.org/officeDocument/2006/relationships/hyperlink" Target="https://www.munzee.com/m/ArtofEco/3651/" TargetMode="External"/><Relationship Id="rId2011" Type="http://schemas.openxmlformats.org/officeDocument/2006/relationships/hyperlink" Target="http://www.munzee.com" TargetMode="External"/><Relationship Id="rId2012" Type="http://schemas.openxmlformats.org/officeDocument/2006/relationships/hyperlink" Target="https://www.munzee.com/m/J1Huisman/13017/" TargetMode="External"/><Relationship Id="rId2013" Type="http://schemas.openxmlformats.org/officeDocument/2006/relationships/hyperlink" Target="http://www.munzee.com" TargetMode="External"/><Relationship Id="rId2014" Type="http://schemas.openxmlformats.org/officeDocument/2006/relationships/hyperlink" Target="https://www.munzee.com/m/fsafranek/5486/" TargetMode="External"/><Relationship Id="rId2015" Type="http://schemas.openxmlformats.org/officeDocument/2006/relationships/hyperlink" Target="http://www.munzee.com" TargetMode="External"/><Relationship Id="rId2049" Type="http://schemas.openxmlformats.org/officeDocument/2006/relationships/hyperlink" Target="http://www.munzee.com" TargetMode="External"/><Relationship Id="rId129" Type="http://schemas.openxmlformats.org/officeDocument/2006/relationships/hyperlink" Target="https://www.munzee.com/m/PawPatrolThomas/2213/" TargetMode="External"/><Relationship Id="rId128" Type="http://schemas.openxmlformats.org/officeDocument/2006/relationships/hyperlink" Target="http://www.munzee.com" TargetMode="External"/><Relationship Id="rId127" Type="http://schemas.openxmlformats.org/officeDocument/2006/relationships/hyperlink" Target="https://www.munzee.com/m/EmileP68/2917/" TargetMode="External"/><Relationship Id="rId126" Type="http://schemas.openxmlformats.org/officeDocument/2006/relationships/hyperlink" Target="http://www.munzee.com" TargetMode="External"/><Relationship Id="rId2040" Type="http://schemas.openxmlformats.org/officeDocument/2006/relationships/hyperlink" Target="https://www.munzee.com/m/crscousins/4098/" TargetMode="External"/><Relationship Id="rId121" Type="http://schemas.openxmlformats.org/officeDocument/2006/relationships/hyperlink" Target="https://www.munzee.com/m/Pinkeltje/1112/" TargetMode="External"/><Relationship Id="rId2041" Type="http://schemas.openxmlformats.org/officeDocument/2006/relationships/hyperlink" Target="http://www.munzee.com" TargetMode="External"/><Relationship Id="rId120" Type="http://schemas.openxmlformats.org/officeDocument/2006/relationships/hyperlink" Target="http://www.munzee.com" TargetMode="External"/><Relationship Id="rId2042" Type="http://schemas.openxmlformats.org/officeDocument/2006/relationships/hyperlink" Target="https://www.munzee.com/m/Anetzet/4623/" TargetMode="External"/><Relationship Id="rId2043" Type="http://schemas.openxmlformats.org/officeDocument/2006/relationships/hyperlink" Target="http://www.munzee.com" TargetMode="External"/><Relationship Id="rId2044" Type="http://schemas.openxmlformats.org/officeDocument/2006/relationships/hyperlink" Target="https://www.munzee.com/m/Bungle/10659" TargetMode="External"/><Relationship Id="rId125" Type="http://schemas.openxmlformats.org/officeDocument/2006/relationships/hyperlink" Target="https://www.munzee.com/m/sverlaan/4134/" TargetMode="External"/><Relationship Id="rId2045" Type="http://schemas.openxmlformats.org/officeDocument/2006/relationships/hyperlink" Target="http://www.munzee.com" TargetMode="External"/><Relationship Id="rId124" Type="http://schemas.openxmlformats.org/officeDocument/2006/relationships/hyperlink" Target="http://www.munzee.com" TargetMode="External"/><Relationship Id="rId2046" Type="http://schemas.openxmlformats.org/officeDocument/2006/relationships/hyperlink" Target="https://www.munzee.com/m/rita85gto/5119/" TargetMode="External"/><Relationship Id="rId123" Type="http://schemas.openxmlformats.org/officeDocument/2006/relationships/hyperlink" Target="https://www.munzee.com/m/5Star/5637/" TargetMode="External"/><Relationship Id="rId2047" Type="http://schemas.openxmlformats.org/officeDocument/2006/relationships/hyperlink" Target="http://www.munzee.com" TargetMode="External"/><Relationship Id="rId122" Type="http://schemas.openxmlformats.org/officeDocument/2006/relationships/hyperlink" Target="http://www.munzee.com" TargetMode="External"/><Relationship Id="rId2048" Type="http://schemas.openxmlformats.org/officeDocument/2006/relationships/hyperlink" Target="https://www.munzee.com/m/cbf600/3783/" TargetMode="External"/><Relationship Id="rId2038" Type="http://schemas.openxmlformats.org/officeDocument/2006/relationships/hyperlink" Target="https://www.munzee.com/m/lison55/12386/" TargetMode="External"/><Relationship Id="rId2039" Type="http://schemas.openxmlformats.org/officeDocument/2006/relationships/hyperlink" Target="http://www.munzee.com" TargetMode="External"/><Relationship Id="rId118" Type="http://schemas.openxmlformats.org/officeDocument/2006/relationships/hyperlink" Target="http://www.munzee.com" TargetMode="External"/><Relationship Id="rId117" Type="http://schemas.openxmlformats.org/officeDocument/2006/relationships/hyperlink" Target="https://www.munzee.com/m/J1Huisman/11170/" TargetMode="External"/><Relationship Id="rId116" Type="http://schemas.openxmlformats.org/officeDocument/2006/relationships/hyperlink" Target="http://www.munzee.com" TargetMode="External"/><Relationship Id="rId115" Type="http://schemas.openxmlformats.org/officeDocument/2006/relationships/hyperlink" Target="https://www.munzee.com/m/Lanyasummer/4106/" TargetMode="External"/><Relationship Id="rId119" Type="http://schemas.openxmlformats.org/officeDocument/2006/relationships/hyperlink" Target="https://www.munzee.com/m/Bambinacattiva/699/" TargetMode="External"/><Relationship Id="rId110" Type="http://schemas.openxmlformats.org/officeDocument/2006/relationships/hyperlink" Target="http://www.munzee.com" TargetMode="External"/><Relationship Id="rId2030" Type="http://schemas.openxmlformats.org/officeDocument/2006/relationships/hyperlink" Target="https://www.munzee.com/m/nyboss/13220/" TargetMode="External"/><Relationship Id="rId2031" Type="http://schemas.openxmlformats.org/officeDocument/2006/relationships/hyperlink" Target="http://www.munzee.com" TargetMode="External"/><Relationship Id="rId2032" Type="http://schemas.openxmlformats.org/officeDocument/2006/relationships/hyperlink" Target="https://www.munzee.com/m/raunas/12564" TargetMode="External"/><Relationship Id="rId2033" Type="http://schemas.openxmlformats.org/officeDocument/2006/relationships/hyperlink" Target="http://www.munzee.com" TargetMode="External"/><Relationship Id="rId114" Type="http://schemas.openxmlformats.org/officeDocument/2006/relationships/hyperlink" Target="http://www.munzee.com" TargetMode="External"/><Relationship Id="rId2034" Type="http://schemas.openxmlformats.org/officeDocument/2006/relationships/hyperlink" Target="https://www.munzee.com/m/lupo6/6620" TargetMode="External"/><Relationship Id="rId113" Type="http://schemas.openxmlformats.org/officeDocument/2006/relationships/hyperlink" Target="https://www.munzee.com/m/FromTheTardis/1300/" TargetMode="External"/><Relationship Id="rId2035" Type="http://schemas.openxmlformats.org/officeDocument/2006/relationships/hyperlink" Target="http://www.munzee.com" TargetMode="External"/><Relationship Id="rId112" Type="http://schemas.openxmlformats.org/officeDocument/2006/relationships/hyperlink" Target="http://www.munzee.com" TargetMode="External"/><Relationship Id="rId2036" Type="http://schemas.openxmlformats.org/officeDocument/2006/relationships/hyperlink" Target="https://www.munzee.com/m/OdinsFiRe/2066/" TargetMode="External"/><Relationship Id="rId111" Type="http://schemas.openxmlformats.org/officeDocument/2006/relationships/hyperlink" Target="https://www.munzee.com/m/fsafranek/3676/" TargetMode="External"/><Relationship Id="rId2037" Type="http://schemas.openxmlformats.org/officeDocument/2006/relationships/hyperlink" Target="http://www.munzee.com" TargetMode="External"/><Relationship Id="rId3304" Type="http://schemas.openxmlformats.org/officeDocument/2006/relationships/hyperlink" Target="http://www.munzee.com" TargetMode="External"/><Relationship Id="rId3303" Type="http://schemas.openxmlformats.org/officeDocument/2006/relationships/hyperlink" Target="https://www.munzee.com/m/NikitaStolk/1053/" TargetMode="External"/><Relationship Id="rId3306" Type="http://schemas.openxmlformats.org/officeDocument/2006/relationships/hyperlink" Target="http://www.munzee.com" TargetMode="External"/><Relationship Id="rId3305" Type="http://schemas.openxmlformats.org/officeDocument/2006/relationships/hyperlink" Target="https://www.munzee.com/m/blutengel/3010/" TargetMode="External"/><Relationship Id="rId3307" Type="http://schemas.openxmlformats.org/officeDocument/2006/relationships/drawing" Target="../drawings/drawing17.xml"/><Relationship Id="rId3300" Type="http://schemas.openxmlformats.org/officeDocument/2006/relationships/hyperlink" Target="http://www.munzee.com" TargetMode="External"/><Relationship Id="rId3302" Type="http://schemas.openxmlformats.org/officeDocument/2006/relationships/hyperlink" Target="http://www.munzee.com" TargetMode="External"/><Relationship Id="rId3301" Type="http://schemas.openxmlformats.org/officeDocument/2006/relationships/hyperlink" Target="https://www.munzee.com/m/MrsSourflush/1463/" TargetMode="External"/><Relationship Id="rId2005" Type="http://schemas.openxmlformats.org/officeDocument/2006/relationships/hyperlink" Target="http://www.munzee.com" TargetMode="External"/><Relationship Id="rId2006" Type="http://schemas.openxmlformats.org/officeDocument/2006/relationships/hyperlink" Target="https://www.munzee.com/m/EmileP68/5116/" TargetMode="External"/><Relationship Id="rId2007" Type="http://schemas.openxmlformats.org/officeDocument/2006/relationships/hyperlink" Target="http://www.munzee.com" TargetMode="External"/><Relationship Id="rId2008" Type="http://schemas.openxmlformats.org/officeDocument/2006/relationships/hyperlink" Target="https://www.munzee.com/m/BrotherWilliam/5350/" TargetMode="External"/><Relationship Id="rId2009" Type="http://schemas.openxmlformats.org/officeDocument/2006/relationships/hyperlink" Target="http://www.munzee.com" TargetMode="External"/><Relationship Id="rId2000" Type="http://schemas.openxmlformats.org/officeDocument/2006/relationships/hyperlink" Target="https://www.munzee.com/m/belladivadee/3201" TargetMode="External"/><Relationship Id="rId2001" Type="http://schemas.openxmlformats.org/officeDocument/2006/relationships/hyperlink" Target="http://www.munzee.com" TargetMode="External"/><Relationship Id="rId2002" Type="http://schemas.openxmlformats.org/officeDocument/2006/relationships/hyperlink" Target="https://www.munzee.com/m/sverlaan/6257/" TargetMode="External"/><Relationship Id="rId2003" Type="http://schemas.openxmlformats.org/officeDocument/2006/relationships/hyperlink" Target="http://www.munzee.com" TargetMode="External"/><Relationship Id="rId2004" Type="http://schemas.openxmlformats.org/officeDocument/2006/relationships/hyperlink" Target="https://www.munzee.com/m/PawPatrolThomas/4200/" TargetMode="External"/><Relationship Id="rId2090" Type="http://schemas.openxmlformats.org/officeDocument/2006/relationships/hyperlink" Target="https://www.munzee.com/m/Oppresso1983/3938/admin/" TargetMode="External"/><Relationship Id="rId2091" Type="http://schemas.openxmlformats.org/officeDocument/2006/relationships/hyperlink" Target="http://www.munzee.com" TargetMode="External"/><Relationship Id="rId2092" Type="http://schemas.openxmlformats.org/officeDocument/2006/relationships/hyperlink" Target="https://www.munzee.com/m/Drazoria/1580/" TargetMode="External"/><Relationship Id="rId2093" Type="http://schemas.openxmlformats.org/officeDocument/2006/relationships/hyperlink" Target="http://www.munzee.com" TargetMode="External"/><Relationship Id="rId2094" Type="http://schemas.openxmlformats.org/officeDocument/2006/relationships/hyperlink" Target="https://www.munzee.com/m/Tinake1309/1592/" TargetMode="External"/><Relationship Id="rId2095" Type="http://schemas.openxmlformats.org/officeDocument/2006/relationships/hyperlink" Target="http://www.munzee.com" TargetMode="External"/><Relationship Id="rId2096" Type="http://schemas.openxmlformats.org/officeDocument/2006/relationships/hyperlink" Target="https://www.munzee.com/m/Berg14/1514/" TargetMode="External"/><Relationship Id="rId2097" Type="http://schemas.openxmlformats.org/officeDocument/2006/relationships/hyperlink" Target="http://www.munzee.com" TargetMode="External"/><Relationship Id="rId2098" Type="http://schemas.openxmlformats.org/officeDocument/2006/relationships/hyperlink" Target="https://www.munzee.com/m/Niks13/1497/" TargetMode="External"/><Relationship Id="rId2099" Type="http://schemas.openxmlformats.org/officeDocument/2006/relationships/hyperlink" Target="http://www.munzee.com" TargetMode="External"/><Relationship Id="rId2060" Type="http://schemas.openxmlformats.org/officeDocument/2006/relationships/hyperlink" Target="https://www.munzee.com/m/barefootguru/3626/" TargetMode="External"/><Relationship Id="rId2061" Type="http://schemas.openxmlformats.org/officeDocument/2006/relationships/hyperlink" Target="http://www.munzee.com" TargetMode="External"/><Relationship Id="rId2062" Type="http://schemas.openxmlformats.org/officeDocument/2006/relationships/hyperlink" Target="https://www.munzee.com/m/belladivadee/3775" TargetMode="External"/><Relationship Id="rId2063" Type="http://schemas.openxmlformats.org/officeDocument/2006/relationships/hyperlink" Target="http://www.munzee.com" TargetMode="External"/><Relationship Id="rId2064" Type="http://schemas.openxmlformats.org/officeDocument/2006/relationships/hyperlink" Target="https://www.munzee.com/m/sverlaan/6281/" TargetMode="External"/><Relationship Id="rId2065" Type="http://schemas.openxmlformats.org/officeDocument/2006/relationships/hyperlink" Target="http://www.munzee.com" TargetMode="External"/><Relationship Id="rId2066" Type="http://schemas.openxmlformats.org/officeDocument/2006/relationships/hyperlink" Target="https://www.munzee.com/m/EmileP68/5117/" TargetMode="External"/><Relationship Id="rId2067" Type="http://schemas.openxmlformats.org/officeDocument/2006/relationships/hyperlink" Target="http://www.munzee.com" TargetMode="External"/><Relationship Id="rId2068" Type="http://schemas.openxmlformats.org/officeDocument/2006/relationships/hyperlink" Target="https://www.munzee.com/m/PawPatrolThomas/4301/" TargetMode="External"/><Relationship Id="rId2069" Type="http://schemas.openxmlformats.org/officeDocument/2006/relationships/hyperlink" Target="http://www.munzee.com" TargetMode="External"/><Relationship Id="rId2050" Type="http://schemas.openxmlformats.org/officeDocument/2006/relationships/hyperlink" Target="https://www.munzee.com/m/Bisquick2/7181/" TargetMode="External"/><Relationship Id="rId2051" Type="http://schemas.openxmlformats.org/officeDocument/2006/relationships/hyperlink" Target="http://www.munzee.com" TargetMode="External"/><Relationship Id="rId2052" Type="http://schemas.openxmlformats.org/officeDocument/2006/relationships/hyperlink" Target="https://www.munzee.com/m/TheFrog/5819/" TargetMode="External"/><Relationship Id="rId2053" Type="http://schemas.openxmlformats.org/officeDocument/2006/relationships/hyperlink" Target="http://www.munzee.com" TargetMode="External"/><Relationship Id="rId2054" Type="http://schemas.openxmlformats.org/officeDocument/2006/relationships/hyperlink" Target="https://www.munzee.com/m/123xilef/13722/" TargetMode="External"/><Relationship Id="rId2055" Type="http://schemas.openxmlformats.org/officeDocument/2006/relationships/hyperlink" Target="http://www.munzee.com" TargetMode="External"/><Relationship Id="rId2056" Type="http://schemas.openxmlformats.org/officeDocument/2006/relationships/hyperlink" Target="https://www.munzee.com/m/mortonfox/24200/" TargetMode="External"/><Relationship Id="rId2057" Type="http://schemas.openxmlformats.org/officeDocument/2006/relationships/hyperlink" Target="http://www.munzee.com" TargetMode="External"/><Relationship Id="rId2058" Type="http://schemas.openxmlformats.org/officeDocument/2006/relationships/hyperlink" Target="https://www.munzee.com/m/raunas/13091" TargetMode="External"/><Relationship Id="rId2059" Type="http://schemas.openxmlformats.org/officeDocument/2006/relationships/hyperlink" Target="http://www.munzee.com" TargetMode="External"/><Relationship Id="rId2080" Type="http://schemas.openxmlformats.org/officeDocument/2006/relationships/hyperlink" Target="https://www.munzee.com/m/raunas/7250" TargetMode="External"/><Relationship Id="rId2081" Type="http://schemas.openxmlformats.org/officeDocument/2006/relationships/hyperlink" Target="http://www.munzee.com" TargetMode="External"/><Relationship Id="rId2082" Type="http://schemas.openxmlformats.org/officeDocument/2006/relationships/hyperlink" Target="https://www.munzee.com/m/Whatsoverthere/8615/admin/" TargetMode="External"/><Relationship Id="rId2083" Type="http://schemas.openxmlformats.org/officeDocument/2006/relationships/hyperlink" Target="http://www.munzee.com" TargetMode="External"/><Relationship Id="rId2084" Type="http://schemas.openxmlformats.org/officeDocument/2006/relationships/hyperlink" Target="https://www.munzee.com/m/Oppresso1983/3939/admin/" TargetMode="External"/><Relationship Id="rId2085" Type="http://schemas.openxmlformats.org/officeDocument/2006/relationships/hyperlink" Target="http://www.munzee.com" TargetMode="External"/><Relationship Id="rId2086" Type="http://schemas.openxmlformats.org/officeDocument/2006/relationships/hyperlink" Target="https://www.munzee.com/m/xrayneex/2644/" TargetMode="External"/><Relationship Id="rId2087" Type="http://schemas.openxmlformats.org/officeDocument/2006/relationships/hyperlink" Target="http://www.munzee.com" TargetMode="External"/><Relationship Id="rId2088" Type="http://schemas.openxmlformats.org/officeDocument/2006/relationships/hyperlink" Target="https://www.munzee.com/m/Whatsoverthere/8614/admin/" TargetMode="External"/><Relationship Id="rId2089" Type="http://schemas.openxmlformats.org/officeDocument/2006/relationships/hyperlink" Target="http://www.munzee.com" TargetMode="External"/><Relationship Id="rId2070" Type="http://schemas.openxmlformats.org/officeDocument/2006/relationships/hyperlink" Target="https://www.munzee.com/m/BrotherWilliam/5246/admin/" TargetMode="External"/><Relationship Id="rId2071" Type="http://schemas.openxmlformats.org/officeDocument/2006/relationships/hyperlink" Target="http://www.munzee.com" TargetMode="External"/><Relationship Id="rId2072" Type="http://schemas.openxmlformats.org/officeDocument/2006/relationships/hyperlink" Target="https://www.munzee.com/m/ArtofEco/3545/admin/" TargetMode="External"/><Relationship Id="rId2073" Type="http://schemas.openxmlformats.org/officeDocument/2006/relationships/hyperlink" Target="http://www.munzee.com" TargetMode="External"/><Relationship Id="rId2074" Type="http://schemas.openxmlformats.org/officeDocument/2006/relationships/hyperlink" Target="https://www.munzee.com/m/J1Huisman/14455/" TargetMode="External"/><Relationship Id="rId2075" Type="http://schemas.openxmlformats.org/officeDocument/2006/relationships/hyperlink" Target="http://www.munzee.com" TargetMode="External"/><Relationship Id="rId2076" Type="http://schemas.openxmlformats.org/officeDocument/2006/relationships/hyperlink" Target="https://www.munzee.com/m/lison55/8396" TargetMode="External"/><Relationship Id="rId2077" Type="http://schemas.openxmlformats.org/officeDocument/2006/relationships/hyperlink" Target="http://www.munzee.com" TargetMode="External"/><Relationship Id="rId2078" Type="http://schemas.openxmlformats.org/officeDocument/2006/relationships/hyperlink" Target="https://www.munzee.com/m/fsafranek/5371/" TargetMode="External"/><Relationship Id="rId2079" Type="http://schemas.openxmlformats.org/officeDocument/2006/relationships/hyperlink" Target="http://www.munzee.com" TargetMode="External"/><Relationship Id="rId2940" Type="http://schemas.openxmlformats.org/officeDocument/2006/relationships/hyperlink" Target="http://www.munzee.com" TargetMode="External"/><Relationship Id="rId1610" Type="http://schemas.openxmlformats.org/officeDocument/2006/relationships/hyperlink" Target="https://www.munzee.com/m/cbf600/2575/" TargetMode="External"/><Relationship Id="rId2941" Type="http://schemas.openxmlformats.org/officeDocument/2006/relationships/hyperlink" Target="https://www.munzee.com/m/ArtofEco/3118/" TargetMode="External"/><Relationship Id="rId1611" Type="http://schemas.openxmlformats.org/officeDocument/2006/relationships/hyperlink" Target="http://www.munzee.com" TargetMode="External"/><Relationship Id="rId2942" Type="http://schemas.openxmlformats.org/officeDocument/2006/relationships/hyperlink" Target="http://www.munzee.com" TargetMode="External"/><Relationship Id="rId1612" Type="http://schemas.openxmlformats.org/officeDocument/2006/relationships/hyperlink" Target="https://www.munzee.com/m/amundadus/1132/" TargetMode="External"/><Relationship Id="rId2943" Type="http://schemas.openxmlformats.org/officeDocument/2006/relationships/hyperlink" Target="https://www.munzee.com/m/J1Huisman/12030/" TargetMode="External"/><Relationship Id="rId1613" Type="http://schemas.openxmlformats.org/officeDocument/2006/relationships/hyperlink" Target="http://www.munzee.com" TargetMode="External"/><Relationship Id="rId2944" Type="http://schemas.openxmlformats.org/officeDocument/2006/relationships/hyperlink" Target="http://www.munzee.com" TargetMode="External"/><Relationship Id="rId1614" Type="http://schemas.openxmlformats.org/officeDocument/2006/relationships/hyperlink" Target="https://www.munzee.com/m/lison55/5748/" TargetMode="External"/><Relationship Id="rId2945" Type="http://schemas.openxmlformats.org/officeDocument/2006/relationships/hyperlink" Target="https://www.munzee.com/m/fsafranek/4980/" TargetMode="External"/><Relationship Id="rId1615" Type="http://schemas.openxmlformats.org/officeDocument/2006/relationships/hyperlink" Target="http://www.munzee.com" TargetMode="External"/><Relationship Id="rId2946" Type="http://schemas.openxmlformats.org/officeDocument/2006/relationships/hyperlink" Target="http://www.munzee.com" TargetMode="External"/><Relationship Id="rId1616" Type="http://schemas.openxmlformats.org/officeDocument/2006/relationships/hyperlink" Target="https://www.munzee.com/m/Trappertje/5428/" TargetMode="External"/><Relationship Id="rId2947" Type="http://schemas.openxmlformats.org/officeDocument/2006/relationships/hyperlink" Target="https://www.munzee.com/m/5Star/6176/" TargetMode="External"/><Relationship Id="rId907" Type="http://schemas.openxmlformats.org/officeDocument/2006/relationships/hyperlink" Target="http://www.munzee.com" TargetMode="External"/><Relationship Id="rId1617" Type="http://schemas.openxmlformats.org/officeDocument/2006/relationships/hyperlink" Target="http://www.munzee.com" TargetMode="External"/><Relationship Id="rId2948" Type="http://schemas.openxmlformats.org/officeDocument/2006/relationships/hyperlink" Target="http://www.munzee.com" TargetMode="External"/><Relationship Id="rId906" Type="http://schemas.openxmlformats.org/officeDocument/2006/relationships/hyperlink" Target="https://www.munzee.com/m/MunziMeg/4449/" TargetMode="External"/><Relationship Id="rId1618" Type="http://schemas.openxmlformats.org/officeDocument/2006/relationships/hyperlink" Target="https://www.munzee.com/m/BrotherWilliam/4896/admin/" TargetMode="External"/><Relationship Id="rId2949" Type="http://schemas.openxmlformats.org/officeDocument/2006/relationships/hyperlink" Target="https://www.munzee.com/m/Pinkeltje/1758/" TargetMode="External"/><Relationship Id="rId905" Type="http://schemas.openxmlformats.org/officeDocument/2006/relationships/hyperlink" Target="http://www.munzee.com" TargetMode="External"/><Relationship Id="rId1619" Type="http://schemas.openxmlformats.org/officeDocument/2006/relationships/hyperlink" Target="http://www.munzee.com" TargetMode="External"/><Relationship Id="rId904" Type="http://schemas.openxmlformats.org/officeDocument/2006/relationships/hyperlink" Target="https://www.munzee.com/m/GroteSufferd/374" TargetMode="External"/><Relationship Id="rId909" Type="http://schemas.openxmlformats.org/officeDocument/2006/relationships/hyperlink" Target="http://www.munzee.com" TargetMode="External"/><Relationship Id="rId908" Type="http://schemas.openxmlformats.org/officeDocument/2006/relationships/hyperlink" Target="https://www.munzee.com/m/artofmunzeeing/3809/" TargetMode="External"/><Relationship Id="rId903" Type="http://schemas.openxmlformats.org/officeDocument/2006/relationships/hyperlink" Target="http://www.munzee.com" TargetMode="External"/><Relationship Id="rId902" Type="http://schemas.openxmlformats.org/officeDocument/2006/relationships/hyperlink" Target="https://www.munzee.com/m/artofmunzeeing/3822/" TargetMode="External"/><Relationship Id="rId901" Type="http://schemas.openxmlformats.org/officeDocument/2006/relationships/hyperlink" Target="http://www.munzee.com" TargetMode="External"/><Relationship Id="rId900" Type="http://schemas.openxmlformats.org/officeDocument/2006/relationships/hyperlink" Target="https://www.munzee.com/m/MunziMeg/4460/" TargetMode="External"/><Relationship Id="rId2930" Type="http://schemas.openxmlformats.org/officeDocument/2006/relationships/hyperlink" Target="http://www.munzee.com" TargetMode="External"/><Relationship Id="rId1600" Type="http://schemas.openxmlformats.org/officeDocument/2006/relationships/hyperlink" Target="https://www.munzee.com/m/TheFatCats/4310/" TargetMode="External"/><Relationship Id="rId2931" Type="http://schemas.openxmlformats.org/officeDocument/2006/relationships/hyperlink" Target="https://www.munzee.com/m/belladivadee/3147" TargetMode="External"/><Relationship Id="rId1601" Type="http://schemas.openxmlformats.org/officeDocument/2006/relationships/hyperlink" Target="http://www.munzee.com" TargetMode="External"/><Relationship Id="rId2932" Type="http://schemas.openxmlformats.org/officeDocument/2006/relationships/hyperlink" Target="http://www.munzee.com" TargetMode="External"/><Relationship Id="rId1602" Type="http://schemas.openxmlformats.org/officeDocument/2006/relationships/hyperlink" Target="https://www.munzee.com/m/OdinsFiRe/1933/" TargetMode="External"/><Relationship Id="rId2933" Type="http://schemas.openxmlformats.org/officeDocument/2006/relationships/hyperlink" Target="https://www.munzee.com/m/sverlaan/5176/" TargetMode="External"/><Relationship Id="rId1603" Type="http://schemas.openxmlformats.org/officeDocument/2006/relationships/hyperlink" Target="http://www.munzee.com" TargetMode="External"/><Relationship Id="rId2934" Type="http://schemas.openxmlformats.org/officeDocument/2006/relationships/hyperlink" Target="http://www.munzee.com" TargetMode="External"/><Relationship Id="rId1604" Type="http://schemas.openxmlformats.org/officeDocument/2006/relationships/hyperlink" Target="https://www.munzee.com/m/belladivadee/3115/" TargetMode="External"/><Relationship Id="rId2935" Type="http://schemas.openxmlformats.org/officeDocument/2006/relationships/hyperlink" Target="https://www.munzee.com/m/PawPatrolThomas/2993/" TargetMode="External"/><Relationship Id="rId1605" Type="http://schemas.openxmlformats.org/officeDocument/2006/relationships/hyperlink" Target="http://www.munzee.com" TargetMode="External"/><Relationship Id="rId2936" Type="http://schemas.openxmlformats.org/officeDocument/2006/relationships/hyperlink" Target="http://www.munzee.com" TargetMode="External"/><Relationship Id="rId1606" Type="http://schemas.openxmlformats.org/officeDocument/2006/relationships/hyperlink" Target="https://www.munzee.com/m/Wangotango/1441" TargetMode="External"/><Relationship Id="rId2937" Type="http://schemas.openxmlformats.org/officeDocument/2006/relationships/hyperlink" Target="https://www.munzee.com/m/EmileP68/3528/" TargetMode="External"/><Relationship Id="rId1607" Type="http://schemas.openxmlformats.org/officeDocument/2006/relationships/hyperlink" Target="http://www.munzee.com" TargetMode="External"/><Relationship Id="rId2938" Type="http://schemas.openxmlformats.org/officeDocument/2006/relationships/hyperlink" Target="http://www.munzee.com" TargetMode="External"/><Relationship Id="rId1608" Type="http://schemas.openxmlformats.org/officeDocument/2006/relationships/hyperlink" Target="https://www.munzee.com/m/amadoreugen/5824" TargetMode="External"/><Relationship Id="rId2939" Type="http://schemas.openxmlformats.org/officeDocument/2006/relationships/hyperlink" Target="https://www.munzee.com/m/BrotherWilliam/4292/" TargetMode="External"/><Relationship Id="rId1609" Type="http://schemas.openxmlformats.org/officeDocument/2006/relationships/hyperlink" Target="http://www.munzee.com" TargetMode="External"/><Relationship Id="rId1631" Type="http://schemas.openxmlformats.org/officeDocument/2006/relationships/hyperlink" Target="http://www.munzee.com" TargetMode="External"/><Relationship Id="rId2962" Type="http://schemas.openxmlformats.org/officeDocument/2006/relationships/hyperlink" Target="http://www.munzee.com" TargetMode="External"/><Relationship Id="rId1632" Type="http://schemas.openxmlformats.org/officeDocument/2006/relationships/hyperlink" Target="https://www.munzee.com/m/res2100/767" TargetMode="External"/><Relationship Id="rId2963" Type="http://schemas.openxmlformats.org/officeDocument/2006/relationships/hyperlink" Target="https://www.munzee.com/m/OdinsFiRe/1978/" TargetMode="External"/><Relationship Id="rId1633" Type="http://schemas.openxmlformats.org/officeDocument/2006/relationships/hyperlink" Target="http://www.munzee.com" TargetMode="External"/><Relationship Id="rId2964" Type="http://schemas.openxmlformats.org/officeDocument/2006/relationships/hyperlink" Target="http://www.munzee.com" TargetMode="External"/><Relationship Id="rId1634" Type="http://schemas.openxmlformats.org/officeDocument/2006/relationships/hyperlink" Target="https://www.munzee.com/m/mding4gold/4984" TargetMode="External"/><Relationship Id="rId2965" Type="http://schemas.openxmlformats.org/officeDocument/2006/relationships/hyperlink" Target="https://www.munzee.com/m/TheFatCats/4519/" TargetMode="External"/><Relationship Id="rId1635" Type="http://schemas.openxmlformats.org/officeDocument/2006/relationships/hyperlink" Target="http://www.munzee.com" TargetMode="External"/><Relationship Id="rId2966" Type="http://schemas.openxmlformats.org/officeDocument/2006/relationships/hyperlink" Target="http://www.munzee.com" TargetMode="External"/><Relationship Id="rId1636" Type="http://schemas.openxmlformats.org/officeDocument/2006/relationships/hyperlink" Target="https://www.munzee.com/m/TheFrog/4708/" TargetMode="External"/><Relationship Id="rId2967" Type="http://schemas.openxmlformats.org/officeDocument/2006/relationships/hyperlink" Target="https://www.munzee.com/m/MurphyLM/173/" TargetMode="External"/><Relationship Id="rId1637" Type="http://schemas.openxmlformats.org/officeDocument/2006/relationships/hyperlink" Target="http://www.munzee.com" TargetMode="External"/><Relationship Id="rId2968" Type="http://schemas.openxmlformats.org/officeDocument/2006/relationships/hyperlink" Target="http://www.munzee.com" TargetMode="External"/><Relationship Id="rId1638" Type="http://schemas.openxmlformats.org/officeDocument/2006/relationships/hyperlink" Target="https://www.munzee.com/m/123xilef/8091/" TargetMode="External"/><Relationship Id="rId2969" Type="http://schemas.openxmlformats.org/officeDocument/2006/relationships/hyperlink" Target="https://www.munzee.com/m/xrayneex/1830/" TargetMode="External"/><Relationship Id="rId929" Type="http://schemas.openxmlformats.org/officeDocument/2006/relationships/hyperlink" Target="http://www.munzee.com" TargetMode="External"/><Relationship Id="rId1639" Type="http://schemas.openxmlformats.org/officeDocument/2006/relationships/hyperlink" Target="http://www.munzee.com" TargetMode="External"/><Relationship Id="rId928" Type="http://schemas.openxmlformats.org/officeDocument/2006/relationships/hyperlink" Target="https://www.munzee.com/m/OdinsFiRe/1562/" TargetMode="External"/><Relationship Id="rId927" Type="http://schemas.openxmlformats.org/officeDocument/2006/relationships/hyperlink" Target="http://www.munzee.com" TargetMode="External"/><Relationship Id="rId926" Type="http://schemas.openxmlformats.org/officeDocument/2006/relationships/hyperlink" Target="https://www.munzee.com/m/WiseOldWizard/3969/" TargetMode="External"/><Relationship Id="rId921" Type="http://schemas.openxmlformats.org/officeDocument/2006/relationships/hyperlink" Target="http://www.munzee.com" TargetMode="External"/><Relationship Id="rId920" Type="http://schemas.openxmlformats.org/officeDocument/2006/relationships/hyperlink" Target="https://www.munzee.com/m/Anetzet/2648/" TargetMode="External"/><Relationship Id="rId925" Type="http://schemas.openxmlformats.org/officeDocument/2006/relationships/hyperlink" Target="http://www.munzee.com" TargetMode="External"/><Relationship Id="rId924" Type="http://schemas.openxmlformats.org/officeDocument/2006/relationships/hyperlink" Target="https://www.munzee.com/m/Derlame/12559/" TargetMode="External"/><Relationship Id="rId923" Type="http://schemas.openxmlformats.org/officeDocument/2006/relationships/hyperlink" Target="http://www.munzee.com" TargetMode="External"/><Relationship Id="rId922" Type="http://schemas.openxmlformats.org/officeDocument/2006/relationships/hyperlink" Target="https://www.munzee.com/m/TheFatCats/3601/" TargetMode="External"/><Relationship Id="rId2960" Type="http://schemas.openxmlformats.org/officeDocument/2006/relationships/hyperlink" Target="http://www.munzee.com" TargetMode="External"/><Relationship Id="rId1630" Type="http://schemas.openxmlformats.org/officeDocument/2006/relationships/hyperlink" Target="https://www.munzee.com/m/Aniara/7897" TargetMode="External"/><Relationship Id="rId2961" Type="http://schemas.openxmlformats.org/officeDocument/2006/relationships/hyperlink" Target="https://www.munzee.com/m/KublaKhan/775/" TargetMode="External"/><Relationship Id="rId1620" Type="http://schemas.openxmlformats.org/officeDocument/2006/relationships/hyperlink" Target="https://www.munzee.com/m/wally62/4917/" TargetMode="External"/><Relationship Id="rId2951" Type="http://schemas.openxmlformats.org/officeDocument/2006/relationships/hyperlink" Target="https://www.munzee.com/m/Drazoria/1015/" TargetMode="External"/><Relationship Id="rId1621" Type="http://schemas.openxmlformats.org/officeDocument/2006/relationships/hyperlink" Target="http://www.munzee.com" TargetMode="External"/><Relationship Id="rId2952" Type="http://schemas.openxmlformats.org/officeDocument/2006/relationships/hyperlink" Target="http://www.munzee.com" TargetMode="External"/><Relationship Id="rId1622" Type="http://schemas.openxmlformats.org/officeDocument/2006/relationships/hyperlink" Target="https://www.munzee.com/m/cbf600/2662/" TargetMode="External"/><Relationship Id="rId2953" Type="http://schemas.openxmlformats.org/officeDocument/2006/relationships/hyperlink" Target="https://www.munzee.com/m/Tinake1309/992/" TargetMode="External"/><Relationship Id="rId1623" Type="http://schemas.openxmlformats.org/officeDocument/2006/relationships/hyperlink" Target="http://www.munzee.com" TargetMode="External"/><Relationship Id="rId2954" Type="http://schemas.openxmlformats.org/officeDocument/2006/relationships/hyperlink" Target="http://www.munzee.com" TargetMode="External"/><Relationship Id="rId1624" Type="http://schemas.openxmlformats.org/officeDocument/2006/relationships/hyperlink" Target="https://www.munzee.com/m/Bisquick2/4734/" TargetMode="External"/><Relationship Id="rId2955" Type="http://schemas.openxmlformats.org/officeDocument/2006/relationships/hyperlink" Target="https://www.munzee.com/m/Berg14/759/" TargetMode="External"/><Relationship Id="rId1625" Type="http://schemas.openxmlformats.org/officeDocument/2006/relationships/hyperlink" Target="http://www.munzee.com" TargetMode="External"/><Relationship Id="rId2956" Type="http://schemas.openxmlformats.org/officeDocument/2006/relationships/hyperlink" Target="http://www.munzee.com" TargetMode="External"/><Relationship Id="rId1626" Type="http://schemas.openxmlformats.org/officeDocument/2006/relationships/hyperlink" Target="https://www.munzee.com/m/Anetzet/3347/" TargetMode="External"/><Relationship Id="rId2957" Type="http://schemas.openxmlformats.org/officeDocument/2006/relationships/hyperlink" Target="https://www.munzee.com/m/Niks13/776" TargetMode="External"/><Relationship Id="rId1627" Type="http://schemas.openxmlformats.org/officeDocument/2006/relationships/hyperlink" Target="http://www.munzee.com" TargetMode="External"/><Relationship Id="rId2958" Type="http://schemas.openxmlformats.org/officeDocument/2006/relationships/hyperlink" Target="http://www.munzee.com" TargetMode="External"/><Relationship Id="rId918" Type="http://schemas.openxmlformats.org/officeDocument/2006/relationships/hyperlink" Target="https://www.munzee.com/m/TheFrog/3436/" TargetMode="External"/><Relationship Id="rId1628" Type="http://schemas.openxmlformats.org/officeDocument/2006/relationships/hyperlink" Target="https://www.munzee.com/m/xrayneex/1119/" TargetMode="External"/><Relationship Id="rId2959" Type="http://schemas.openxmlformats.org/officeDocument/2006/relationships/hyperlink" Target="https://www.munzee.com/m/TheFatCats/4516/" TargetMode="External"/><Relationship Id="rId917" Type="http://schemas.openxmlformats.org/officeDocument/2006/relationships/hyperlink" Target="http://www.munzee.com" TargetMode="External"/><Relationship Id="rId1629" Type="http://schemas.openxmlformats.org/officeDocument/2006/relationships/hyperlink" Target="http://www.munzee.com" TargetMode="External"/><Relationship Id="rId916" Type="http://schemas.openxmlformats.org/officeDocument/2006/relationships/hyperlink" Target="https://www.munzee.com/m/TheFatCats/3588/" TargetMode="External"/><Relationship Id="rId915" Type="http://schemas.openxmlformats.org/officeDocument/2006/relationships/hyperlink" Target="http://www.munzee.com" TargetMode="External"/><Relationship Id="rId919" Type="http://schemas.openxmlformats.org/officeDocument/2006/relationships/hyperlink" Target="http://www.munzee.com" TargetMode="External"/><Relationship Id="rId910" Type="http://schemas.openxmlformats.org/officeDocument/2006/relationships/hyperlink" Target="https://www.munzee.com/m/5Star/5761" TargetMode="External"/><Relationship Id="rId914" Type="http://schemas.openxmlformats.org/officeDocument/2006/relationships/hyperlink" Target="https://www.munzee.com/m/123xilef/7061/" TargetMode="External"/><Relationship Id="rId913" Type="http://schemas.openxmlformats.org/officeDocument/2006/relationships/hyperlink" Target="http://www.munzee.com" TargetMode="External"/><Relationship Id="rId912" Type="http://schemas.openxmlformats.org/officeDocument/2006/relationships/hyperlink" Target="https://www.munzee.com/m/TheFrog/4239/" TargetMode="External"/><Relationship Id="rId911" Type="http://schemas.openxmlformats.org/officeDocument/2006/relationships/hyperlink" Target="http://www.munzee.com" TargetMode="External"/><Relationship Id="rId2950" Type="http://schemas.openxmlformats.org/officeDocument/2006/relationships/hyperlink" Target="http://www.munzee.com" TargetMode="External"/><Relationship Id="rId2900" Type="http://schemas.openxmlformats.org/officeDocument/2006/relationships/hyperlink" Target="http://www.munzee.com" TargetMode="External"/><Relationship Id="rId2901" Type="http://schemas.openxmlformats.org/officeDocument/2006/relationships/hyperlink" Target="https://www.munzee.com/m/skyfox/14476/" TargetMode="External"/><Relationship Id="rId2902" Type="http://schemas.openxmlformats.org/officeDocument/2006/relationships/hyperlink" Target="http://www.munzee.com" TargetMode="External"/><Relationship Id="rId2903" Type="http://schemas.openxmlformats.org/officeDocument/2006/relationships/hyperlink" Target="https://www.munzee.com/m/Anseldelux/1269" TargetMode="External"/><Relationship Id="rId2904" Type="http://schemas.openxmlformats.org/officeDocument/2006/relationships/hyperlink" Target="http://www.munzee.com" TargetMode="External"/><Relationship Id="rId2905" Type="http://schemas.openxmlformats.org/officeDocument/2006/relationships/hyperlink" Target="https://www.munzee.com/m/MeanderingMonkeys/22528/" TargetMode="External"/><Relationship Id="rId2906" Type="http://schemas.openxmlformats.org/officeDocument/2006/relationships/hyperlink" Target="http://www.munzee.com" TargetMode="External"/><Relationship Id="rId2907" Type="http://schemas.openxmlformats.org/officeDocument/2006/relationships/hyperlink" Target="https://www.munzee.com/m/cbf600/3784/" TargetMode="External"/><Relationship Id="rId2908" Type="http://schemas.openxmlformats.org/officeDocument/2006/relationships/hyperlink" Target="http://www.munzee.com" TargetMode="External"/><Relationship Id="rId2909" Type="http://schemas.openxmlformats.org/officeDocument/2006/relationships/hyperlink" Target="https://www.munzee.com/m/Bisquick2/7386/" TargetMode="External"/><Relationship Id="rId2920" Type="http://schemas.openxmlformats.org/officeDocument/2006/relationships/hyperlink" Target="http://www.munzee.com" TargetMode="External"/><Relationship Id="rId2921" Type="http://schemas.openxmlformats.org/officeDocument/2006/relationships/hyperlink" Target="https://www.munzee.com/m/shaynemarks/12373/" TargetMode="External"/><Relationship Id="rId2922" Type="http://schemas.openxmlformats.org/officeDocument/2006/relationships/hyperlink" Target="http://www.munzee.com" TargetMode="External"/><Relationship Id="rId2923" Type="http://schemas.openxmlformats.org/officeDocument/2006/relationships/hyperlink" Target="https://www.munzee.com/m/mortonfox/23501/" TargetMode="External"/><Relationship Id="rId2924" Type="http://schemas.openxmlformats.org/officeDocument/2006/relationships/hyperlink" Target="http://www.munzee.com" TargetMode="External"/><Relationship Id="rId2925" Type="http://schemas.openxmlformats.org/officeDocument/2006/relationships/hyperlink" Target="https://www.munzee.com/m/barefootguru/5055/" TargetMode="External"/><Relationship Id="rId2926" Type="http://schemas.openxmlformats.org/officeDocument/2006/relationships/hyperlink" Target="http://www.munzee.com" TargetMode="External"/><Relationship Id="rId2927" Type="http://schemas.openxmlformats.org/officeDocument/2006/relationships/hyperlink" Target="https://www.munzee.com/m/Wangotango/1397/" TargetMode="External"/><Relationship Id="rId2928" Type="http://schemas.openxmlformats.org/officeDocument/2006/relationships/hyperlink" Target="http://www.munzee.com" TargetMode="External"/><Relationship Id="rId2929" Type="http://schemas.openxmlformats.org/officeDocument/2006/relationships/hyperlink" Target="https://www.munzee.com/m/Ellesche/771" TargetMode="External"/><Relationship Id="rId2910" Type="http://schemas.openxmlformats.org/officeDocument/2006/relationships/hyperlink" Target="http://www.munzee.com" TargetMode="External"/><Relationship Id="rId2911" Type="http://schemas.openxmlformats.org/officeDocument/2006/relationships/hyperlink" Target="https://www.munzee.com/m/TeamSarton/2365/admin/" TargetMode="External"/><Relationship Id="rId2912" Type="http://schemas.openxmlformats.org/officeDocument/2006/relationships/hyperlink" Target="http://www.munzee.com" TargetMode="External"/><Relationship Id="rId2913" Type="http://schemas.openxmlformats.org/officeDocument/2006/relationships/hyperlink" Target="https://www.munzee.com/m/TheFrog/7190/" TargetMode="External"/><Relationship Id="rId2914" Type="http://schemas.openxmlformats.org/officeDocument/2006/relationships/hyperlink" Target="http://www.munzee.com" TargetMode="External"/><Relationship Id="rId2915" Type="http://schemas.openxmlformats.org/officeDocument/2006/relationships/hyperlink" Target="https://www.munzee.com/m/123xilef/13707/" TargetMode="External"/><Relationship Id="rId2916" Type="http://schemas.openxmlformats.org/officeDocument/2006/relationships/hyperlink" Target="http://www.munzee.com" TargetMode="External"/><Relationship Id="rId2917" Type="http://schemas.openxmlformats.org/officeDocument/2006/relationships/hyperlink" Target="https://www.munzee.com/m/skyfox/14472/" TargetMode="External"/><Relationship Id="rId2918" Type="http://schemas.openxmlformats.org/officeDocument/2006/relationships/hyperlink" Target="http://www.munzee.com" TargetMode="External"/><Relationship Id="rId2919" Type="http://schemas.openxmlformats.org/officeDocument/2006/relationships/hyperlink" Target="https://www.munzee.com/m/skyfox/14470/" TargetMode="External"/><Relationship Id="rId1697" Type="http://schemas.openxmlformats.org/officeDocument/2006/relationships/hyperlink" Target="http://www.munzee.com" TargetMode="External"/><Relationship Id="rId1698" Type="http://schemas.openxmlformats.org/officeDocument/2006/relationships/hyperlink" Target="https://www.munzee.com/m/Franca/1075/" TargetMode="External"/><Relationship Id="rId1699" Type="http://schemas.openxmlformats.org/officeDocument/2006/relationships/hyperlink" Target="http://www.munzee.com" TargetMode="External"/><Relationship Id="rId866" Type="http://schemas.openxmlformats.org/officeDocument/2006/relationships/hyperlink" Target="https://www.munzee.com/m/xrayneex/1414/" TargetMode="External"/><Relationship Id="rId865" Type="http://schemas.openxmlformats.org/officeDocument/2006/relationships/hyperlink" Target="http://www.munzee.com" TargetMode="External"/><Relationship Id="rId864" Type="http://schemas.openxmlformats.org/officeDocument/2006/relationships/hyperlink" Target="https://www.munzee.com/m/Lanyasummer/4385/" TargetMode="External"/><Relationship Id="rId863" Type="http://schemas.openxmlformats.org/officeDocument/2006/relationships/hyperlink" Target="http://www.munzee.com" TargetMode="External"/><Relationship Id="rId869" Type="http://schemas.openxmlformats.org/officeDocument/2006/relationships/hyperlink" Target="http://www.munzee.com" TargetMode="External"/><Relationship Id="rId868" Type="http://schemas.openxmlformats.org/officeDocument/2006/relationships/hyperlink" Target="https://www.munzee.com/m/JackSparrow/19747" TargetMode="External"/><Relationship Id="rId867" Type="http://schemas.openxmlformats.org/officeDocument/2006/relationships/hyperlink" Target="http://www.munzee.com" TargetMode="External"/><Relationship Id="rId1690" Type="http://schemas.openxmlformats.org/officeDocument/2006/relationships/hyperlink" Target="https://www.munzee.com/m/Krauseengineer/2449" TargetMode="External"/><Relationship Id="rId1691" Type="http://schemas.openxmlformats.org/officeDocument/2006/relationships/hyperlink" Target="http://www.munzee.com" TargetMode="External"/><Relationship Id="rId1692" Type="http://schemas.openxmlformats.org/officeDocument/2006/relationships/hyperlink" Target="https://www.munzee.com/m/GroteSufferd/527/admin/" TargetMode="External"/><Relationship Id="rId862" Type="http://schemas.openxmlformats.org/officeDocument/2006/relationships/hyperlink" Target="https://www.munzee.com/m/FromTheTardis/1386/" TargetMode="External"/><Relationship Id="rId1693" Type="http://schemas.openxmlformats.org/officeDocument/2006/relationships/hyperlink" Target="http://www.munzee.com" TargetMode="External"/><Relationship Id="rId861" Type="http://schemas.openxmlformats.org/officeDocument/2006/relationships/hyperlink" Target="http://www.munzee.com" TargetMode="External"/><Relationship Id="rId1694" Type="http://schemas.openxmlformats.org/officeDocument/2006/relationships/hyperlink" Target="https://www.munzee.com/m/ArtofEco/3064/" TargetMode="External"/><Relationship Id="rId860" Type="http://schemas.openxmlformats.org/officeDocument/2006/relationships/hyperlink" Target="https://www.munzee.com/m/Pinkeltje/1209/" TargetMode="External"/><Relationship Id="rId1695" Type="http://schemas.openxmlformats.org/officeDocument/2006/relationships/hyperlink" Target="http://www.munzee.com" TargetMode="External"/><Relationship Id="rId1696" Type="http://schemas.openxmlformats.org/officeDocument/2006/relationships/hyperlink" Target="https://www.munzee.com/m/5Star/6129" TargetMode="External"/><Relationship Id="rId1686" Type="http://schemas.openxmlformats.org/officeDocument/2006/relationships/hyperlink" Target="https://www.munzee.com/m/J1Huisman/11836/" TargetMode="External"/><Relationship Id="rId1687" Type="http://schemas.openxmlformats.org/officeDocument/2006/relationships/hyperlink" Target="http://www.munzee.com" TargetMode="External"/><Relationship Id="rId1688" Type="http://schemas.openxmlformats.org/officeDocument/2006/relationships/hyperlink" Target="https://www.munzee.com/m/Pinkeltje/1601/" TargetMode="External"/><Relationship Id="rId1689" Type="http://schemas.openxmlformats.org/officeDocument/2006/relationships/hyperlink" Target="http://www.munzee.com" TargetMode="External"/><Relationship Id="rId855" Type="http://schemas.openxmlformats.org/officeDocument/2006/relationships/hyperlink" Target="http://www.munzee.com" TargetMode="External"/><Relationship Id="rId854" Type="http://schemas.openxmlformats.org/officeDocument/2006/relationships/hyperlink" Target="https://www.munzee.com/m/babyw/3105/" TargetMode="External"/><Relationship Id="rId853" Type="http://schemas.openxmlformats.org/officeDocument/2006/relationships/hyperlink" Target="http://www.munzee.com" TargetMode="External"/><Relationship Id="rId852" Type="http://schemas.openxmlformats.org/officeDocument/2006/relationships/hyperlink" Target="https://www.munzee.com/m/Niks13/555/" TargetMode="External"/><Relationship Id="rId859" Type="http://schemas.openxmlformats.org/officeDocument/2006/relationships/hyperlink" Target="http://www.munzee.com" TargetMode="External"/><Relationship Id="rId858" Type="http://schemas.openxmlformats.org/officeDocument/2006/relationships/hyperlink" Target="https://www.munzee.com/m/J1Huisman/11301/" TargetMode="External"/><Relationship Id="rId857" Type="http://schemas.openxmlformats.org/officeDocument/2006/relationships/hyperlink" Target="http://www.munzee.com" TargetMode="External"/><Relationship Id="rId856" Type="http://schemas.openxmlformats.org/officeDocument/2006/relationships/hyperlink" Target="https://www.munzee.com/m/lison55/5344/" TargetMode="External"/><Relationship Id="rId1680" Type="http://schemas.openxmlformats.org/officeDocument/2006/relationships/hyperlink" Target="https://www.munzee.com/m/PcLocator/4254/admin/" TargetMode="External"/><Relationship Id="rId1681" Type="http://schemas.openxmlformats.org/officeDocument/2006/relationships/hyperlink" Target="http://www.munzee.com" TargetMode="External"/><Relationship Id="rId851" Type="http://schemas.openxmlformats.org/officeDocument/2006/relationships/hyperlink" Target="http://www.munzee.com" TargetMode="External"/><Relationship Id="rId1682" Type="http://schemas.openxmlformats.org/officeDocument/2006/relationships/hyperlink" Target="https://www.munzee.com/m/barefootguru/3254/" TargetMode="External"/><Relationship Id="rId850" Type="http://schemas.openxmlformats.org/officeDocument/2006/relationships/hyperlink" Target="https://www.munzee.com/m/Berg14/579/" TargetMode="External"/><Relationship Id="rId1683" Type="http://schemas.openxmlformats.org/officeDocument/2006/relationships/hyperlink" Target="http://www.munzee.com" TargetMode="External"/><Relationship Id="rId1684" Type="http://schemas.openxmlformats.org/officeDocument/2006/relationships/hyperlink" Target="https://www.munzee.com/m/amadoreugen/5861" TargetMode="External"/><Relationship Id="rId1685" Type="http://schemas.openxmlformats.org/officeDocument/2006/relationships/hyperlink" Target="http://www.munzee.com" TargetMode="External"/><Relationship Id="rId888" Type="http://schemas.openxmlformats.org/officeDocument/2006/relationships/hyperlink" Target="https://www.munzee.com/m/BrotherWilliam/3939/admin/" TargetMode="External"/><Relationship Id="rId887" Type="http://schemas.openxmlformats.org/officeDocument/2006/relationships/hyperlink" Target="http://www.munzee.com" TargetMode="External"/><Relationship Id="rId886" Type="http://schemas.openxmlformats.org/officeDocument/2006/relationships/hyperlink" Target="https://www.munzee.com/m/cbf600/2405/admin/" TargetMode="External"/><Relationship Id="rId885" Type="http://schemas.openxmlformats.org/officeDocument/2006/relationships/hyperlink" Target="http://www.munzee.com" TargetMode="External"/><Relationship Id="rId889" Type="http://schemas.openxmlformats.org/officeDocument/2006/relationships/hyperlink" Target="http://www.munzee.com" TargetMode="External"/><Relationship Id="rId880" Type="http://schemas.openxmlformats.org/officeDocument/2006/relationships/hyperlink" Target="https://www.munzee.com/m/TheFatCats/3572/" TargetMode="External"/><Relationship Id="rId884" Type="http://schemas.openxmlformats.org/officeDocument/2006/relationships/hyperlink" Target="https://www.munzee.com/m/barefootguru/3132/" TargetMode="External"/><Relationship Id="rId883" Type="http://schemas.openxmlformats.org/officeDocument/2006/relationships/hyperlink" Target="http://www.munzee.com" TargetMode="External"/><Relationship Id="rId882" Type="http://schemas.openxmlformats.org/officeDocument/2006/relationships/hyperlink" Target="https://www.munzee.com/m/Franca/545/" TargetMode="External"/><Relationship Id="rId881" Type="http://schemas.openxmlformats.org/officeDocument/2006/relationships/hyperlink" Target="http://www.munzee.com" TargetMode="External"/><Relationship Id="rId877" Type="http://schemas.openxmlformats.org/officeDocument/2006/relationships/hyperlink" Target="http://www.munzee.com" TargetMode="External"/><Relationship Id="rId876" Type="http://schemas.openxmlformats.org/officeDocument/2006/relationships/hyperlink" Target="https://www.munzee.com/m/123xilef/6918/" TargetMode="External"/><Relationship Id="rId875" Type="http://schemas.openxmlformats.org/officeDocument/2006/relationships/hyperlink" Target="http://www.munzee.com" TargetMode="External"/><Relationship Id="rId874" Type="http://schemas.openxmlformats.org/officeDocument/2006/relationships/hyperlink" Target="https://www.munzee.com/m/TheFatCats/3562/" TargetMode="External"/><Relationship Id="rId879" Type="http://schemas.openxmlformats.org/officeDocument/2006/relationships/hyperlink" Target="http://www.munzee.com" TargetMode="External"/><Relationship Id="rId878" Type="http://schemas.openxmlformats.org/officeDocument/2006/relationships/hyperlink" Target="https://www.munzee.com/m/Aniara/6614/" TargetMode="External"/><Relationship Id="rId873" Type="http://schemas.openxmlformats.org/officeDocument/2006/relationships/hyperlink" Target="http://www.munzee.com" TargetMode="External"/><Relationship Id="rId872" Type="http://schemas.openxmlformats.org/officeDocument/2006/relationships/hyperlink" Target="https://www.munzee.com/m/upapou/987/" TargetMode="External"/><Relationship Id="rId871" Type="http://schemas.openxmlformats.org/officeDocument/2006/relationships/hyperlink" Target="http://www.munzee.com" TargetMode="External"/><Relationship Id="rId870" Type="http://schemas.openxmlformats.org/officeDocument/2006/relationships/hyperlink" Target="https://www.munzee.com/m/IggiePiggie/1858/" TargetMode="External"/><Relationship Id="rId1653" Type="http://schemas.openxmlformats.org/officeDocument/2006/relationships/hyperlink" Target="http://www.munzee.com" TargetMode="External"/><Relationship Id="rId2984" Type="http://schemas.openxmlformats.org/officeDocument/2006/relationships/hyperlink" Target="http://www.munzee.com" TargetMode="External"/><Relationship Id="rId1654" Type="http://schemas.openxmlformats.org/officeDocument/2006/relationships/hyperlink" Target="https://www.munzee.com/m/MariaHTJ/9063/" TargetMode="External"/><Relationship Id="rId2985" Type="http://schemas.openxmlformats.org/officeDocument/2006/relationships/hyperlink" Target="https://www.munzee.com/m/cbf600/2670/admin/convert/" TargetMode="External"/><Relationship Id="rId1655" Type="http://schemas.openxmlformats.org/officeDocument/2006/relationships/hyperlink" Target="http://www.munzee.com" TargetMode="External"/><Relationship Id="rId2986" Type="http://schemas.openxmlformats.org/officeDocument/2006/relationships/hyperlink" Target="http://www.munzee.com" TargetMode="External"/><Relationship Id="rId1656" Type="http://schemas.openxmlformats.org/officeDocument/2006/relationships/hyperlink" Target="https://www.munzee.com/m/amundadus/1408/" TargetMode="External"/><Relationship Id="rId2987" Type="http://schemas.openxmlformats.org/officeDocument/2006/relationships/hyperlink" Target="https://www.munzee.com/m/Mallet75/785/" TargetMode="External"/><Relationship Id="rId1657" Type="http://schemas.openxmlformats.org/officeDocument/2006/relationships/hyperlink" Target="http://www.munzee.com" TargetMode="External"/><Relationship Id="rId2988" Type="http://schemas.openxmlformats.org/officeDocument/2006/relationships/hyperlink" Target="http://www.munzee.com" TargetMode="External"/><Relationship Id="rId1658" Type="http://schemas.openxmlformats.org/officeDocument/2006/relationships/hyperlink" Target="https://www.munzee.com/m/Anetzet/3321/" TargetMode="External"/><Relationship Id="rId2989" Type="http://schemas.openxmlformats.org/officeDocument/2006/relationships/hyperlink" Target="https://www.munzee.com/m/habu/11227/" TargetMode="External"/><Relationship Id="rId1659" Type="http://schemas.openxmlformats.org/officeDocument/2006/relationships/hyperlink" Target="http://www.munzee.com" TargetMode="External"/><Relationship Id="rId829" Type="http://schemas.openxmlformats.org/officeDocument/2006/relationships/hyperlink" Target="http://www.munzee.com" TargetMode="External"/><Relationship Id="rId828" Type="http://schemas.openxmlformats.org/officeDocument/2006/relationships/hyperlink" Target="https://www.munzee.com/m/MunziMeg/4448/" TargetMode="External"/><Relationship Id="rId827" Type="http://schemas.openxmlformats.org/officeDocument/2006/relationships/hyperlink" Target="http://www.munzee.com" TargetMode="External"/><Relationship Id="rId822" Type="http://schemas.openxmlformats.org/officeDocument/2006/relationships/hyperlink" Target="https://www.munzee.com/m/artofmunzeeing/3830/" TargetMode="External"/><Relationship Id="rId821" Type="http://schemas.openxmlformats.org/officeDocument/2006/relationships/hyperlink" Target="http://www.munzee.com" TargetMode="External"/><Relationship Id="rId820" Type="http://schemas.openxmlformats.org/officeDocument/2006/relationships/hyperlink" Target="https://www.munzee.com/m/TheFatCats/3632/" TargetMode="External"/><Relationship Id="rId826" Type="http://schemas.openxmlformats.org/officeDocument/2006/relationships/hyperlink" Target="https://www.munzee.com/m/Anetzet/2877/" TargetMode="External"/><Relationship Id="rId825" Type="http://schemas.openxmlformats.org/officeDocument/2006/relationships/hyperlink" Target="http://www.munzee.com" TargetMode="External"/><Relationship Id="rId824" Type="http://schemas.openxmlformats.org/officeDocument/2006/relationships/hyperlink" Target="https://www.munzee.com/m/Franca/703/" TargetMode="External"/><Relationship Id="rId823" Type="http://schemas.openxmlformats.org/officeDocument/2006/relationships/hyperlink" Target="http://www.munzee.com" TargetMode="External"/><Relationship Id="rId2980" Type="http://schemas.openxmlformats.org/officeDocument/2006/relationships/hyperlink" Target="http://www.munzee.com" TargetMode="External"/><Relationship Id="rId1650" Type="http://schemas.openxmlformats.org/officeDocument/2006/relationships/hyperlink" Target="https://www.munzee.com/m/barefootguru/3251/" TargetMode="External"/><Relationship Id="rId2981" Type="http://schemas.openxmlformats.org/officeDocument/2006/relationships/hyperlink" Target="https://www.munzee.com/m/BrotherWilliam/4442/" TargetMode="External"/><Relationship Id="rId1651" Type="http://schemas.openxmlformats.org/officeDocument/2006/relationships/hyperlink" Target="http://www.munzee.com" TargetMode="External"/><Relationship Id="rId2982" Type="http://schemas.openxmlformats.org/officeDocument/2006/relationships/hyperlink" Target="http://www.munzee.com" TargetMode="External"/><Relationship Id="rId1652" Type="http://schemas.openxmlformats.org/officeDocument/2006/relationships/hyperlink" Target="https://www.munzee.com/m/Derlame/18479/" TargetMode="External"/><Relationship Id="rId2983" Type="http://schemas.openxmlformats.org/officeDocument/2006/relationships/hyperlink" Target="https://www.munzee.com/m/Trappertje/5605/" TargetMode="External"/><Relationship Id="rId1642" Type="http://schemas.openxmlformats.org/officeDocument/2006/relationships/hyperlink" Target="https://www.munzee.com/m/floridafinder2/7296/" TargetMode="External"/><Relationship Id="rId2973" Type="http://schemas.openxmlformats.org/officeDocument/2006/relationships/hyperlink" Target="https://www.munzee.com/m/Anetzet/3560/" TargetMode="External"/><Relationship Id="rId1643" Type="http://schemas.openxmlformats.org/officeDocument/2006/relationships/hyperlink" Target="http://www.munzee.com" TargetMode="External"/><Relationship Id="rId2974" Type="http://schemas.openxmlformats.org/officeDocument/2006/relationships/hyperlink" Target="http://www.munzee.com" TargetMode="External"/><Relationship Id="rId1644" Type="http://schemas.openxmlformats.org/officeDocument/2006/relationships/hyperlink" Target="https://www.munzee.com/m/Franca/1966/" TargetMode="External"/><Relationship Id="rId2975" Type="http://schemas.openxmlformats.org/officeDocument/2006/relationships/hyperlink" Target="https://www.munzee.com/m/GroteSufferd/533/" TargetMode="External"/><Relationship Id="rId1645" Type="http://schemas.openxmlformats.org/officeDocument/2006/relationships/hyperlink" Target="http://www.munzee.com" TargetMode="External"/><Relationship Id="rId2976" Type="http://schemas.openxmlformats.org/officeDocument/2006/relationships/hyperlink" Target="http://www.munzee.com" TargetMode="External"/><Relationship Id="rId1646" Type="http://schemas.openxmlformats.org/officeDocument/2006/relationships/hyperlink" Target="https://www.munzee.com/m/TheFatCats/4323/" TargetMode="External"/><Relationship Id="rId2977" Type="http://schemas.openxmlformats.org/officeDocument/2006/relationships/hyperlink" Target="https://www.munzee.com/m/lison55/5903/" TargetMode="External"/><Relationship Id="rId1647" Type="http://schemas.openxmlformats.org/officeDocument/2006/relationships/hyperlink" Target="http://www.munzee.com" TargetMode="External"/><Relationship Id="rId2978" Type="http://schemas.openxmlformats.org/officeDocument/2006/relationships/hyperlink" Target="http://www.munzee.com" TargetMode="External"/><Relationship Id="rId1648" Type="http://schemas.openxmlformats.org/officeDocument/2006/relationships/hyperlink" Target="https://www.munzee.com/m/PcLocator/4255/admin/" TargetMode="External"/><Relationship Id="rId2979" Type="http://schemas.openxmlformats.org/officeDocument/2006/relationships/hyperlink" Target="https://www.munzee.com/m/ArtofEco/3142/admin/" TargetMode="External"/><Relationship Id="rId1649" Type="http://schemas.openxmlformats.org/officeDocument/2006/relationships/hyperlink" Target="http://www.munzee.com" TargetMode="External"/><Relationship Id="rId819" Type="http://schemas.openxmlformats.org/officeDocument/2006/relationships/hyperlink" Target="http://www.munzee.com" TargetMode="External"/><Relationship Id="rId818" Type="http://schemas.openxmlformats.org/officeDocument/2006/relationships/hyperlink" Target="https://www.munzee.com/m/Wangotango/1247" TargetMode="External"/><Relationship Id="rId817" Type="http://schemas.openxmlformats.org/officeDocument/2006/relationships/hyperlink" Target="http://www.munzee.com" TargetMode="External"/><Relationship Id="rId816" Type="http://schemas.openxmlformats.org/officeDocument/2006/relationships/hyperlink" Target="https://www.munzee.com/m/artofmunzeeing/3829/" TargetMode="External"/><Relationship Id="rId811" Type="http://schemas.openxmlformats.org/officeDocument/2006/relationships/hyperlink" Target="http://www.munzee.com" TargetMode="External"/><Relationship Id="rId810" Type="http://schemas.openxmlformats.org/officeDocument/2006/relationships/hyperlink" Target="https://www.munzee.com/m/123xilef/7019/" TargetMode="External"/><Relationship Id="rId815" Type="http://schemas.openxmlformats.org/officeDocument/2006/relationships/hyperlink" Target="http://www.munzee.com" TargetMode="External"/><Relationship Id="rId814" Type="http://schemas.openxmlformats.org/officeDocument/2006/relationships/hyperlink" Target="https://www.munzee.com/m/Aniara/6620/" TargetMode="External"/><Relationship Id="rId813" Type="http://schemas.openxmlformats.org/officeDocument/2006/relationships/hyperlink" Target="http://www.munzee.com" TargetMode="External"/><Relationship Id="rId812" Type="http://schemas.openxmlformats.org/officeDocument/2006/relationships/hyperlink" Target="https://www.munzee.com/m/BrotherWilliam/4072/admin/" TargetMode="External"/><Relationship Id="rId2970" Type="http://schemas.openxmlformats.org/officeDocument/2006/relationships/hyperlink" Target="http://www.munzee.com" TargetMode="External"/><Relationship Id="rId1640" Type="http://schemas.openxmlformats.org/officeDocument/2006/relationships/hyperlink" Target="https://www.munzee.com/m/BrotherWilliam/4911/admin/" TargetMode="External"/><Relationship Id="rId2971" Type="http://schemas.openxmlformats.org/officeDocument/2006/relationships/hyperlink" Target="https://www.munzee.com/m/Fossillady/4019" TargetMode="External"/><Relationship Id="rId1641" Type="http://schemas.openxmlformats.org/officeDocument/2006/relationships/hyperlink" Target="http://www.munzee.com" TargetMode="External"/><Relationship Id="rId2972" Type="http://schemas.openxmlformats.org/officeDocument/2006/relationships/hyperlink" Target="http://www.munzee.com" TargetMode="External"/><Relationship Id="rId1675" Type="http://schemas.openxmlformats.org/officeDocument/2006/relationships/hyperlink" Target="http://www.munzee.com" TargetMode="External"/><Relationship Id="rId1676" Type="http://schemas.openxmlformats.org/officeDocument/2006/relationships/hyperlink" Target="https://www.munzee.com/m/xrayneex/1718/" TargetMode="External"/><Relationship Id="rId1677" Type="http://schemas.openxmlformats.org/officeDocument/2006/relationships/hyperlink" Target="http://www.munzee.com" TargetMode="External"/><Relationship Id="rId1678" Type="http://schemas.openxmlformats.org/officeDocument/2006/relationships/hyperlink" Target="https://www.munzee.com/m/BrotherWilliam/4252/" TargetMode="External"/><Relationship Id="rId1679" Type="http://schemas.openxmlformats.org/officeDocument/2006/relationships/hyperlink" Target="http://www.munzee.com" TargetMode="External"/><Relationship Id="rId849" Type="http://schemas.openxmlformats.org/officeDocument/2006/relationships/hyperlink" Target="http://www.munzee.com" TargetMode="External"/><Relationship Id="rId844" Type="http://schemas.openxmlformats.org/officeDocument/2006/relationships/hyperlink" Target="https://www.munzee.com/m/Sinister/2259/admin/" TargetMode="External"/><Relationship Id="rId843" Type="http://schemas.openxmlformats.org/officeDocument/2006/relationships/hyperlink" Target="http://www.munzee.com" TargetMode="External"/><Relationship Id="rId842" Type="http://schemas.openxmlformats.org/officeDocument/2006/relationships/hyperlink" Target="https://www.munzee.com/m/MadDogLady/2236/admin/" TargetMode="External"/><Relationship Id="rId841" Type="http://schemas.openxmlformats.org/officeDocument/2006/relationships/hyperlink" Target="http://www.munzee.com" TargetMode="External"/><Relationship Id="rId848" Type="http://schemas.openxmlformats.org/officeDocument/2006/relationships/hyperlink" Target="https://www.munzee.com/m/Tinake1309/750" TargetMode="External"/><Relationship Id="rId847" Type="http://schemas.openxmlformats.org/officeDocument/2006/relationships/hyperlink" Target="http://www.munzee.com" TargetMode="External"/><Relationship Id="rId846" Type="http://schemas.openxmlformats.org/officeDocument/2006/relationships/hyperlink" Target="https://www.munzee.com/m/Drazoria/753" TargetMode="External"/><Relationship Id="rId845" Type="http://schemas.openxmlformats.org/officeDocument/2006/relationships/hyperlink" Target="http://www.munzee.com" TargetMode="External"/><Relationship Id="rId1670" Type="http://schemas.openxmlformats.org/officeDocument/2006/relationships/hyperlink" Target="https://www.munzee.com/m/Tinake1309/969" TargetMode="External"/><Relationship Id="rId840" Type="http://schemas.openxmlformats.org/officeDocument/2006/relationships/hyperlink" Target="https://www.munzee.com/m/fsafranek/4130/" TargetMode="External"/><Relationship Id="rId1671" Type="http://schemas.openxmlformats.org/officeDocument/2006/relationships/hyperlink" Target="http://www.munzee.com" TargetMode="External"/><Relationship Id="rId1672" Type="http://schemas.openxmlformats.org/officeDocument/2006/relationships/hyperlink" Target="https://www.munzee.com/m/Berg14/689/" TargetMode="External"/><Relationship Id="rId1673" Type="http://schemas.openxmlformats.org/officeDocument/2006/relationships/hyperlink" Target="http://www.munzee.com" TargetMode="External"/><Relationship Id="rId1674" Type="http://schemas.openxmlformats.org/officeDocument/2006/relationships/hyperlink" Target="https://www.munzee.com/m/Niks13/659/" TargetMode="External"/><Relationship Id="rId1664" Type="http://schemas.openxmlformats.org/officeDocument/2006/relationships/hyperlink" Target="https://www.munzee.com/m/TheFatCats/4336/" TargetMode="External"/><Relationship Id="rId2995" Type="http://schemas.openxmlformats.org/officeDocument/2006/relationships/hyperlink" Target="https://www.munzee.com/m/xrayneex/1851/" TargetMode="External"/><Relationship Id="rId1665" Type="http://schemas.openxmlformats.org/officeDocument/2006/relationships/hyperlink" Target="http://www.munzee.com" TargetMode="External"/><Relationship Id="rId2996" Type="http://schemas.openxmlformats.org/officeDocument/2006/relationships/hyperlink" Target="http://www.munzee.com" TargetMode="External"/><Relationship Id="rId1666" Type="http://schemas.openxmlformats.org/officeDocument/2006/relationships/hyperlink" Target="https://www.munzee.com/m/sverlaan/4767/" TargetMode="External"/><Relationship Id="rId2997" Type="http://schemas.openxmlformats.org/officeDocument/2006/relationships/hyperlink" Target="https://www.munzee.com/m/Mcpo/166/" TargetMode="External"/><Relationship Id="rId1667" Type="http://schemas.openxmlformats.org/officeDocument/2006/relationships/hyperlink" Target="http://www.munzee.com" TargetMode="External"/><Relationship Id="rId2998" Type="http://schemas.openxmlformats.org/officeDocument/2006/relationships/hyperlink" Target="http://www.munzee.com" TargetMode="External"/><Relationship Id="rId1668" Type="http://schemas.openxmlformats.org/officeDocument/2006/relationships/hyperlink" Target="https://www.munzee.com/m/Drazoria/1001" TargetMode="External"/><Relationship Id="rId2999" Type="http://schemas.openxmlformats.org/officeDocument/2006/relationships/hyperlink" Target="https://www.munzee.com/m/Bisquick2/4811/" TargetMode="External"/><Relationship Id="rId1669" Type="http://schemas.openxmlformats.org/officeDocument/2006/relationships/hyperlink" Target="http://www.munzee.com" TargetMode="External"/><Relationship Id="rId839" Type="http://schemas.openxmlformats.org/officeDocument/2006/relationships/hyperlink" Target="http://www.munzee.com" TargetMode="External"/><Relationship Id="rId838" Type="http://schemas.openxmlformats.org/officeDocument/2006/relationships/hyperlink" Target="https://www.munzee.com/m/EmileP68/2989/" TargetMode="External"/><Relationship Id="rId833" Type="http://schemas.openxmlformats.org/officeDocument/2006/relationships/hyperlink" Target="http://www.munzee.com" TargetMode="External"/><Relationship Id="rId832" Type="http://schemas.openxmlformats.org/officeDocument/2006/relationships/hyperlink" Target="https://www.munzee.com/m/belladivadee/3101/" TargetMode="External"/><Relationship Id="rId831" Type="http://schemas.openxmlformats.org/officeDocument/2006/relationships/hyperlink" Target="http://www.munzee.com" TargetMode="External"/><Relationship Id="rId830" Type="http://schemas.openxmlformats.org/officeDocument/2006/relationships/hyperlink" Target="https://www.munzee.com/m/OdinsFiRe/1535" TargetMode="External"/><Relationship Id="rId837" Type="http://schemas.openxmlformats.org/officeDocument/2006/relationships/hyperlink" Target="http://www.munzee.com" TargetMode="External"/><Relationship Id="rId836" Type="http://schemas.openxmlformats.org/officeDocument/2006/relationships/hyperlink" Target="https://www.munzee.com/m/PawPatrolThomas/2288/" TargetMode="External"/><Relationship Id="rId835" Type="http://schemas.openxmlformats.org/officeDocument/2006/relationships/hyperlink" Target="http://www.munzee.com" TargetMode="External"/><Relationship Id="rId834" Type="http://schemas.openxmlformats.org/officeDocument/2006/relationships/hyperlink" Target="https://www.munzee.com/m/sverlaan/4202/" TargetMode="External"/><Relationship Id="rId2990" Type="http://schemas.openxmlformats.org/officeDocument/2006/relationships/hyperlink" Target="http://www.munzee.com" TargetMode="External"/><Relationship Id="rId1660" Type="http://schemas.openxmlformats.org/officeDocument/2006/relationships/hyperlink" Target="https://www.munzee.com/m/belladivadee/3142" TargetMode="External"/><Relationship Id="rId2991" Type="http://schemas.openxmlformats.org/officeDocument/2006/relationships/hyperlink" Target="https://www.munzee.com/m/barefootguru/3277/" TargetMode="External"/><Relationship Id="rId1661" Type="http://schemas.openxmlformats.org/officeDocument/2006/relationships/hyperlink" Target="http://www.munzee.com" TargetMode="External"/><Relationship Id="rId2992" Type="http://schemas.openxmlformats.org/officeDocument/2006/relationships/hyperlink" Target="http://www.munzee.com" TargetMode="External"/><Relationship Id="rId1662" Type="http://schemas.openxmlformats.org/officeDocument/2006/relationships/hyperlink" Target="https://www.munzee.com/m/pawpatrolthomas/2688/" TargetMode="External"/><Relationship Id="rId2993" Type="http://schemas.openxmlformats.org/officeDocument/2006/relationships/hyperlink" Target="https://www.munzee.com/m/mrsg9064/8544/" TargetMode="External"/><Relationship Id="rId1663" Type="http://schemas.openxmlformats.org/officeDocument/2006/relationships/hyperlink" Target="http://www.munzee.com" TargetMode="External"/><Relationship Id="rId2994" Type="http://schemas.openxmlformats.org/officeDocument/2006/relationships/hyperlink" Target="http://www.munzee.com" TargetMode="External"/><Relationship Id="rId2148" Type="http://schemas.openxmlformats.org/officeDocument/2006/relationships/hyperlink" Target="https://www.munzee.com/m/PawPatrolThomas/4323/" TargetMode="External"/><Relationship Id="rId2149" Type="http://schemas.openxmlformats.org/officeDocument/2006/relationships/hyperlink" Target="http://www.munzee.com" TargetMode="External"/><Relationship Id="rId2140" Type="http://schemas.openxmlformats.org/officeDocument/2006/relationships/hyperlink" Target="https://www.munzee.com/m/Whatsoverthere/8114/admin/" TargetMode="External"/><Relationship Id="rId2141" Type="http://schemas.openxmlformats.org/officeDocument/2006/relationships/hyperlink" Target="http://www.munzee.com" TargetMode="External"/><Relationship Id="rId2142" Type="http://schemas.openxmlformats.org/officeDocument/2006/relationships/hyperlink" Target="https://www.munzee.com/m/belladivadee/3765/admin/" TargetMode="External"/><Relationship Id="rId2143" Type="http://schemas.openxmlformats.org/officeDocument/2006/relationships/hyperlink" Target="http://www.munzee.com" TargetMode="External"/><Relationship Id="rId2144" Type="http://schemas.openxmlformats.org/officeDocument/2006/relationships/hyperlink" Target="https://www.munzee.com/m/sverlaan/6306/" TargetMode="External"/><Relationship Id="rId2145" Type="http://schemas.openxmlformats.org/officeDocument/2006/relationships/hyperlink" Target="http://www.munzee.com" TargetMode="External"/><Relationship Id="rId2146" Type="http://schemas.openxmlformats.org/officeDocument/2006/relationships/hyperlink" Target="https://www.munzee.com/m/EmileP68/5153/" TargetMode="External"/><Relationship Id="rId2147" Type="http://schemas.openxmlformats.org/officeDocument/2006/relationships/hyperlink" Target="http://www.munzee.com" TargetMode="External"/><Relationship Id="rId2137" Type="http://schemas.openxmlformats.org/officeDocument/2006/relationships/hyperlink" Target="http://www.munzee.com" TargetMode="External"/><Relationship Id="rId2138" Type="http://schemas.openxmlformats.org/officeDocument/2006/relationships/hyperlink" Target="https://www.munzee.com/m/barefootguru/3398/" TargetMode="External"/><Relationship Id="rId2139" Type="http://schemas.openxmlformats.org/officeDocument/2006/relationships/hyperlink" Target="http://www.munzee.com" TargetMode="External"/><Relationship Id="rId2130" Type="http://schemas.openxmlformats.org/officeDocument/2006/relationships/hyperlink" Target="https://www.munzee.com/m/123xilef/13725/" TargetMode="External"/><Relationship Id="rId2131" Type="http://schemas.openxmlformats.org/officeDocument/2006/relationships/hyperlink" Target="http://www.munzee.com" TargetMode="External"/><Relationship Id="rId2132" Type="http://schemas.openxmlformats.org/officeDocument/2006/relationships/hyperlink" Target="https://www.munzee.com/m/Ellesche/827" TargetMode="External"/><Relationship Id="rId2133" Type="http://schemas.openxmlformats.org/officeDocument/2006/relationships/hyperlink" Target="http://www.munzee.com" TargetMode="External"/><Relationship Id="rId2134" Type="http://schemas.openxmlformats.org/officeDocument/2006/relationships/hyperlink" Target="https://www.munzee.com/m/mortonfox/22766/" TargetMode="External"/><Relationship Id="rId2135" Type="http://schemas.openxmlformats.org/officeDocument/2006/relationships/hyperlink" Target="http://www.munzee.com" TargetMode="External"/><Relationship Id="rId2136" Type="http://schemas.openxmlformats.org/officeDocument/2006/relationships/hyperlink" Target="https://www.munzee.com/m/raunas/12671" TargetMode="External"/><Relationship Id="rId2160" Type="http://schemas.openxmlformats.org/officeDocument/2006/relationships/hyperlink" Target="https://www.munzee.com/m/xrayneex/2330/" TargetMode="External"/><Relationship Id="rId2161" Type="http://schemas.openxmlformats.org/officeDocument/2006/relationships/hyperlink" Target="http://www.munzee.com" TargetMode="External"/><Relationship Id="rId2162" Type="http://schemas.openxmlformats.org/officeDocument/2006/relationships/hyperlink" Target="https://www.munzee.com/m/Drazoria/1585/" TargetMode="External"/><Relationship Id="rId2163" Type="http://schemas.openxmlformats.org/officeDocument/2006/relationships/hyperlink" Target="http://www.munzee.com" TargetMode="External"/><Relationship Id="rId2164" Type="http://schemas.openxmlformats.org/officeDocument/2006/relationships/hyperlink" Target="https://www.munzee.com/m/Tinake1309/1618/" TargetMode="External"/><Relationship Id="rId2165" Type="http://schemas.openxmlformats.org/officeDocument/2006/relationships/hyperlink" Target="http://www.munzee.com" TargetMode="External"/><Relationship Id="rId2166" Type="http://schemas.openxmlformats.org/officeDocument/2006/relationships/hyperlink" Target="https://www.munzee.com/m/Berg14/1536/" TargetMode="External"/><Relationship Id="rId2167" Type="http://schemas.openxmlformats.org/officeDocument/2006/relationships/hyperlink" Target="http://www.munzee.com" TargetMode="External"/><Relationship Id="rId2168" Type="http://schemas.openxmlformats.org/officeDocument/2006/relationships/hyperlink" Target="https://www.munzee.com/m/Niks13/1487/" TargetMode="External"/><Relationship Id="rId2169" Type="http://schemas.openxmlformats.org/officeDocument/2006/relationships/hyperlink" Target="http://www.munzee.com" TargetMode="External"/><Relationship Id="rId2159" Type="http://schemas.openxmlformats.org/officeDocument/2006/relationships/hyperlink" Target="http://www.munzee.com" TargetMode="External"/><Relationship Id="rId2150" Type="http://schemas.openxmlformats.org/officeDocument/2006/relationships/hyperlink" Target="https://www.munzee.com/m/BrotherWilliam/5234/admin/" TargetMode="External"/><Relationship Id="rId2151" Type="http://schemas.openxmlformats.org/officeDocument/2006/relationships/hyperlink" Target="http://www.munzee.com" TargetMode="External"/><Relationship Id="rId2152" Type="http://schemas.openxmlformats.org/officeDocument/2006/relationships/hyperlink" Target="https://www.munzee.com/m/ArtofEco/3541/admin/" TargetMode="External"/><Relationship Id="rId2153" Type="http://schemas.openxmlformats.org/officeDocument/2006/relationships/hyperlink" Target="http://www.munzee.com" TargetMode="External"/><Relationship Id="rId2154" Type="http://schemas.openxmlformats.org/officeDocument/2006/relationships/hyperlink" Target="https://www.munzee.com/m/J1Huisman/14314/" TargetMode="External"/><Relationship Id="rId2155" Type="http://schemas.openxmlformats.org/officeDocument/2006/relationships/hyperlink" Target="http://www.munzee.com" TargetMode="External"/><Relationship Id="rId2156" Type="http://schemas.openxmlformats.org/officeDocument/2006/relationships/hyperlink" Target="https://www.munzee.com/m/fsafranek/5374/" TargetMode="External"/><Relationship Id="rId2157" Type="http://schemas.openxmlformats.org/officeDocument/2006/relationships/hyperlink" Target="http://www.munzee.com" TargetMode="External"/><Relationship Id="rId2158" Type="http://schemas.openxmlformats.org/officeDocument/2006/relationships/hyperlink" Target="https://www.munzee.com/m/raunas/7437" TargetMode="External"/><Relationship Id="rId2104" Type="http://schemas.openxmlformats.org/officeDocument/2006/relationships/hyperlink" Target="https://www.munzee.com/m/Anetzet/4684/" TargetMode="External"/><Relationship Id="rId2105" Type="http://schemas.openxmlformats.org/officeDocument/2006/relationships/hyperlink" Target="http://www.munzee.com" TargetMode="External"/><Relationship Id="rId2106" Type="http://schemas.openxmlformats.org/officeDocument/2006/relationships/hyperlink" Target="https://www.munzee.com/m/crscousins/7150/" TargetMode="External"/><Relationship Id="rId2107" Type="http://schemas.openxmlformats.org/officeDocument/2006/relationships/hyperlink" Target="http://www.munzee.com" TargetMode="External"/><Relationship Id="rId2108" Type="http://schemas.openxmlformats.org/officeDocument/2006/relationships/hyperlink" Target="https://www.munzee.com/m/Bungle/10528" TargetMode="External"/><Relationship Id="rId2109" Type="http://schemas.openxmlformats.org/officeDocument/2006/relationships/hyperlink" Target="http://www.munzee.com" TargetMode="External"/><Relationship Id="rId2100" Type="http://schemas.openxmlformats.org/officeDocument/2006/relationships/hyperlink" Target="https://www.munzee.com/m/lupo6/6879/" TargetMode="External"/><Relationship Id="rId2101" Type="http://schemas.openxmlformats.org/officeDocument/2006/relationships/hyperlink" Target="http://www.munzee.com" TargetMode="External"/><Relationship Id="rId2102" Type="http://schemas.openxmlformats.org/officeDocument/2006/relationships/hyperlink" Target="https://www.munzee.com/m/OdinsFiRe/2062/" TargetMode="External"/><Relationship Id="rId2103" Type="http://schemas.openxmlformats.org/officeDocument/2006/relationships/hyperlink" Target="http://www.munzee.com" TargetMode="External"/><Relationship Id="rId899" Type="http://schemas.openxmlformats.org/officeDocument/2006/relationships/hyperlink" Target="http://www.munzee.com" TargetMode="External"/><Relationship Id="rId898" Type="http://schemas.openxmlformats.org/officeDocument/2006/relationships/hyperlink" Target="https://www.munzee.com/m/artofmunzeeing/3820/" TargetMode="External"/><Relationship Id="rId897" Type="http://schemas.openxmlformats.org/officeDocument/2006/relationships/hyperlink" Target="http://www.munzee.com" TargetMode="External"/><Relationship Id="rId896" Type="http://schemas.openxmlformats.org/officeDocument/2006/relationships/hyperlink" Target="https://www.munzee.com/m/MunziMeg/4452/" TargetMode="External"/><Relationship Id="rId891" Type="http://schemas.openxmlformats.org/officeDocument/2006/relationships/hyperlink" Target="http://www.munzee.com" TargetMode="External"/><Relationship Id="rId890" Type="http://schemas.openxmlformats.org/officeDocument/2006/relationships/hyperlink" Target="https://www.munzee.com/m/ArtofEco/2959/admin/" TargetMode="External"/><Relationship Id="rId895" Type="http://schemas.openxmlformats.org/officeDocument/2006/relationships/hyperlink" Target="http://www.munzee.com" TargetMode="External"/><Relationship Id="rId894" Type="http://schemas.openxmlformats.org/officeDocument/2006/relationships/hyperlink" Target="https://www.munzee.com/m/Sinister/2248/admin/" TargetMode="External"/><Relationship Id="rId893" Type="http://schemas.openxmlformats.org/officeDocument/2006/relationships/hyperlink" Target="http://www.munzee.com" TargetMode="External"/><Relationship Id="rId892" Type="http://schemas.openxmlformats.org/officeDocument/2006/relationships/hyperlink" Target="https://www.munzee.com/m/MadDogLady/2222/admin/" TargetMode="External"/><Relationship Id="rId2126" Type="http://schemas.openxmlformats.org/officeDocument/2006/relationships/hyperlink" Target="https://www.munzee.com/m/res2100/872" TargetMode="External"/><Relationship Id="rId2127" Type="http://schemas.openxmlformats.org/officeDocument/2006/relationships/hyperlink" Target="http://www.munzee.com" TargetMode="External"/><Relationship Id="rId2128" Type="http://schemas.openxmlformats.org/officeDocument/2006/relationships/hyperlink" Target="https://www.munzee.com/m/TheFrog/3574/" TargetMode="External"/><Relationship Id="rId2129" Type="http://schemas.openxmlformats.org/officeDocument/2006/relationships/hyperlink" Target="http://www.munzee.com" TargetMode="External"/><Relationship Id="rId2120" Type="http://schemas.openxmlformats.org/officeDocument/2006/relationships/hyperlink" Target="https://www.munzee.com/m/Bisquick2/7138/" TargetMode="External"/><Relationship Id="rId2121" Type="http://schemas.openxmlformats.org/officeDocument/2006/relationships/hyperlink" Target="http://www.munzee.com" TargetMode="External"/><Relationship Id="rId2122" Type="http://schemas.openxmlformats.org/officeDocument/2006/relationships/hyperlink" Target="https://www.munzee.com/m/Whatsoverthere/8248/admin/" TargetMode="External"/><Relationship Id="rId2123" Type="http://schemas.openxmlformats.org/officeDocument/2006/relationships/hyperlink" Target="http://www.munzee.com" TargetMode="External"/><Relationship Id="rId2124" Type="http://schemas.openxmlformats.org/officeDocument/2006/relationships/hyperlink" Target="https://www.munzee.com/m/Oppresso1983/3782/admin/" TargetMode="External"/><Relationship Id="rId2125" Type="http://schemas.openxmlformats.org/officeDocument/2006/relationships/hyperlink" Target="http://www.munzee.com" TargetMode="External"/><Relationship Id="rId2115" Type="http://schemas.openxmlformats.org/officeDocument/2006/relationships/hyperlink" Target="http://www.munzee.com" TargetMode="External"/><Relationship Id="rId2116" Type="http://schemas.openxmlformats.org/officeDocument/2006/relationships/hyperlink" Target="https://www.munzee.com/m/Whatsoverthere/8478/admin/" TargetMode="External"/><Relationship Id="rId2117" Type="http://schemas.openxmlformats.org/officeDocument/2006/relationships/hyperlink" Target="http://www.munzee.com" TargetMode="External"/><Relationship Id="rId2118" Type="http://schemas.openxmlformats.org/officeDocument/2006/relationships/hyperlink" Target="https://www.munzee.com/m/Oppresso1983/3845/admin/" TargetMode="External"/><Relationship Id="rId2119" Type="http://schemas.openxmlformats.org/officeDocument/2006/relationships/hyperlink" Target="http://www.munzee.com" TargetMode="External"/><Relationship Id="rId2110" Type="http://schemas.openxmlformats.org/officeDocument/2006/relationships/hyperlink" Target="https://www.munzee.com/m/rita85gto/5115/" TargetMode="External"/><Relationship Id="rId2111" Type="http://schemas.openxmlformats.org/officeDocument/2006/relationships/hyperlink" Target="http://www.munzee.com" TargetMode="External"/><Relationship Id="rId2112" Type="http://schemas.openxmlformats.org/officeDocument/2006/relationships/hyperlink" Target="https://www.munzee.com/m/Wangotango/1369/" TargetMode="External"/><Relationship Id="rId2113" Type="http://schemas.openxmlformats.org/officeDocument/2006/relationships/hyperlink" Target="http://www.munzee.com" TargetMode="External"/><Relationship Id="rId2114" Type="http://schemas.openxmlformats.org/officeDocument/2006/relationships/hyperlink" Target="https://www.munzee.com/m/cbf600/3585/" TargetMode="Externa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Pronkrug/2812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cvdchiller/8750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Vonney/2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xrayneex/1555/" TargetMode="External"/><Relationship Id="rId49" Type="http://schemas.openxmlformats.org/officeDocument/2006/relationships/hyperlink" Target="https://www.munzee.com/m/felixbongers/7920/" TargetMode="External"/><Relationship Id="rId31" Type="http://schemas.openxmlformats.org/officeDocument/2006/relationships/hyperlink" Target="https://www.munzee.com/m/WandelKuub/5693/admin/convert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fsafranek/4675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DutchLibrarian/476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Anetzet/3160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Theceoiksjes/5714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Hanry/1008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DutchLibrarian/432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DeNachtwaker/5776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Skater9468/450" TargetMode="External"/><Relationship Id="rId29" Type="http://schemas.openxmlformats.org/officeDocument/2006/relationships/hyperlink" Target="https://www.munzee.com/m/DutchLibrarian/438" TargetMode="External"/><Relationship Id="rId11" Type="http://schemas.openxmlformats.org/officeDocument/2006/relationships/hyperlink" Target="https://www.munzee.com/m/J1Huisman/11590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Pinkeltje/1408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SuperKoe/13096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HtV/7523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Ronella42/196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155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7023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Aniara/6961/" TargetMode="External"/><Relationship Id="rId89" Type="http://schemas.openxmlformats.org/officeDocument/2006/relationships/hyperlink" Target="https://www.munzee.com/m/Human01d/4071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Lusifeerus/1074/" TargetMode="External"/><Relationship Id="rId73" Type="http://schemas.openxmlformats.org/officeDocument/2006/relationships/hyperlink" Target="https://www.munzee.com/m/Iphoney/7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roughdraft/8948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vadotech/8542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Pamster13/4135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raftjen/2350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Hanry/1007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MrsSourflush/1465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MariaHTJ/8563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destolkjes4ever/3014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denali0407/15173/" TargetMode="External"/><Relationship Id="rId51" Type="http://schemas.openxmlformats.org/officeDocument/2006/relationships/hyperlink" Target="https://www.munzee.com/m/feikjen/8006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Trappertje/5102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MrsSourflush/1468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533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Rhaegal/7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Trappertje/5107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ChudleighTraveller/1183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does/677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lostsole68/3922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Liekensboys/98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BartWullems/1950" TargetMode="External"/><Relationship Id="rId2" Type="http://schemas.openxmlformats.org/officeDocument/2006/relationships/hyperlink" Target="https://www.munzee.com/map/u1hpz67zb/16.4" TargetMode="External"/><Relationship Id="rId3" Type="http://schemas.openxmlformats.org/officeDocument/2006/relationships/hyperlink" Target="https://www.munzee.com/m/belladivadee/3184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3222/" TargetMode="External"/><Relationship Id="rId5" Type="http://schemas.openxmlformats.org/officeDocument/2006/relationships/hyperlink" Target="https://www.munzee.com/m/sverlaan/4452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506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19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blutengel/3010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16.xml"/><Relationship Id="rId103" Type="http://schemas.openxmlformats.org/officeDocument/2006/relationships/hyperlink" Target="https://www.munzee.com/m/NikitaStolk/1053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MrsSourflush/1463/" TargetMode="External"/><Relationship Id="rId100" Type="http://schemas.openxmlformats.org/officeDocument/2006/relationships/hyperlink" Target="http://www.munzee.com" TargetMode="External"/></Relationships>
</file>

<file path=xl/worksheets/_rels/sheet2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83" Type="http://schemas.openxmlformats.org/officeDocument/2006/relationships/table" Target="../tables/table1.xm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Anetzet/4843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://www.munzee.com" TargetMode="External"/><Relationship Id="rId80" Type="http://schemas.openxmlformats.org/officeDocument/2006/relationships/hyperlink" Target="http://www.munzee.com" TargetMode="External"/><Relationship Id="rId81" Type="http://schemas.openxmlformats.org/officeDocument/2006/relationships/drawing" Target="../drawings/drawing2.xml"/><Relationship Id="rId1" Type="http://schemas.openxmlformats.org/officeDocument/2006/relationships/hyperlink" Target="https://www.munzee.com/map/gcngq9b7b/17" TargetMode="External"/><Relationship Id="rId2" Type="http://schemas.openxmlformats.org/officeDocument/2006/relationships/hyperlink" Target="https://www.munzee.com/m/raunas/13089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sverlaan/6363/" TargetMode="External"/><Relationship Id="rId9" Type="http://schemas.openxmlformats.org/officeDocument/2006/relationships/hyperlink" Target="http://www.munzee.com" TargetMode="External"/><Relationship Id="rId48" Type="http://schemas.openxmlformats.org/officeDocument/2006/relationships/hyperlink" Target="https://www.munzee.com/m/cbf600/3781/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PawPatrolThomas/4389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EmileP68/5025/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31" Type="http://schemas.openxmlformats.org/officeDocument/2006/relationships/hyperlink" Target="http://www.munzee.com" TargetMode="External"/><Relationship Id="rId75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Niks13/1478/" TargetMode="External"/><Relationship Id="rId74" Type="http://schemas.openxmlformats.org/officeDocument/2006/relationships/hyperlink" Target="https://www.munzee.com/m/mortonfox/24201/" TargetMode="External"/><Relationship Id="rId33" Type="http://schemas.openxmlformats.org/officeDocument/2006/relationships/hyperlink" Target="http://www.munzee.com" TargetMode="External"/><Relationship Id="rId77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lupo6/6723" TargetMode="External"/><Relationship Id="rId76" Type="http://schemas.openxmlformats.org/officeDocument/2006/relationships/hyperlink" Target="https://www.munzee.com/m/Ellesche/841" TargetMode="External"/><Relationship Id="rId35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barefootguru/5057/" TargetMode="External"/><Relationship Id="rId34" Type="http://schemas.openxmlformats.org/officeDocument/2006/relationships/hyperlink" Target="https://www.munzee.com/m/crscousins/4089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://www.munzee.com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Wangotango/1377/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s://www.munzee.com/m/OdinsFiRe/2089/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://www.munzee.com" TargetMode="External"/><Relationship Id="rId20" Type="http://schemas.openxmlformats.org/officeDocument/2006/relationships/hyperlink" Target="https://www.munzee.com/m/rita85gto/3864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://www.munzee.com" TargetMode="External"/><Relationship Id="rId22" Type="http://schemas.openxmlformats.org/officeDocument/2006/relationships/hyperlink" Target="https://www.munzee.com/m/xrayneex/2323/" TargetMode="External"/><Relationship Id="rId66" Type="http://schemas.openxmlformats.org/officeDocument/2006/relationships/hyperlink" Target="http://www.munzee.com" TargetMode="External"/><Relationship Id="rId21" Type="http://schemas.openxmlformats.org/officeDocument/2006/relationships/hyperlink" Target="http://www.munzee.com" TargetMode="External"/><Relationship Id="rId65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Drazoria/1651/" TargetMode="External"/><Relationship Id="rId68" Type="http://schemas.openxmlformats.org/officeDocument/2006/relationships/hyperlink" Target="https://www.munzee.com/m/res2100/887" TargetMode="External"/><Relationship Id="rId23" Type="http://schemas.openxmlformats.org/officeDocument/2006/relationships/hyperlink" Target="http://www.munzee.com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://www.munzee.com" TargetMode="External"/><Relationship Id="rId26" Type="http://schemas.openxmlformats.org/officeDocument/2006/relationships/hyperlink" Target="https://www.munzee.com/m/Tinake1309/1614/" TargetMode="External"/><Relationship Id="rId25" Type="http://schemas.openxmlformats.org/officeDocument/2006/relationships/hyperlink" Target="http://www.munzee.com" TargetMode="External"/><Relationship Id="rId69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Berg14/1522/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://www.munzee.com" TargetMode="External"/><Relationship Id="rId52" Type="http://schemas.openxmlformats.org/officeDocument/2006/relationships/hyperlink" Target="https://www.munzee.com/m/CzPeet/6724/admin/map/" TargetMode="External"/><Relationship Id="rId11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TheFrog/6341/" TargetMode="External"/><Relationship Id="rId10" Type="http://schemas.openxmlformats.org/officeDocument/2006/relationships/hyperlink" Target="https://www.munzee.com/m/Bungle/10527" TargetMode="External"/><Relationship Id="rId54" Type="http://schemas.openxmlformats.org/officeDocument/2006/relationships/hyperlink" Target="http://www.munzee.com" TargetMode="External"/><Relationship Id="rId13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123xilef/13729/" TargetMode="External"/><Relationship Id="rId12" Type="http://schemas.openxmlformats.org/officeDocument/2006/relationships/hyperlink" Target="https://www.munzee.com/m/BrotherWilliam/5400/" TargetMode="External"/><Relationship Id="rId56" Type="http://schemas.openxmlformats.org/officeDocument/2006/relationships/hyperlink" Target="http://www.munzee.com" TargetMode="External"/><Relationship Id="rId15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Bisquick2/7027/" TargetMode="External"/><Relationship Id="rId14" Type="http://schemas.openxmlformats.org/officeDocument/2006/relationships/hyperlink" Target="https://www.munzee.com/m/ArtofEco/3680/" TargetMode="External"/><Relationship Id="rId58" Type="http://schemas.openxmlformats.org/officeDocument/2006/relationships/hyperlink" Target="http://www.munzee.com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J1Huisman/13460/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fsafranek/5478/" TargetMode="External"/></Relationships>
</file>

<file path=xl/worksheets/_rels/sheet20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unzee.com/m/Franca/1075/" TargetMode="External"/><Relationship Id="rId42" Type="http://schemas.openxmlformats.org/officeDocument/2006/relationships/hyperlink" Target="https://www.munzee.com/m/Derlame/18656/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s://www.munzee.com/m/Anetzet/3404/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s://www.munzee.com/m/Franca/1068/" TargetMode="External"/><Relationship Id="rId45" Type="http://schemas.openxmlformats.org/officeDocument/2006/relationships/hyperlink" Target="http://www.munzee.com" TargetMode="External"/><Relationship Id="rId48" Type="http://schemas.openxmlformats.org/officeDocument/2006/relationships/hyperlink" Target="https://www.munzee.com/m/amadoreugen/5868/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://www.munzee.com" TargetMode="External"/><Relationship Id="rId31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Pinkeltje/1601/" TargetMode="External"/><Relationship Id="rId33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Krauseengineer/2449" TargetMode="External"/><Relationship Id="rId35" Type="http://schemas.openxmlformats.org/officeDocument/2006/relationships/hyperlink" Target="http://www.munzee.com" TargetMode="External"/><Relationship Id="rId34" Type="http://schemas.openxmlformats.org/officeDocument/2006/relationships/hyperlink" Target="https://www.munzee.com/m/GroteSufferd/527/admin/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ArtofEco/3064/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s://www.munzee.com/m/5Star/6129" TargetMode="External"/><Relationship Id="rId20" Type="http://schemas.openxmlformats.org/officeDocument/2006/relationships/hyperlink" Target="https://www.munzee.com/m/BrotherWilliam/4252/" TargetMode="External"/><Relationship Id="rId22" Type="http://schemas.openxmlformats.org/officeDocument/2006/relationships/hyperlink" Target="https://www.munzee.com/m/PcLocator/4254/admin/" TargetMode="External"/><Relationship Id="rId21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barefootguru/3254/" TargetMode="External"/><Relationship Id="rId23" Type="http://schemas.openxmlformats.org/officeDocument/2006/relationships/hyperlink" Target="http://www.munzee.com" TargetMode="External"/><Relationship Id="rId26" Type="http://schemas.openxmlformats.org/officeDocument/2006/relationships/hyperlink" Target="https://www.munzee.com/m/amadoreugen/5861" TargetMode="External"/><Relationship Id="rId25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J1Huisman/11836/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11" Type="http://schemas.openxmlformats.org/officeDocument/2006/relationships/hyperlink" Target="http://www.munzee.com" TargetMode="External"/><Relationship Id="rId10" Type="http://schemas.openxmlformats.org/officeDocument/2006/relationships/hyperlink" Target="https://www.munzee.com/m/Drazoria/1001" TargetMode="External"/><Relationship Id="rId13" Type="http://schemas.openxmlformats.org/officeDocument/2006/relationships/hyperlink" Target="http://www.munzee.com" TargetMode="External"/><Relationship Id="rId12" Type="http://schemas.openxmlformats.org/officeDocument/2006/relationships/hyperlink" Target="https://www.munzee.com/m/Tinake1309/969" TargetMode="External"/><Relationship Id="rId15" Type="http://schemas.openxmlformats.org/officeDocument/2006/relationships/hyperlink" Target="http://www.munzee.com" TargetMode="External"/><Relationship Id="rId14" Type="http://schemas.openxmlformats.org/officeDocument/2006/relationships/hyperlink" Target="https://www.munzee.com/m/Berg14/689/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Niks13/659/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xrayneex/1718/" TargetMode="External"/><Relationship Id="rId84" Type="http://schemas.openxmlformats.org/officeDocument/2006/relationships/hyperlink" Target="https://www.munzee.com/m/123xilef/8201/" TargetMode="External"/><Relationship Id="rId83" Type="http://schemas.openxmlformats.org/officeDocument/2006/relationships/hyperlink" Target="http://www.munzee.com" TargetMode="External"/><Relationship Id="rId86" Type="http://schemas.openxmlformats.org/officeDocument/2006/relationships/hyperlink" Target="https://www.munzee.com/m/amadoreugen/5822/" TargetMode="External"/><Relationship Id="rId85" Type="http://schemas.openxmlformats.org/officeDocument/2006/relationships/hyperlink" Target="http://www.munzee.com" TargetMode="External"/><Relationship Id="rId88" Type="http://schemas.openxmlformats.org/officeDocument/2006/relationships/hyperlink" Target="https://www.munzee.com/m/lupo6/2663/" TargetMode="External"/><Relationship Id="rId87" Type="http://schemas.openxmlformats.org/officeDocument/2006/relationships/hyperlink" Target="http://www.munzee.com" TargetMode="External"/><Relationship Id="rId89" Type="http://schemas.openxmlformats.org/officeDocument/2006/relationships/hyperlink" Target="http://www.munzee.com" TargetMode="External"/><Relationship Id="rId80" Type="http://schemas.openxmlformats.org/officeDocument/2006/relationships/hyperlink" Target="https://www.munzee.com/m/ChudleighTraveller/1338/" TargetMode="External"/><Relationship Id="rId82" Type="http://schemas.openxmlformats.org/officeDocument/2006/relationships/hyperlink" Target="https://www.munzee.com/m/TheFrog/5204/" TargetMode="External"/><Relationship Id="rId81" Type="http://schemas.openxmlformats.org/officeDocument/2006/relationships/hyperlink" Target="http://www.munzee.com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s://www.munzee.com/m/wally62/4343/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s://www.munzee.com/m/Trappertje/5537/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s://www.munzee.com/m/Ellesche/748/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s://www.munzee.com/m/Aniara/7868/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s://www.munzee.com/m/Bisquick2/4773/" TargetMode="External"/><Relationship Id="rId62" Type="http://schemas.openxmlformats.org/officeDocument/2006/relationships/hyperlink" Target="https://www.munzee.com/m/TheFatCats/4327/" TargetMode="External"/><Relationship Id="rId61" Type="http://schemas.openxmlformats.org/officeDocument/2006/relationships/hyperlink" Target="http://www.munzee.com" TargetMode="External"/><Relationship Id="rId64" Type="http://schemas.openxmlformats.org/officeDocument/2006/relationships/hyperlink" Target="https://www.munzee.com/m/EmileP68/3902/" TargetMode="External"/><Relationship Id="rId63" Type="http://schemas.openxmlformats.org/officeDocument/2006/relationships/hyperlink" Target="http://www.munzee.com" TargetMode="External"/><Relationship Id="rId66" Type="http://schemas.openxmlformats.org/officeDocument/2006/relationships/hyperlink" Target="https://www.munzee.com/m/OdinsFiRe/1958/" TargetMode="External"/><Relationship Id="rId65" Type="http://schemas.openxmlformats.org/officeDocument/2006/relationships/hyperlink" Target="http://www.munzee.com" TargetMode="External"/><Relationship Id="rId68" Type="http://schemas.openxmlformats.org/officeDocument/2006/relationships/hyperlink" Target="https://www.munzee.com/m/res2100/761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s://www.munzee.com/m/Fossillady/3500" TargetMode="External"/><Relationship Id="rId69" Type="http://schemas.openxmlformats.org/officeDocument/2006/relationships/hyperlink" Target="http://www.munzee.com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s://www.munzee.com/m/JackSparrow/22161" TargetMode="External"/><Relationship Id="rId53" Type="http://schemas.openxmlformats.org/officeDocument/2006/relationships/hyperlink" Target="http://www.munzee.com" TargetMode="External"/><Relationship Id="rId52" Type="http://schemas.openxmlformats.org/officeDocument/2006/relationships/hyperlink" Target="https://www.munzee.com/m/mding4gold/4983" TargetMode="External"/><Relationship Id="rId55" Type="http://schemas.openxmlformats.org/officeDocument/2006/relationships/hyperlink" Target="http://www.munzee.com" TargetMode="External"/><Relationship Id="rId54" Type="http://schemas.openxmlformats.org/officeDocument/2006/relationships/hyperlink" Target="https://www.munzee.com/m/lison55/5750/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s://www.munzee.com/m/cbf600/2586/" TargetMode="External"/><Relationship Id="rId59" Type="http://schemas.openxmlformats.org/officeDocument/2006/relationships/hyperlink" Target="http://www.munzee.com" TargetMode="External"/><Relationship Id="rId58" Type="http://schemas.openxmlformats.org/officeDocument/2006/relationships/hyperlink" Target="https://www.munzee.com/m/fsafranek/4982/" TargetMode="External"/><Relationship Id="rId95" Type="http://schemas.openxmlformats.org/officeDocument/2006/relationships/hyperlink" Target="http://www.munzee.com" TargetMode="External"/><Relationship Id="rId94" Type="http://schemas.openxmlformats.org/officeDocument/2006/relationships/hyperlink" Target="https://www.munzee.com/m/cbf600/4085/" TargetMode="External"/><Relationship Id="rId97" Type="http://schemas.openxmlformats.org/officeDocument/2006/relationships/hyperlink" Target="http://www.munzee.com" TargetMode="External"/><Relationship Id="rId96" Type="http://schemas.openxmlformats.org/officeDocument/2006/relationships/hyperlink" Target="https://www.munzee.com/m/lupo6/2668/" TargetMode="External"/><Relationship Id="rId99" Type="http://schemas.openxmlformats.org/officeDocument/2006/relationships/hyperlink" Target="http://www.munzee.com" TargetMode="External"/><Relationship Id="rId98" Type="http://schemas.openxmlformats.org/officeDocument/2006/relationships/hyperlink" Target="https://www.munzee.com/m/cbf600/4086/" TargetMode="External"/><Relationship Id="rId91" Type="http://schemas.openxmlformats.org/officeDocument/2006/relationships/hyperlink" Target="http://www.munzee.com" TargetMode="External"/><Relationship Id="rId90" Type="http://schemas.openxmlformats.org/officeDocument/2006/relationships/hyperlink" Target="https://www.munzee.com/m/raunas/7127" TargetMode="External"/><Relationship Id="rId93" Type="http://schemas.openxmlformats.org/officeDocument/2006/relationships/hyperlink" Target="http://www.munzee.com" TargetMode="External"/><Relationship Id="rId92" Type="http://schemas.openxmlformats.org/officeDocument/2006/relationships/hyperlink" Target="https://www.munzee.com/m/Wangotango/1591/" TargetMode="External"/><Relationship Id="rId1" Type="http://schemas.openxmlformats.org/officeDocument/2006/relationships/hyperlink" Target="https://www.munzee.com/map/gcr8t2n36/17" TargetMode="External"/><Relationship Id="rId2" Type="http://schemas.openxmlformats.org/officeDocument/2006/relationships/hyperlink" Target="https://www.munzee.com/m/belladivadee/3142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pawpatrolthomas/2688/" TargetMode="External"/><Relationship Id="rId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TheFatCats/4336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sverlaan/4767/" TargetMode="External"/><Relationship Id="rId106" Type="http://schemas.openxmlformats.org/officeDocument/2006/relationships/drawing" Target="../drawings/drawing20.xml"/><Relationship Id="rId105" Type="http://schemas.openxmlformats.org/officeDocument/2006/relationships/hyperlink" Target="http://www.munzee.com" TargetMode="External"/><Relationship Id="rId104" Type="http://schemas.openxmlformats.org/officeDocument/2006/relationships/hyperlink" Target="https://www.munzee.com/m/amadoreugen/5756" TargetMode="External"/><Relationship Id="rId108" Type="http://schemas.openxmlformats.org/officeDocument/2006/relationships/table" Target="../tables/table17.xml"/><Relationship Id="rId103" Type="http://schemas.openxmlformats.org/officeDocument/2006/relationships/hyperlink" Target="http://www.munzee.com" TargetMode="External"/><Relationship Id="rId102" Type="http://schemas.openxmlformats.org/officeDocument/2006/relationships/hyperlink" Target="https://www.munzee.com/m/xrayneex/1702/" TargetMode="External"/><Relationship Id="rId101" Type="http://schemas.openxmlformats.org/officeDocument/2006/relationships/hyperlink" Target="http://www.munzee.com" TargetMode="External"/><Relationship Id="rId100" Type="http://schemas.openxmlformats.org/officeDocument/2006/relationships/hyperlink" Target="https://www.munzee.com/m/TheFatCats/4331/" TargetMode="External"/></Relationships>
</file>

<file path=xl/worksheets/_rels/sheet21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IggiePiggie/1766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ArtofEco/2871/admin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682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babyw/2957/" TargetMode="External"/><Relationship Id="rId49" Type="http://schemas.openxmlformats.org/officeDocument/2006/relationships/hyperlink" Target="https://www.munzee.com/m/Trappertje/4583/" TargetMode="External"/><Relationship Id="rId31" Type="http://schemas.openxmlformats.org/officeDocument/2006/relationships/hyperlink" Target="https://www.munzee.com/m/WiseOldWizard/3930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hoekraam/6623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xrayneex/1328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arefootguru/3090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BrotherWilliam/3858/admin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Pinkeltje/1082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Bambinacattiva/706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sverlaan/4146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EmileP68/2925/" TargetMode="External"/><Relationship Id="rId29" Type="http://schemas.openxmlformats.org/officeDocument/2006/relationships/hyperlink" Target="https://www.munzee.com/m/PawPatrolThomas/2214/" TargetMode="External"/><Relationship Id="rId11" Type="http://schemas.openxmlformats.org/officeDocument/2006/relationships/hyperlink" Target="https://www.munzee.com/m/Wangotango/1169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Lanyasummer/4145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J1Huisman/11202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Dazzle007/768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lison55/5129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046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6737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amigoth2de/1659/" TargetMode="External"/><Relationship Id="rId89" Type="http://schemas.openxmlformats.org/officeDocument/2006/relationships/hyperlink" Target="https://www.munzee.com/m/halizwein/11149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xrayneex/1321/" TargetMode="External"/><Relationship Id="rId73" Type="http://schemas.openxmlformats.org/officeDocument/2006/relationships/hyperlink" Target="https://www.munzee.com/m/GroteSufferd/300/admin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Bambinacattiva/700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hoekraam/6629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Drazoria/642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hoekraam/6624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ChickenRun/10578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JackSparrow/19344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MeanderingMonkeys/13289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Clareppuccino/4003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JackSparrow/19419" TargetMode="External"/><Relationship Id="rId51" Type="http://schemas.openxmlformats.org/officeDocument/2006/relationships/hyperlink" Target="https://www.munzee.com/m/belladivadee/2988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geckofreund/4323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benotje/1327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384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Bisquick2/3976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Niks13/395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Derlame/12347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JackSparrow/19320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Tinake1309/642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Berg14/428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JackSparrow/18875" TargetMode="External"/><Relationship Id="rId2" Type="http://schemas.openxmlformats.org/officeDocument/2006/relationships/hyperlink" Target="https://www.munzee.com/map/u33e0rtz4/16" TargetMode="External"/><Relationship Id="rId3" Type="http://schemas.openxmlformats.org/officeDocument/2006/relationships/hyperlink" Target="https://www.munzee.com/m/5Star/5652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fsafranek/4141/" TargetMode="External"/><Relationship Id="rId5" Type="http://schemas.openxmlformats.org/officeDocument/2006/relationships/hyperlink" Target="https://www.munzee.com/m/FromTheTardis/1297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DHitz/3733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21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JackSparrow/19420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18.xml"/><Relationship Id="rId103" Type="http://schemas.openxmlformats.org/officeDocument/2006/relationships/hyperlink" Target="https://www.munzee.com/m/LonelyWalker/403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Aniara/6516/" TargetMode="External"/><Relationship Id="rId100" Type="http://schemas.openxmlformats.org/officeDocument/2006/relationships/hyperlink" Target="http://www.munzee.com" TargetMode="External"/></Relationships>
</file>

<file path=xl/worksheets/_rels/sheet22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Berg14/559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Niks13/524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744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xrayneex/1348" TargetMode="External"/><Relationship Id="rId49" Type="http://schemas.openxmlformats.org/officeDocument/2006/relationships/hyperlink" Target="https://www.munzee.com/m/Dazzle007/797/" TargetMode="External"/><Relationship Id="rId31" Type="http://schemas.openxmlformats.org/officeDocument/2006/relationships/hyperlink" Target="https://www.munzee.com/m/ArtofEco/2920/admin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Taz30/1630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all0123/3909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Drazoria/735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Tinake1309/721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5Star/5704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all0123/3897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J1Huisman/11234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BrotherWilliam/3888/admin/" TargetMode="External"/><Relationship Id="rId29" Type="http://schemas.openxmlformats.org/officeDocument/2006/relationships/hyperlink" Target="https://www.munzee.com/m/WiseOldWizard/3968/" TargetMode="External"/><Relationship Id="rId11" Type="http://schemas.openxmlformats.org/officeDocument/2006/relationships/hyperlink" Target="https://www.munzee.com/m/sverlaan/4153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EmileP68/2933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PawPatrolThomas/2237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fsafranek/4307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Pinkeltje/1137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170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6999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Lylmik/1495" TargetMode="External"/><Relationship Id="rId89" Type="http://schemas.openxmlformats.org/officeDocument/2006/relationships/hyperlink" Target="https://www.munzee.com/m/PinkBulldog/2312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IXE13/186/" TargetMode="External"/><Relationship Id="rId73" Type="http://schemas.openxmlformats.org/officeDocument/2006/relationships/hyperlink" Target="https://www.munzee.com/m/LtRangerBob/2591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Lanyasummer/4398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jldh/2934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LtRangerBob/2603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jldh/2933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all0123/3911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upapou/969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OdinsFiRe/1631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Vanocho/784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babyw/3052/" TargetMode="External"/><Relationship Id="rId51" Type="http://schemas.openxmlformats.org/officeDocument/2006/relationships/hyperlink" Target="https://www.munzee.com/m/Lylmik/1482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BoyBou/3910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BoyBou/3907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359/admin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Laouate/318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Dazzle007/795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all0123/3912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barefootguru/3128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Vanocho/810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BoyBou/3904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all0123/4389/" TargetMode="External"/><Relationship Id="rId2" Type="http://schemas.openxmlformats.org/officeDocument/2006/relationships/hyperlink" Target="https://www.munzee.com/map/f25f8m311/16" TargetMode="External"/><Relationship Id="rId3" Type="http://schemas.openxmlformats.org/officeDocument/2006/relationships/hyperlink" Target="https://www.munzee.com/m/lison55/5264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xrayneex/1349" TargetMode="External"/><Relationship Id="rId5" Type="http://schemas.openxmlformats.org/officeDocument/2006/relationships/hyperlink" Target="https://www.munzee.com/m/all0123/3892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FromTheTardis/1359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22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Lylmik/1492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19.xml"/><Relationship Id="rId103" Type="http://schemas.openxmlformats.org/officeDocument/2006/relationships/hyperlink" Target="https://www.munzee.com/m/belladivadee/3081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all0123/3932/" TargetMode="External"/><Relationship Id="rId100" Type="http://schemas.openxmlformats.org/officeDocument/2006/relationships/hyperlink" Target="http://www.munzee.com" TargetMode="External"/></Relationships>
</file>

<file path=xl/worksheets/_rels/sheet23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IggiePiggie/1789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Bambinacattiva/656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5Star/5583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barefootguru/3114/" TargetMode="External"/><Relationship Id="rId49" Type="http://schemas.openxmlformats.org/officeDocument/2006/relationships/hyperlink" Target="https://www.munzee.com/m/WiseOldWizard/3961/" TargetMode="External"/><Relationship Id="rId31" Type="http://schemas.openxmlformats.org/officeDocument/2006/relationships/hyperlink" Target="https://www.munzee.com/m/Lanyasummer/4065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babyw/3054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FromTheTardis/1354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ambinacattiva/650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lison55/5269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J1Huisman/11140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Pinkeltje/982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JackSparrow/19460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fsafranek/4191/" TargetMode="External"/><Relationship Id="rId29" Type="http://schemas.openxmlformats.org/officeDocument/2006/relationships/hyperlink" Target="https://www.munzee.com/m/Anetzet/2663/" TargetMode="External"/><Relationship Id="rId11" Type="http://schemas.openxmlformats.org/officeDocument/2006/relationships/hyperlink" Target="https://www.munzee.com/m/ArtofEco/2900/admin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Drazoria/718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Tinake1309/713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Niks13/518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Berg14/547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146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6653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Wangotango/1231" TargetMode="External"/><Relationship Id="rId89" Type="http://schemas.openxmlformats.org/officeDocument/2006/relationships/hyperlink" Target="https://www.munzee.com/m/EmileP68/3371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Anetzet/2636/" TargetMode="External"/><Relationship Id="rId73" Type="http://schemas.openxmlformats.org/officeDocument/2006/relationships/hyperlink" Target="https://www.munzee.com/m/Questing4/7158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Fossillady/3396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amundadus/1378/admin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BrotherWilliam/4143/admin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belladivadee/2976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Franca/583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TeamSarton/935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Bisquick2/4232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TheFatCats/3866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BrotherWilliam/4138/admin/" TargetMode="External"/><Relationship Id="rId51" Type="http://schemas.openxmlformats.org/officeDocument/2006/relationships/hyperlink" Target="https://www.munzee.com/m/GroteSufferd/367/admin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xrayneex/1412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Aniara/6583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297/admin/convert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TheFatCats/3639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sverlaan/4100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BartWullems/5613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ladyanneraven/199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amadoreugen/5811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Derlame/13403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Anetzet/2884/" TargetMode="External"/><Relationship Id="rId2" Type="http://schemas.openxmlformats.org/officeDocument/2006/relationships/hyperlink" Target="https://www.munzee.com/map/r7hfdck2e/17" TargetMode="External"/><Relationship Id="rId3" Type="http://schemas.openxmlformats.org/officeDocument/2006/relationships/hyperlink" Target="https://www.munzee.com/m/sverlaan/4123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BrotherWilliam/3878/admin/" TargetMode="External"/><Relationship Id="rId5" Type="http://schemas.openxmlformats.org/officeDocument/2006/relationships/hyperlink" Target="https://www.munzee.com/m/EmileP68/2893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194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23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OdinsFiRe/1534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0.xml"/><Relationship Id="rId103" Type="http://schemas.openxmlformats.org/officeDocument/2006/relationships/hyperlink" Target="https://www.munzee.com/m/cbf600/2304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TheFatCats/3643/" TargetMode="External"/><Relationship Id="rId100" Type="http://schemas.openxmlformats.org/officeDocument/2006/relationships/hyperlink" Target="http://www.munzee.com" TargetMode="External"/></Relationships>
</file>

<file path=xl/worksheets/_rels/sheet24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IggiePiggie/1878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BrotherWilliam/4045/admin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878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WiseOldWizard/3991/" TargetMode="External"/><Relationship Id="rId49" Type="http://schemas.openxmlformats.org/officeDocument/2006/relationships/hyperlink" Target="https://www.munzee.com/m/ArtofEco/2978/admin/" TargetMode="External"/><Relationship Id="rId31" Type="http://schemas.openxmlformats.org/officeDocument/2006/relationships/hyperlink" Target="https://www.munzee.com/m/TheFatCats/3484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OdinsFiRe/1639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Pinkeltje/1287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arefootguru/3144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Wangotango/1273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fsafranek/4409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5Star/5839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TheFatCats/3465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OdinsFiRe/1637/" TargetMode="External"/><Relationship Id="rId29" Type="http://schemas.openxmlformats.org/officeDocument/2006/relationships/hyperlink" Target="https://www.munzee.com/m/J1Huisman/11416/" TargetMode="External"/><Relationship Id="rId11" Type="http://schemas.openxmlformats.org/officeDocument/2006/relationships/hyperlink" Target="https://www.munzee.com/m/Drazoria/761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Tinake1309/754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Niks13/581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Berg14/594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xrayneex/1398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234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6605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TheFatCats/3486/" TargetMode="External"/><Relationship Id="rId89" Type="http://schemas.openxmlformats.org/officeDocument/2006/relationships/hyperlink" Target="https://www.munzee.com/m/Bungle/3149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Derlame/12633/" TargetMode="External"/><Relationship Id="rId73" Type="http://schemas.openxmlformats.org/officeDocument/2006/relationships/hyperlink" Target="https://www.munzee.com/m/amadoreugen/5768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denali0407/14436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Krauseengineer/2428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wally62/4432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Bisquick2/4551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GroteSufferd/402/admin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MeanderingMonkeys/17482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BartWullems/5607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Fossillady/3391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Aniara/6946" TargetMode="External"/><Relationship Id="rId51" Type="http://schemas.openxmlformats.org/officeDocument/2006/relationships/hyperlink" Target="https://www.munzee.com/m/Lanyasummer/4434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babyw/3127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lison55/5412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411/admin/convert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FromTheTardis/1411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TheFatCats/3871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amadoreugen/5767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GroteSufferd/402/admin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mding4gold/4864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fsafranek/4294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barefootguru/6987/" TargetMode="External"/><Relationship Id="rId2" Type="http://schemas.openxmlformats.org/officeDocument/2006/relationships/hyperlink" Target="https://www.munzee.com/map/u311ncf5x/16" TargetMode="External"/><Relationship Id="rId3" Type="http://schemas.openxmlformats.org/officeDocument/2006/relationships/hyperlink" Target="http://ww.munzee.com/m/belladivadee/3039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3155/" TargetMode="External"/><Relationship Id="rId5" Type="http://schemas.openxmlformats.org/officeDocument/2006/relationships/hyperlink" Target="https://www.munzee.com/m/sverlaan/4394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451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24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Fossillady/3478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1.xml"/><Relationship Id="rId103" Type="http://schemas.openxmlformats.org/officeDocument/2006/relationships/hyperlink" Target="https://www.munzee.com/m/ArtofEco/3081/admin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BrotherWilliam/4277/" TargetMode="External"/><Relationship Id="rId100" Type="http://schemas.openxmlformats.org/officeDocument/2006/relationships/hyperlink" Target="http://www.munzee.com" TargetMode="External"/></Relationships>
</file>

<file path=xl/worksheets/_rels/sheet25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xrayneex/1830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Fossillady/4019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3560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GroteSufferd/533/" TargetMode="External"/><Relationship Id="rId49" Type="http://schemas.openxmlformats.org/officeDocument/2006/relationships/hyperlink" Target="https://www.munzee.com/m/lison55/5903/" TargetMode="External"/><Relationship Id="rId31" Type="http://schemas.openxmlformats.org/officeDocument/2006/relationships/hyperlink" Target="https://www.munzee.com/m/TheFatCats/4516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KublaKhan/775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OdinsFiRe/1978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TheFatCats/4519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MurphyLM/173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Pinkeltje/1758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Drazoria/1015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Tinake1309/992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Berg14/759/" TargetMode="External"/><Relationship Id="rId29" Type="http://schemas.openxmlformats.org/officeDocument/2006/relationships/hyperlink" Target="https://www.munzee.com/m/Niks13/776" TargetMode="External"/><Relationship Id="rId11" Type="http://schemas.openxmlformats.org/officeDocument/2006/relationships/hyperlink" Target="https://www.munzee.com/m/BrotherWilliam/4292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ArtofEco/3118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J1Huisman/12030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fsafranek/4980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5Star/6176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758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8621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FlatBlack/696" TargetMode="External"/><Relationship Id="rId89" Type="http://schemas.openxmlformats.org/officeDocument/2006/relationships/hyperlink" Target="https://www.munzee.com/m/Fossillady/3524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KublaKhan/782/" TargetMode="External"/><Relationship Id="rId73" Type="http://schemas.openxmlformats.org/officeDocument/2006/relationships/hyperlink" Target="https://www.munzee.com/m/TheFatCats/4525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KublaKhan/778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fsafranek/5167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TheFatCats/4564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Bisquick2/4811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habu/11227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barefootguru/3277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mrsg9064/8544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xrayneex/1851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Mcpo/166/" TargetMode="External"/><Relationship Id="rId51" Type="http://schemas.openxmlformats.org/officeDocument/2006/relationships/hyperlink" Target="https://www.munzee.com/m/ArtofEco/3142/admin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BrotherWilliam/4442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Trappertje/5605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670/admin/convert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Mallet75/785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Wangotango/1667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Derlame/14917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dwyers5/2575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WriteAndMane/6449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TeamTazmina/1324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TheFatCats/5094/" TargetMode="External"/><Relationship Id="rId2" Type="http://schemas.openxmlformats.org/officeDocument/2006/relationships/hyperlink" Target="https://www.munzee.com/map/9mvkbt7mq/16" TargetMode="External"/><Relationship Id="rId3" Type="http://schemas.openxmlformats.org/officeDocument/2006/relationships/hyperlink" Target="https://www.munzee.com/m/belladivadee/3147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3528/" TargetMode="External"/><Relationship Id="rId5" Type="http://schemas.openxmlformats.org/officeDocument/2006/relationships/hyperlink" Target="https://www.munzee.com/m/sverlaan/5176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993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25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xrayneex/1822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2.xml"/><Relationship Id="rId103" Type="http://schemas.openxmlformats.org/officeDocument/2006/relationships/hyperlink" Target="https://www.munzee.com/m/mrsg9064/8547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habu/11226/" TargetMode="External"/><Relationship Id="rId100" Type="http://schemas.openxmlformats.org/officeDocument/2006/relationships/hyperlink" Target="http://www.munzee.com" TargetMode="External"/></Relationships>
</file>

<file path=xl/worksheets/_rels/sheet26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IggiePiggie/1769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ArtofEco/2886/admin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523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babyw/2848/" TargetMode="External"/><Relationship Id="rId49" Type="http://schemas.openxmlformats.org/officeDocument/2006/relationships/hyperlink" Target="https://www.munzee.com/m/WiseOldWizard/3935/" TargetMode="External"/><Relationship Id="rId31" Type="http://schemas.openxmlformats.org/officeDocument/2006/relationships/hyperlink" Target="https://www.munzee.com/m/xrayneex/1314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BrotherWilliam/3859/admin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hoekraam/6640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arefootguru/3091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Andrew81/1331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5Star/5637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sverlaan/4134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EmileP68/2917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PawPatrolThomas/2213/" TargetMode="External"/><Relationship Id="rId29" Type="http://schemas.openxmlformats.org/officeDocument/2006/relationships/hyperlink" Target="https://www.munzee.com/m/hoekraam/6630" TargetMode="External"/><Relationship Id="rId11" Type="http://schemas.openxmlformats.org/officeDocument/2006/relationships/hyperlink" Target="https://www.munzee.com/m/FromTheTardis/1300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Lanyasummer/4106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J1Huisman/11170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Bambinacattiva/699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Pinkeltje/1112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047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6734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Trappertje/4588/" TargetMode="External"/><Relationship Id="rId89" Type="http://schemas.openxmlformats.org/officeDocument/2006/relationships/hyperlink" Target="https://www.munzee.com/m/benotje/1340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xrayneex/1310" TargetMode="External"/><Relationship Id="rId73" Type="http://schemas.openxmlformats.org/officeDocument/2006/relationships/hyperlink" Target="https://www.munzee.com/m/Questing4/7105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rgforsythe/8522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OdinsFiRe/1520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roxiemama/142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hoekraam/6641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Berg14/441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Niks13/411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Bambinacattiva/614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amigoth2de/1661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GroteSufferd/306/admin/" TargetMode="External"/><Relationship Id="rId51" Type="http://schemas.openxmlformats.org/officeDocument/2006/relationships/hyperlink" Target="https://www.munzee.com/m/cbf600/2349/admin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LonelyWalker/412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Aniara/6512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Drazoria/657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Tinake1309/647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PawPatrolThomas/2392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sverlaan/4201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belladivadee/2951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fsafranek/4429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EmileP68/3093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sverlaan/4312/" TargetMode="External"/><Relationship Id="rId2" Type="http://schemas.openxmlformats.org/officeDocument/2006/relationships/hyperlink" Target="https://www.munzee.com/map/9musx251z/17" TargetMode="External"/><Relationship Id="rId3" Type="http://schemas.openxmlformats.org/officeDocument/2006/relationships/hyperlink" Target="https://www.munzee.com/m/Andrew81/1325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fsafranek/3676/" TargetMode="External"/><Relationship Id="rId5" Type="http://schemas.openxmlformats.org/officeDocument/2006/relationships/hyperlink" Target="https://www.munzee.com/m/DHitz/3720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lison55/5132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26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Bisquick2/4005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3.xml"/><Relationship Id="rId103" Type="http://schemas.openxmlformats.org/officeDocument/2006/relationships/hyperlink" Target="https://www.munzee.com/m/JackSparrow/19357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Wangotango/1184/" TargetMode="External"/><Relationship Id="rId100" Type="http://schemas.openxmlformats.org/officeDocument/2006/relationships/hyperlink" Target="http://www.munzee.com" TargetMode="External"/></Relationships>
</file>

<file path=xl/worksheets/_rels/sheet27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J1Huisman/14700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raunas/7130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4281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lupo6/6880" TargetMode="External"/><Relationship Id="rId49" Type="http://schemas.openxmlformats.org/officeDocument/2006/relationships/hyperlink" Target="https://www.munzee.com/m/Reart/917/" TargetMode="External"/><Relationship Id="rId31" Type="http://schemas.openxmlformats.org/officeDocument/2006/relationships/hyperlink" Target="https://www.munzee.com/m/WetCoaster/4100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GroteSufferd/739/admin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ArtofEco/3500/admin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rotherWilliam/4895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cbf600/3013/admin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fsafranek/5302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Drazoria/1545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Tinake1309/1582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Berg14/1372/" TargetMode="External"/><Relationship Id="rId29" Type="http://schemas.openxmlformats.org/officeDocument/2006/relationships/hyperlink" Target="https://www.munzee.com/m/Niks13/1409/" TargetMode="External"/><Relationship Id="rId11" Type="http://schemas.openxmlformats.org/officeDocument/2006/relationships/hyperlink" Target="https://www.munzee.com/m/Fossillady/4419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xrayneex/2281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5Star/7451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lison55/6322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jwg68/1652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richardg01/5079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10961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Bouffe/2619/" TargetMode="External"/><Relationship Id="rId89" Type="http://schemas.openxmlformats.org/officeDocument/2006/relationships/hyperlink" Target="https://www.munzee.com/m/Laura02/1227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struwel/20079" TargetMode="External"/><Relationship Id="rId73" Type="http://schemas.openxmlformats.org/officeDocument/2006/relationships/hyperlink" Target="https://www.munzee.com/m/kwd/17267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richardg01/5080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StridentUK/7256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TheaG/334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Bisquick2/5977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iScreamBIue/2173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kwd/17268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Fossillady/4367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FlatBlack/1142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Orky99/3993/" TargetMode="External"/><Relationship Id="rId51" Type="http://schemas.openxmlformats.org/officeDocument/2006/relationships/hyperlink" Target="https://www.munzee.com/m/OdinsFiRe/2019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cbf600/3018/admin/convert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WetCoaster/4112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TK2100/361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Orky99/3987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Ellesche/872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xrayneex/2367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Derlame/18660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lupo6/2715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res2100/925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richardg01/5127/" TargetMode="External"/><Relationship Id="rId2" Type="http://schemas.openxmlformats.org/officeDocument/2006/relationships/hyperlink" Target="https://www.munzee.com/map/dpz0jxwqj/16.2" TargetMode="External"/><Relationship Id="rId3" Type="http://schemas.openxmlformats.org/officeDocument/2006/relationships/hyperlink" Target="https://www.munzee.com/m/Belladivadee/3180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4066/" TargetMode="External"/><Relationship Id="rId5" Type="http://schemas.openxmlformats.org/officeDocument/2006/relationships/hyperlink" Target="https://www.munzee.com/m/sverlaan/5335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3302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27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Bouffe/361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4.xml"/><Relationship Id="rId103" Type="http://schemas.openxmlformats.org/officeDocument/2006/relationships/hyperlink" Target="https://www.munzee.com/m/WetCoaster/4088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barefootguru/3348/" TargetMode="External"/><Relationship Id="rId100" Type="http://schemas.openxmlformats.org/officeDocument/2006/relationships/hyperlink" Target="http://www.munzee.com" TargetMode="External"/></Relationships>
</file>

<file path=xl/worksheets/_rels/sheet28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all0123/3944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belladivadee/3035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816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GroteSufferd/377/admin/" TargetMode="External"/><Relationship Id="rId49" Type="http://schemas.openxmlformats.org/officeDocument/2006/relationships/hyperlink" Target="https://www.munzee.com/m/upapou/1011/" TargetMode="External"/><Relationship Id="rId31" Type="http://schemas.openxmlformats.org/officeDocument/2006/relationships/hyperlink" Target="https://www.munzee.com/m/ArtofEco/2969/admin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Drazoria/754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Tinake1309/751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erg14/589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Niks13/557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Lanyasummer/4399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babyw/3118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fsafranek/4427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5Star/5758/" TargetMode="External"/><Relationship Id="rId29" Type="http://schemas.openxmlformats.org/officeDocument/2006/relationships/hyperlink" Target="https://www.munzee.com/m/BrotherWilliam/3946/admin/" TargetMode="External"/><Relationship Id="rId11" Type="http://schemas.openxmlformats.org/officeDocument/2006/relationships/hyperlink" Target="https://www.munzee.com/m/lison55/5345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J1Huisman/11293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Pinkeltje/1205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xrayneex/1413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fsafranek/4430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237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7166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KublaKhan/640/" TargetMode="External"/><Relationship Id="rId89" Type="http://schemas.openxmlformats.org/officeDocument/2006/relationships/hyperlink" Target="https://www.munzee.com/m/FlatBlack/757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mihul/4344/" TargetMode="External"/><Relationship Id="rId73" Type="http://schemas.openxmlformats.org/officeDocument/2006/relationships/hyperlink" Target="https://www.munzee.com/m/Fossillady/3540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WiseOldWizard/3984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szakica/2030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Wangotango/1266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BartWullems/5609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MurphyLM/86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FromTheTardis/1410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Beermaven/2916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MurphyLM/92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Trappertje/5069/" TargetMode="External"/><Relationship Id="rId51" Type="http://schemas.openxmlformats.org/officeDocument/2006/relationships/hyperlink" Target="https://www.munzee.com/m/KublaKhan/618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TheFatCats/3521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IggiePiggie/1877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406/admin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TheFatCats/3499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PennyCat/136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barefootguru/3135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TheFatCats/3554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Jawillia/4385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KublaKhan/689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Fossillady/3681" TargetMode="External"/><Relationship Id="rId2" Type="http://schemas.openxmlformats.org/officeDocument/2006/relationships/hyperlink" Target="https://www.munzee.com/map/9mufvb12z/17" TargetMode="External"/><Relationship Id="rId3" Type="http://schemas.openxmlformats.org/officeDocument/2006/relationships/hyperlink" Target="https://www.munzee.com/m/OdinsFiRe/1563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TheFatCats/3747/" TargetMode="External"/><Relationship Id="rId5" Type="http://schemas.openxmlformats.org/officeDocument/2006/relationships/hyperlink" Target="https://www.munzee.com/m/sverlaan/4214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281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28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TheFatCats/3836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5.xml"/><Relationship Id="rId103" Type="http://schemas.openxmlformats.org/officeDocument/2006/relationships/hyperlink" Target="https://www.munzee.com/m/Fossillady/3677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Aniara/6633/" TargetMode="External"/><Relationship Id="rId100" Type="http://schemas.openxmlformats.org/officeDocument/2006/relationships/hyperlink" Target="http://www.munzee.com" TargetMode="External"/></Relationships>
</file>

<file path=xl/worksheets/_rels/sheet29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GroteSufferd/441/admin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J1Huisman/11792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EmileP68/4051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ArtofEco/3061/admin/" TargetMode="External"/><Relationship Id="rId49" Type="http://schemas.openxmlformats.org/officeDocument/2006/relationships/hyperlink" Target="https://www.munzee.com/m/Aniara/6951/" TargetMode="External"/><Relationship Id="rId31" Type="http://schemas.openxmlformats.org/officeDocument/2006/relationships/hyperlink" Target="https://www.munzee.com/m/Tinake1309/851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Berg14/654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Niks13/636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Anetzet/3159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barefootguru/3197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fsafranek/4674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OdinsFiRe/1811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xrayneex/1552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Aniara/6952" TargetMode="External"/><Relationship Id="rId29" Type="http://schemas.openxmlformats.org/officeDocument/2006/relationships/hyperlink" Target="https://www.munzee.com/m/Drazoria/848/" TargetMode="External"/><Relationship Id="rId11" Type="http://schemas.openxmlformats.org/officeDocument/2006/relationships/hyperlink" Target="https://www.munzee.com/m/ArtofEco/3060/admin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BrotherWilliam/4125/admin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babyw/3255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5Star/5979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cbf600/2867/admin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5203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7722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amadoreugen/5842" TargetMode="External"/><Relationship Id="rId89" Type="http://schemas.openxmlformats.org/officeDocument/2006/relationships/hyperlink" Target="https://www.munzee.com/m/Mallet75/781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xrayneex/1549/" TargetMode="External"/><Relationship Id="rId73" Type="http://schemas.openxmlformats.org/officeDocument/2006/relationships/hyperlink" Target="https://www.munzee.com/m/Fossillady/3447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IggiePiggie/2127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BrotherWilliam/4289/admin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mding4gold/4985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fsafranek/4760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Bisquick2/4560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GeodudeDK/3404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Pinkeltje/1537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amadoreugen/5826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cbf600/2647/" TargetMode="External"/><Relationship Id="rId51" Type="http://schemas.openxmlformats.org/officeDocument/2006/relationships/hyperlink" Target="https://www.munzee.com/m/BrotherWilliam/4236/admin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Derlame/13443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GeodudeDK/3403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539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lison55/5523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Wangotango/1644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EmileP68/2790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sverlaan/3886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Trappertje/5521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PawPatrolThomas/2089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EmileP68/3214/" TargetMode="External"/><Relationship Id="rId2" Type="http://schemas.openxmlformats.org/officeDocument/2006/relationships/hyperlink" Target="https://www.munzee.com/map/u60ryyxww/16" TargetMode="External"/><Relationship Id="rId3" Type="http://schemas.openxmlformats.org/officeDocument/2006/relationships/hyperlink" Target="https://www.munzee.com/m/belladivadee/3272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3334/" TargetMode="External"/><Relationship Id="rId5" Type="http://schemas.openxmlformats.org/officeDocument/2006/relationships/hyperlink" Target="https://www.munzee.com/m/sverlaan/4638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3057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29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amadoreugen/5994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6.xml"/><Relationship Id="rId103" Type="http://schemas.openxmlformats.org/officeDocument/2006/relationships/hyperlink" Target="https://www.munzee.com/m/wally62/4468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Aniara/6947/" TargetMode="External"/><Relationship Id="rId100" Type="http://schemas.openxmlformats.org/officeDocument/2006/relationships/hyperlink" Target="http://www.munzee.com" TargetMode="External"/></Relationships>
</file>

<file path=xl/worksheets/_rels/sheet3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mortonfox/22765/" TargetMode="External"/><Relationship Id="rId42" Type="http://schemas.openxmlformats.org/officeDocument/2006/relationships/hyperlink" Target="http://www.munzee.com" TargetMode="External"/><Relationship Id="rId86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res2100/833" TargetMode="External"/><Relationship Id="rId85" Type="http://schemas.openxmlformats.org/officeDocument/2006/relationships/hyperlink" Target="http://www.munzee.com" TargetMode="External"/><Relationship Id="rId44" Type="http://schemas.openxmlformats.org/officeDocument/2006/relationships/hyperlink" Target="http://www.munzee.com" TargetMode="External"/><Relationship Id="rId88" Type="http://schemas.openxmlformats.org/officeDocument/2006/relationships/hyperlink" Target="https://www.munzee.com/m/WangoTango/2129/" TargetMode="External"/><Relationship Id="rId43" Type="http://schemas.openxmlformats.org/officeDocument/2006/relationships/hyperlink" Target="https://www.munzee.com/m/lupo6/6969" TargetMode="External"/><Relationship Id="rId87" Type="http://schemas.openxmlformats.org/officeDocument/2006/relationships/hyperlink" Target="http://www.munzee.com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3883/" TargetMode="External"/><Relationship Id="rId89" Type="http://schemas.openxmlformats.org/officeDocument/2006/relationships/hyperlink" Target="http://www.munzee.com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5Star/6589/" TargetMode="External"/><Relationship Id="rId1" Type="http://schemas.openxmlformats.org/officeDocument/2006/relationships/hyperlink" Target="https://www.munzee.com/m/123xilef/13243/" TargetMode="External"/><Relationship Id="rId2" Type="http://schemas.openxmlformats.org/officeDocument/2006/relationships/hyperlink" Target="https://www.munzee.com/map/r3g5z95z7/16" TargetMode="External"/><Relationship Id="rId3" Type="http://schemas.openxmlformats.org/officeDocument/2006/relationships/hyperlink" Target="https://www.munzee.com/m/Belladivadee/3548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PawPatrolThomas/3130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GroteSufferd/545/admin/" TargetMode="External"/><Relationship Id="rId49" Type="http://schemas.openxmlformats.org/officeDocument/2006/relationships/hyperlink" Target="https://www.munzee.com/m/Ellesche/794" TargetMode="External"/><Relationship Id="rId5" Type="http://schemas.openxmlformats.org/officeDocument/2006/relationships/hyperlink" Target="https://www.munzee.com/m/sverlaan/5173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EmileP68/2783/" TargetMode="External"/><Relationship Id="rId8" Type="http://schemas.openxmlformats.org/officeDocument/2006/relationships/hyperlink" Target="http://www.munzee.com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31" Type="http://schemas.openxmlformats.org/officeDocument/2006/relationships/hyperlink" Target="https://www.munzee.com/m/lison55/6319" TargetMode="External"/><Relationship Id="rId75" Type="http://schemas.openxmlformats.org/officeDocument/2006/relationships/hyperlink" Target="http://www.munzee.com" TargetMode="External"/><Relationship Id="rId30" Type="http://schemas.openxmlformats.org/officeDocument/2006/relationships/hyperlink" Target="http://www.munzee.com" TargetMode="External"/><Relationship Id="rId74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fsafranek/5160/" TargetMode="External"/><Relationship Id="rId77" Type="http://schemas.openxmlformats.org/officeDocument/2006/relationships/hyperlink" Target="https://www.munzee.com/m/TheFrog/5201/" TargetMode="External"/><Relationship Id="rId32" Type="http://schemas.openxmlformats.org/officeDocument/2006/relationships/hyperlink" Target="http://www.munzee.com" TargetMode="External"/><Relationship Id="rId76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barefootguru/3318/" TargetMode="External"/><Relationship Id="rId79" Type="http://schemas.openxmlformats.org/officeDocument/2006/relationships/hyperlink" Target="https://www.munzee.com/m/123xilef/9358/" TargetMode="External"/><Relationship Id="rId34" Type="http://schemas.openxmlformats.org/officeDocument/2006/relationships/hyperlink" Target="http://www.munzee.com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s://www.munzee.com/m/Bisquick2/5195/" TargetMode="External"/><Relationship Id="rId37" Type="http://schemas.openxmlformats.org/officeDocument/2006/relationships/hyperlink" Target="https://www.munzee.com/m/TheFatCats/4809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Jennbaby82/6437" TargetMode="External"/><Relationship Id="rId38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TheFatCats/4850/" TargetMode="External"/><Relationship Id="rId20" Type="http://schemas.openxmlformats.org/officeDocument/2006/relationships/hyperlink" Target="http://www.munzee.com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CzPeet/6726/" TargetMode="External"/><Relationship Id="rId22" Type="http://schemas.openxmlformats.org/officeDocument/2006/relationships/hyperlink" Target="http://www.munzee.com" TargetMode="External"/><Relationship Id="rId66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BrotherWilliam/4477/admin/" TargetMode="External"/><Relationship Id="rId65" Type="http://schemas.openxmlformats.org/officeDocument/2006/relationships/hyperlink" Target="https://www.munzee.com/m/Bungle/10439" TargetMode="External"/><Relationship Id="rId24" Type="http://schemas.openxmlformats.org/officeDocument/2006/relationships/hyperlink" Target="http://www.munzee.com" TargetMode="External"/><Relationship Id="rId68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Drazoria/1530/" TargetMode="External"/><Relationship Id="rId67" Type="http://schemas.openxmlformats.org/officeDocument/2006/relationships/hyperlink" Target="https://www.munzee.com/m/rita85gto/5091/" TargetMode="External"/><Relationship Id="rId60" Type="http://schemas.openxmlformats.org/officeDocument/2006/relationships/hyperlink" Target="http://www.munzee.com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Tinake1309/1539/" TargetMode="External"/><Relationship Id="rId69" Type="http://schemas.openxmlformats.org/officeDocument/2006/relationships/hyperlink" Target="http://www.munzee.com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Berg14/1314/" TargetMode="External"/><Relationship Id="rId29" Type="http://schemas.openxmlformats.org/officeDocument/2006/relationships/hyperlink" Target="https://www.munzee.com/m/Niks13/1309/" TargetMode="External"/><Relationship Id="rId51" Type="http://schemas.openxmlformats.org/officeDocument/2006/relationships/hyperlink" Target="https://www.munzee.com/m/OdinsFiRe/1982/" TargetMode="External"/><Relationship Id="rId95" Type="http://schemas.openxmlformats.org/officeDocument/2006/relationships/drawing" Target="../drawings/drawing3.xml"/><Relationship Id="rId50" Type="http://schemas.openxmlformats.org/officeDocument/2006/relationships/hyperlink" Target="http://www.munzee.com" TargetMode="External"/><Relationship Id="rId94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crscousins/4107/" TargetMode="External"/><Relationship Id="rId97" Type="http://schemas.openxmlformats.org/officeDocument/2006/relationships/table" Target="../tables/table2.xml"/><Relationship Id="rId52" Type="http://schemas.openxmlformats.org/officeDocument/2006/relationships/hyperlink" Target="http://www.munzee.com" TargetMode="External"/><Relationship Id="rId11" Type="http://schemas.openxmlformats.org/officeDocument/2006/relationships/hyperlink" Target="https://www.munzee.com/m/all0123/4644/" TargetMode="External"/><Relationship Id="rId55" Type="http://schemas.openxmlformats.org/officeDocument/2006/relationships/hyperlink" Target="https://www.munzee.com/m/TheFatCats/4812/" TargetMode="External"/><Relationship Id="rId10" Type="http://schemas.openxmlformats.org/officeDocument/2006/relationships/hyperlink" Target="http://www.munzee.com" TargetMode="External"/><Relationship Id="rId54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J1Huisman/12541/" TargetMode="External"/><Relationship Id="rId57" Type="http://schemas.openxmlformats.org/officeDocument/2006/relationships/hyperlink" Target="https://www.munzee.com/m/cbf600/2791/admin/convert/" TargetMode="External"/><Relationship Id="rId12" Type="http://schemas.openxmlformats.org/officeDocument/2006/relationships/hyperlink" Target="http://www.munzee.com" TargetMode="External"/><Relationship Id="rId56" Type="http://schemas.openxmlformats.org/officeDocument/2006/relationships/hyperlink" Target="http://www.munzee.com" TargetMode="External"/><Relationship Id="rId91" Type="http://schemas.openxmlformats.org/officeDocument/2006/relationships/hyperlink" Target="http://www.munzee.com" TargetMode="External"/><Relationship Id="rId90" Type="http://schemas.openxmlformats.org/officeDocument/2006/relationships/hyperlink" Target="https://www.munzee.com/m/TheFatCats/4853/" TargetMode="External"/><Relationship Id="rId93" Type="http://schemas.openxmlformats.org/officeDocument/2006/relationships/hyperlink" Target="https://www.munzee.com/m/TheFatCats/4886/" TargetMode="External"/><Relationship Id="rId9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Pinkeltje/1957/" TargetMode="External"/><Relationship Id="rId59" Type="http://schemas.openxmlformats.org/officeDocument/2006/relationships/hyperlink" Target="https://www.munzee.com/m/raunas/12872" TargetMode="External"/><Relationship Id="rId14" Type="http://schemas.openxmlformats.org/officeDocument/2006/relationships/hyperlink" Target="http://www.munzee.com" TargetMode="External"/><Relationship Id="rId58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xrayneex/2139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ArtofEco/3294/admin/" TargetMode="External"/><Relationship Id="rId18" Type="http://schemas.openxmlformats.org/officeDocument/2006/relationships/hyperlink" Target="http://www.munzee.com" TargetMode="External"/></Relationships>
</file>

<file path=xl/worksheets/_rels/sheet30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FromTheTardis/1375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J1Huisman/11303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BrotherWilliam/3921/admin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ArtofEco/2958/admin/" TargetMode="External"/><Relationship Id="rId49" Type="http://schemas.openxmlformats.org/officeDocument/2006/relationships/hyperlink" Target="https://www.munzee.com/m/5Star/5741/" TargetMode="External"/><Relationship Id="rId31" Type="http://schemas.openxmlformats.org/officeDocument/2006/relationships/hyperlink" Target="https://www.munzee.com/m/Derlame/12250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barefootguru/3130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JackSparrow/19712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GroteSufferd/322/admin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fsafranek/4154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lison55/5298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Drazoria/742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Tinake1309/729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Berg14/566" TargetMode="External"/><Relationship Id="rId29" Type="http://schemas.openxmlformats.org/officeDocument/2006/relationships/hyperlink" Target="https://www.munzee.com/m/Niks13/544/" TargetMode="External"/><Relationship Id="rId11" Type="http://schemas.openxmlformats.org/officeDocument/2006/relationships/hyperlink" Target="https://www.munzee.com/m/sverlaan/4185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PawPatrolThomas/2271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EmileP68/2964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belladivadee/3025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hoekraam/8962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204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7019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BrotherWilliam/4072/admin/" TargetMode="External"/><Relationship Id="rId89" Type="http://schemas.openxmlformats.org/officeDocument/2006/relationships/hyperlink" Target="https://www.munzee.com/m/Aniara/6620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IggiePiggie/1850/" TargetMode="External"/><Relationship Id="rId73" Type="http://schemas.openxmlformats.org/officeDocument/2006/relationships/hyperlink" Target="https://www.munzee.com/m/TheFatCats/3604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ArchieRuby/545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123xilef/6884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rholierhoek/986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rholierhoek/973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upapou/1009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MunziMeg/4472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all0123/3940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WiseOldWizard/3979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Anetzet/2771/" TargetMode="External"/><Relationship Id="rId51" Type="http://schemas.openxmlformats.org/officeDocument/2006/relationships/hyperlink" Target="https://www.munzee.com/m/Pinkeltje/1215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xrayneex/1415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ruud-1987/1472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387/admin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Franca/708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TheFatCats/3632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artofmunzeeing/3830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Franca/703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artofmunzeeing/3829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Wangotango/1247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123xilef/7248/" TargetMode="External"/><Relationship Id="rId2" Type="http://schemas.openxmlformats.org/officeDocument/2006/relationships/hyperlink" Target="https://www.munzee.com/map/u15rfnjj9/16" TargetMode="External"/><Relationship Id="rId3" Type="http://schemas.openxmlformats.org/officeDocument/2006/relationships/hyperlink" Target="https://www.munzee.com/m/hoekraam/9011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Lanyasummer/4367/" TargetMode="External"/><Relationship Id="rId5" Type="http://schemas.openxmlformats.org/officeDocument/2006/relationships/hyperlink" Target="https://www.munzee.com/m/Bambinacattiva/663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babyw/3051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30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OdinsFiRe/1535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7.xml"/><Relationship Id="rId103" Type="http://schemas.openxmlformats.org/officeDocument/2006/relationships/hyperlink" Target="https://www.munzee.com/m/MunziMeg/4448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Anetzet/2877/" TargetMode="External"/><Relationship Id="rId100" Type="http://schemas.openxmlformats.org/officeDocument/2006/relationships/hyperlink" Target="http://www.munzee.com" TargetMode="External"/></Relationships>
</file>

<file path=xl/worksheets/_rels/sheet31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lupo6/6815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OdinsFiRe/2059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4670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amundadus/1562/" TargetMode="External"/><Relationship Id="rId49" Type="http://schemas.openxmlformats.org/officeDocument/2006/relationships/hyperlink" Target="https://www.munzee.com/m/Arendsoog/8494" TargetMode="External"/><Relationship Id="rId31" Type="http://schemas.openxmlformats.org/officeDocument/2006/relationships/hyperlink" Target="https://www.munzee.com/m/Drazoria/1603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Tinake1309/1619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Berg14/1539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Niks13/1488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Franca/2026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barefootguru/3384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Ellesche/828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res2100/873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rita85gto/3821/" TargetMode="External"/><Relationship Id="rId29" Type="http://schemas.openxmlformats.org/officeDocument/2006/relationships/hyperlink" Target="https://www.munzee.com/m/xrayneex/2322/" TargetMode="External"/><Relationship Id="rId11" Type="http://schemas.openxmlformats.org/officeDocument/2006/relationships/hyperlink" Target="https://www.munzee.com/m/BrotherWilliam/5243/admin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ArtofEco/3544/admin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J1Huisman/13765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lison55/8395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fsafranek/5467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5822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13723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Anetzet/4998/" TargetMode="External"/><Relationship Id="rId89" Type="http://schemas.openxmlformats.org/officeDocument/2006/relationships/hyperlink" Target="https://www.munzee.com/m/amundadus/1541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MeanderingMonkeys/22568/" TargetMode="External"/><Relationship Id="rId73" Type="http://schemas.openxmlformats.org/officeDocument/2006/relationships/hyperlink" Target="https://www.munzee.com/m/wally62/5729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djeagle/7363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Franca/3143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Girlteddy5/110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Bisquick2/7126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Anseldelux/1271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://www.munzee.com/m/Rudydennis/868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crscousins/7149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Anetzet/6094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sverlaan/7200/" TargetMode="External"/><Relationship Id="rId51" Type="http://schemas.openxmlformats.org/officeDocument/2006/relationships/hyperlink" Target="https://www.munzee.com/m/Anseldelux/1559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djeagle/7403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McCormick64/267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3730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Arendsoog/8502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djeagle/7361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McCormick64/1455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5Star/9439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sverlaan/7197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Chaotix/578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123xilef/22470/" TargetMode="External"/><Relationship Id="rId2" Type="http://schemas.openxmlformats.org/officeDocument/2006/relationships/hyperlink" Target="https://www.munzee.com/map/u1kwvu0c1/15" TargetMode="External"/><Relationship Id="rId3" Type="http://schemas.openxmlformats.org/officeDocument/2006/relationships/hyperlink" Target="https://www.munzee.com/m/belladivadee/3257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PawPatrolThomas/4306/" TargetMode="External"/><Relationship Id="rId5" Type="http://schemas.openxmlformats.org/officeDocument/2006/relationships/hyperlink" Target="https://www.munzee.com/m/sverlaan/6285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EmileP68/5152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31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Anseldelux/1270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8.xml"/><Relationship Id="rId103" Type="http://schemas.openxmlformats.org/officeDocument/2006/relationships/hyperlink" Target="https://www.munzee.com/m/Anetzet/7207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Arendsoog/8816/" TargetMode="External"/><Relationship Id="rId100" Type="http://schemas.openxmlformats.org/officeDocument/2006/relationships/hyperlink" Target="http://www.munzee.com" TargetMode="External"/></Relationships>
</file>

<file path=xl/worksheets/_rels/sheet32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ArtofEco/3063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Krauseengineer/2483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Fossillady/3491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TheFatCats/4310/" TargetMode="External"/><Relationship Id="rId49" Type="http://schemas.openxmlformats.org/officeDocument/2006/relationships/hyperlink" Target="https://www.munzee.com/m/OdinsFiRe/1933/" TargetMode="External"/><Relationship Id="rId31" Type="http://schemas.openxmlformats.org/officeDocument/2006/relationships/hyperlink" Target="https://www.munzee.com/m/GroteSufferd/462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MariaHTJ/9062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fsafranek/4840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amundadus/1508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BrotherWilliam/4250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5Star/6065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Drazoria/999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Tinake1309/947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Berg14/686/" TargetMode="External"/><Relationship Id="rId29" Type="http://schemas.openxmlformats.org/officeDocument/2006/relationships/hyperlink" Target="https://www.munzee.com/m/Niks13/645/" TargetMode="External"/><Relationship Id="rId11" Type="http://schemas.openxmlformats.org/officeDocument/2006/relationships/hyperlink" Target="https://www.munzee.com/m/amundadus/747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J1Huisman/11801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amadoreugen/5799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Anetzet/3334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xrayneex/1673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708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8091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BrotherWilliam/4911/admin/" TargetMode="External"/><Relationship Id="rId89" Type="http://schemas.openxmlformats.org/officeDocument/2006/relationships/hyperlink" Target="https://www.munzee.com/m/floridafinder2/7296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mding4gold/4984" TargetMode="External"/><Relationship Id="rId73" Type="http://schemas.openxmlformats.org/officeDocument/2006/relationships/hyperlink" Target="https://www.munzee.com/m/Anetzet/3347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xrayneex/1119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Aniara/7897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res2100/767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Bisquick2/4734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lison55/5748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Trappertje/5428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BrotherWilliam/4896/admin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wally62/4917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cbf600/2662/" TargetMode="External"/><Relationship Id="rId51" Type="http://schemas.openxmlformats.org/officeDocument/2006/relationships/hyperlink" Target="https://www.munzee.com/m/belladivadee/3115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Wangotango/1441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amadoreugen/5824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575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amundadus/1132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PcLocator/4255/admin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barefootguru/3251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Derlame/18479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Franca/1966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TheFatCats/4323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Anetzet/3370/" TargetMode="External"/><Relationship Id="rId2" Type="http://schemas.openxmlformats.org/officeDocument/2006/relationships/hyperlink" Target="https://www.munzee.com/map/u173d4ybd/16" TargetMode="External"/><Relationship Id="rId3" Type="http://schemas.openxmlformats.org/officeDocument/2006/relationships/hyperlink" Target="https://www.munzee.com/m/TheFatCats/4276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3358/" TargetMode="External"/><Relationship Id="rId5" Type="http://schemas.openxmlformats.org/officeDocument/2006/relationships/hyperlink" Target="https://www.munzee.com/m/sverlaan/4631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678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32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Anetzet/3321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29.xml"/><Relationship Id="rId103" Type="http://schemas.openxmlformats.org/officeDocument/2006/relationships/hyperlink" Target="https://www.munzee.com/m/amundadus/1408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MariaHTJ/9063/" TargetMode="External"/><Relationship Id="rId100" Type="http://schemas.openxmlformats.org/officeDocument/2006/relationships/hyperlink" Target="http://www.munzee.com" TargetMode="External"/></Relationships>
</file>

<file path=xl/worksheets/_rels/sheet33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fsafranek/4124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Franca/835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597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MunziMeg/4588/" TargetMode="External"/><Relationship Id="rId49" Type="http://schemas.openxmlformats.org/officeDocument/2006/relationships/hyperlink" Target="https://www.munzee.com/m/IggiePiggie/1972/" TargetMode="External"/><Relationship Id="rId31" Type="http://schemas.openxmlformats.org/officeDocument/2006/relationships/hyperlink" Target="https://www.munzee.com/m/ArtofEco/3022/admin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TheFatCats/3645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WiseOldWizard/4044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Derlame/12889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TheFatCats/3671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fsafranek/4203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babyw/3177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artofmunzeeing/3952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Lanyasummer/4472/" TargetMode="External"/><Relationship Id="rId29" Type="http://schemas.openxmlformats.org/officeDocument/2006/relationships/hyperlink" Target="https://www.munzee.com/m/BrotherWilliam/4080/admin/" TargetMode="External"/><Relationship Id="rId11" Type="http://schemas.openxmlformats.org/officeDocument/2006/relationships/hyperlink" Target="https://www.munzee.com/m/OdinsFiRe/1646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Drazoria/838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Tinake1309/793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Berg14/637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Niks13/612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300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7305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TheFatCats/3673/" TargetMode="External"/><Relationship Id="rId89" Type="http://schemas.openxmlformats.org/officeDocument/2006/relationships/hyperlink" Target="https://www.munzee.com/m/MunziMeg/4585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xrayneex/1433/" TargetMode="External"/><Relationship Id="rId73" Type="http://schemas.openxmlformats.org/officeDocument/2006/relationships/hyperlink" Target="https://www.munzee.com/m/barefootguru/3162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GroteSufferd/421/admin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Aniara/6743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Pinkeltje/1343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J1Huisman/11481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FlatBlack/681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jwg68/1308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artofmunzeeing/3946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lison55/5448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FromTheTardis/1434/" TargetMode="External"/><Relationship Id="rId51" Type="http://schemas.openxmlformats.org/officeDocument/2006/relationships/hyperlink" Target="https://www.munzee.com/m/denali0407/14438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halizwein/11587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5Star/4694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472/admin/convert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Fossillady/3696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Trappertje/5041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MeanderingMonkeys/17481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sverlaan/4409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BartWullems/5616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roughdraft/8732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sverlaan/4442/" TargetMode="External"/><Relationship Id="rId2" Type="http://schemas.openxmlformats.org/officeDocument/2006/relationships/hyperlink" Target="https://www.munzee.com/map/9vgkbm7sg/15.9" TargetMode="External"/><Relationship Id="rId3" Type="http://schemas.openxmlformats.org/officeDocument/2006/relationships/hyperlink" Target="http://www.munzee.com/m/belladivadee/3040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3141/" TargetMode="External"/><Relationship Id="rId5" Type="http://schemas.openxmlformats.org/officeDocument/2006/relationships/hyperlink" Target="https://www.munzee.com/m/sverlaan/4346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441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33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TheFatCats/3681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30.xml"/><Relationship Id="rId103" Type="http://schemas.openxmlformats.org/officeDocument/2006/relationships/hyperlink" Target="https://www.munzee.com/m/fsafranek/4178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gwendy/1189/" TargetMode="External"/><Relationship Id="rId100" Type="http://schemas.openxmlformats.org/officeDocument/2006/relationships/hyperlink" Target="http://www.munzee.com" TargetMode="External"/></Relationships>
</file>

<file path=xl/worksheets/_rels/sheet34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TheFatCats/3915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amadoreugen/5828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951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TheFatCats/3929/" TargetMode="External"/><Relationship Id="rId49" Type="http://schemas.openxmlformats.org/officeDocument/2006/relationships/hyperlink" Target="https://www.munzee.com/m/WiseOldWizard/4047/" TargetMode="External"/><Relationship Id="rId31" Type="http://schemas.openxmlformats.org/officeDocument/2006/relationships/hyperlink" Target="https://www.munzee.com/m/lison55/5479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OdinsFiRe/1809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BartWullems/5605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FromTheTardis/1440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GroteSufferd/432/admin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Pinkeltje/1128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xrayneex/1503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fsafranek/4160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Lanyasummer/4462/" TargetMode="External"/><Relationship Id="rId29" Type="http://schemas.openxmlformats.org/officeDocument/2006/relationships/hyperlink" Target="https://www.munzee.com/m/babyw/3253/" TargetMode="External"/><Relationship Id="rId11" Type="http://schemas.openxmlformats.org/officeDocument/2006/relationships/hyperlink" Target="https://www.munzee.com/m/Drazoria/847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Tinake1309/826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Berg14/642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Niks13/619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J1Huisman/11452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457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6997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TheFatCats/3942/" TargetMode="External"/><Relationship Id="rId89" Type="http://schemas.openxmlformats.org/officeDocument/2006/relationships/hyperlink" Target="https://www.munzee.com/m/BrotherWilliam/4280/admin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amadoreugen/5827" TargetMode="External"/><Relationship Id="rId73" Type="http://schemas.openxmlformats.org/officeDocument/2006/relationships/hyperlink" Target="https://www.munzee.com/m/sverlaan/5026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FlatBlack/966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PawPatrolThomas/2082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sverlaan/3887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Bisquick2/4559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Fossillady/3471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Trappertje/5488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mding4gold/4867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cbf600/2646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sverlaan/5175/" TargetMode="External"/><Relationship Id="rId51" Type="http://schemas.openxmlformats.org/officeDocument/2006/relationships/hyperlink" Target="https://www.munzee.com/m/BrotherWilliam/4100/admin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ArtofEco/3047/admin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Wangotango/1366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507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IggiePiggie/2109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DJSmith/7277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Wangotango/1352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5Star/4692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ArtofEco/3116/admin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TheFatCats/3948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JackSparrow/21923/" TargetMode="External"/><Relationship Id="rId2" Type="http://schemas.openxmlformats.org/officeDocument/2006/relationships/hyperlink" Target="https://www.munzee.com/map/r7hv8p6c2/16" TargetMode="External"/><Relationship Id="rId3" Type="http://schemas.openxmlformats.org/officeDocument/2006/relationships/hyperlink" Target="https://www.munzee.com/m/belladivadee/3153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3167/" TargetMode="External"/><Relationship Id="rId5" Type="http://schemas.openxmlformats.org/officeDocument/2006/relationships/hyperlink" Target="https://www.munzee.com/m/sverlaan/4408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470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34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Bungle/3148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31.xml"/><Relationship Id="rId103" Type="http://schemas.openxmlformats.org/officeDocument/2006/relationships/hyperlink" Target="https://www.munzee.com/m/xrayneex/1542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barefootguru/3185/" TargetMode="External"/><Relationship Id="rId100" Type="http://schemas.openxmlformats.org/officeDocument/2006/relationships/hyperlink" Target="http://www.munzee.com" TargetMode="External"/></Relationships>
</file>

<file path=xl/worksheets/_rels/sheet35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ArtofEco/2907/admin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JackSparrow/19431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676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babyw/3041/" TargetMode="External"/><Relationship Id="rId49" Type="http://schemas.openxmlformats.org/officeDocument/2006/relationships/hyperlink" Target="https://www.munzee.com/m/Aniara/6431/" TargetMode="External"/><Relationship Id="rId31" Type="http://schemas.openxmlformats.org/officeDocument/2006/relationships/hyperlink" Target="https://www.munzee.com/m/WiseOldWizard/3923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hoekraam/6940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xrayneex/1307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rotherWilliam/3862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hoekraam/6983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EmileP68/2902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5Star/5636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PawPatrolThomas/2206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benotje/1334/" TargetMode="External"/><Relationship Id="rId29" Type="http://schemas.openxmlformats.org/officeDocument/2006/relationships/hyperlink" Target="https://www.munzee.com/m/barefootguru/3092/" TargetMode="External"/><Relationship Id="rId11" Type="http://schemas.openxmlformats.org/officeDocument/2006/relationships/hyperlink" Target="https://www.munzee.com/m/Lanyasummer/4105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J1Huisman/11169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Bambinacattiva/689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Trappertje/4646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sverlaan/4129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048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6730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xrayneex/1305/" TargetMode="External"/><Relationship Id="rId89" Type="http://schemas.openxmlformats.org/officeDocument/2006/relationships/hyperlink" Target="https://www.munzee.com/m/PhatCapper/758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belladivadee/2962/" TargetMode="External"/><Relationship Id="rId73" Type="http://schemas.openxmlformats.org/officeDocument/2006/relationships/hyperlink" Target="https://www.munzee.com/m/Bisquick2/4004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Wangotango/1406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upapou/1007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Bungle/2734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Questing4/7110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Drazoria/661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Tinake1309/668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Berg14/444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Niks13/422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GroteSufferd/308/admin/" TargetMode="External"/><Relationship Id="rId51" Type="http://schemas.openxmlformats.org/officeDocument/2006/relationships/hyperlink" Target="https://www.munzee.com/m/OdinsFiRe/1521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PhatCapper/784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fsafranek/4261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307/admin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IggiePiggie/1772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Beermaven/2926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sverlaan/4193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PawPatrolThomas/2283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TheFatCats/3637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KublaKhan/693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barefootguru/5963/" TargetMode="External"/><Relationship Id="rId2" Type="http://schemas.openxmlformats.org/officeDocument/2006/relationships/hyperlink" Target="https://www.munzee.com/map/r1f80dd0z/16" TargetMode="External"/><Relationship Id="rId3" Type="http://schemas.openxmlformats.org/officeDocument/2006/relationships/hyperlink" Target="https://www.munzee.com/m/DHitz/3710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FromTheTardis/1328/" TargetMode="External"/><Relationship Id="rId5" Type="http://schemas.openxmlformats.org/officeDocument/2006/relationships/hyperlink" Target="https://www.munzee.com/m/Pinkeltje/1096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lison55/5153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35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LonelyWalker/392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32.xml"/><Relationship Id="rId103" Type="http://schemas.openxmlformats.org/officeDocument/2006/relationships/hyperlink" Target="https://www.munzee.com/m/cbf600/2339/admin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OdinsFiRe/1527" TargetMode="External"/><Relationship Id="rId100" Type="http://schemas.openxmlformats.org/officeDocument/2006/relationships/hyperlink" Target="http://www.munzee.com" TargetMode="External"/></Relationships>
</file>

<file path=xl/worksheets/_rels/sheet36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Berg14/452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Tinake1309/669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Niks13/428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ArtofEco/2889/" TargetMode="External"/><Relationship Id="rId49" Type="http://schemas.openxmlformats.org/officeDocument/2006/relationships/hyperlink" Target="https://www.munzee.com/m/belladivadee/2969/" TargetMode="External"/><Relationship Id="rId31" Type="http://schemas.openxmlformats.org/officeDocument/2006/relationships/hyperlink" Target="https://www.munzee.com/m/fsafranek/4276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babyw/2847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Wangotango/1192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Anetzet/2669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Drazoria/691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EmileP68/2897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PawPatrolThomas/2202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hoekraam/7003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xrayneex/1293/" TargetMode="External"/><Relationship Id="rId29" Type="http://schemas.openxmlformats.org/officeDocument/2006/relationships/hyperlink" Target="https://www.munzee.com/m/BrotherWilliam/3863/" TargetMode="External"/><Relationship Id="rId11" Type="http://schemas.openxmlformats.org/officeDocument/2006/relationships/hyperlink" Target="https://www.munzee.com/m/Lanyasummer/4104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J1Huisman/11168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Pinkeltje/1068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Bambinacattiva/684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sverlaan/4125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068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6714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TheFatCats/3638/" TargetMode="External"/><Relationship Id="rId89" Type="http://schemas.openxmlformats.org/officeDocument/2006/relationships/hyperlink" Target="https://www.munzee.com/m/benotje/1354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WiseOldWizard/3936/" TargetMode="External"/><Relationship Id="rId73" Type="http://schemas.openxmlformats.org/officeDocument/2006/relationships/hyperlink" Target="https://www.munzee.com/m/GroteSufferd/319/admin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Trappertje/4601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Bisquick2/4224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upapou/991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Questing4/7153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CrazyLadyLisa/14448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IXE13/206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Laouate/315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cbf600/2246/admin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5Star/5595/" TargetMode="External"/><Relationship Id="rId51" Type="http://schemas.openxmlformats.org/officeDocument/2006/relationships/hyperlink" Target="https://www.munzee.com/m/Derlame/12299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barefootguru/3093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Aniara/6430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385/admin/convert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IggiePiggie/1777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PawPatrolThomas/2193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JackSparrow/19354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OdinsFiRe/1530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LonelyWalker/466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sverlaan/4148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JackSparrow/19959" TargetMode="External"/><Relationship Id="rId2" Type="http://schemas.openxmlformats.org/officeDocument/2006/relationships/hyperlink" Target="https://www.munzee.com/map/qd66gp8hy/16" TargetMode="External"/><Relationship Id="rId3" Type="http://schemas.openxmlformats.org/officeDocument/2006/relationships/hyperlink" Target="https://www.munzee.com/m/DHitz/3707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Andrew81/1340" TargetMode="External"/><Relationship Id="rId5" Type="http://schemas.openxmlformats.org/officeDocument/2006/relationships/hyperlink" Target="https://www.munzee.com/m/FromTheTardis/1332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lison55/5159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36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Andrew81/1334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33.xml"/><Relationship Id="rId103" Type="http://schemas.openxmlformats.org/officeDocument/2006/relationships/hyperlink" Target="https://www.munzee.com/m/cbf600/2247/admin/convert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jwg68/1250/" TargetMode="External"/><Relationship Id="rId100" Type="http://schemas.openxmlformats.org/officeDocument/2006/relationships/hyperlink" Target="http://www.munzee.com" TargetMode="External"/></Relationships>
</file>

<file path=xl/worksheets/_rels/sheet37.xml.rels><?xml version="1.0" encoding="UTF-8" standalone="yes"?><Relationships xmlns="http://schemas.openxmlformats.org/package/2006/relationships"><Relationship Id="rId392" Type="http://schemas.openxmlformats.org/officeDocument/2006/relationships/hyperlink" Target="http://www.munzee.com" TargetMode="External"/><Relationship Id="rId391" Type="http://schemas.openxmlformats.org/officeDocument/2006/relationships/hyperlink" Target="http://www.munzee.com" TargetMode="External"/><Relationship Id="rId390" Type="http://schemas.openxmlformats.org/officeDocument/2006/relationships/hyperlink" Target="http://www.munzee.com" TargetMode="External"/><Relationship Id="rId385" Type="http://schemas.openxmlformats.org/officeDocument/2006/relationships/hyperlink" Target="http://www.munzee.com" TargetMode="External"/><Relationship Id="rId384" Type="http://schemas.openxmlformats.org/officeDocument/2006/relationships/hyperlink" Target="http://www.munzee.com" TargetMode="External"/><Relationship Id="rId383" Type="http://schemas.openxmlformats.org/officeDocument/2006/relationships/hyperlink" Target="http://www.munzee.com" TargetMode="External"/><Relationship Id="rId382" Type="http://schemas.openxmlformats.org/officeDocument/2006/relationships/hyperlink" Target="http://www.munzee.com" TargetMode="External"/><Relationship Id="rId389" Type="http://schemas.openxmlformats.org/officeDocument/2006/relationships/hyperlink" Target="http://www.munzee.com" TargetMode="External"/><Relationship Id="rId388" Type="http://schemas.openxmlformats.org/officeDocument/2006/relationships/hyperlink" Target="http://www.munzee.com" TargetMode="External"/><Relationship Id="rId387" Type="http://schemas.openxmlformats.org/officeDocument/2006/relationships/hyperlink" Target="http://www.munzee.com" TargetMode="External"/><Relationship Id="rId386" Type="http://schemas.openxmlformats.org/officeDocument/2006/relationships/hyperlink" Target="http://www.munzee.com" TargetMode="External"/><Relationship Id="rId381" Type="http://schemas.openxmlformats.org/officeDocument/2006/relationships/hyperlink" Target="http://www.munzee.com" TargetMode="External"/><Relationship Id="rId380" Type="http://schemas.openxmlformats.org/officeDocument/2006/relationships/hyperlink" Target="http://www.munzee.com" TargetMode="External"/><Relationship Id="rId379" Type="http://schemas.openxmlformats.org/officeDocument/2006/relationships/hyperlink" Target="http://www.munzee.com" TargetMode="External"/><Relationship Id="rId374" Type="http://schemas.openxmlformats.org/officeDocument/2006/relationships/hyperlink" Target="http://www.munzee.com" TargetMode="External"/><Relationship Id="rId373" Type="http://schemas.openxmlformats.org/officeDocument/2006/relationships/hyperlink" Target="http://www.munzee.com" TargetMode="External"/><Relationship Id="rId372" Type="http://schemas.openxmlformats.org/officeDocument/2006/relationships/hyperlink" Target="http://www.munzee.com" TargetMode="External"/><Relationship Id="rId371" Type="http://schemas.openxmlformats.org/officeDocument/2006/relationships/hyperlink" Target="http://www.munzee.com" TargetMode="External"/><Relationship Id="rId378" Type="http://schemas.openxmlformats.org/officeDocument/2006/relationships/hyperlink" Target="http://www.munzee.com" TargetMode="External"/><Relationship Id="rId377" Type="http://schemas.openxmlformats.org/officeDocument/2006/relationships/hyperlink" Target="http://www.munzee.com" TargetMode="External"/><Relationship Id="rId376" Type="http://schemas.openxmlformats.org/officeDocument/2006/relationships/hyperlink" Target="http://www.munzee.com" TargetMode="External"/><Relationship Id="rId375" Type="http://schemas.openxmlformats.org/officeDocument/2006/relationships/hyperlink" Target="http://www.munzee.com" TargetMode="External"/><Relationship Id="rId396" Type="http://schemas.openxmlformats.org/officeDocument/2006/relationships/hyperlink" Target="http://www.munzee.com" TargetMode="External"/><Relationship Id="rId395" Type="http://schemas.openxmlformats.org/officeDocument/2006/relationships/hyperlink" Target="http://www.munzee.com" TargetMode="External"/><Relationship Id="rId394" Type="http://schemas.openxmlformats.org/officeDocument/2006/relationships/hyperlink" Target="http://www.munzee.com" TargetMode="External"/><Relationship Id="rId393" Type="http://schemas.openxmlformats.org/officeDocument/2006/relationships/hyperlink" Target="http://www.munzee.com" TargetMode="External"/><Relationship Id="rId399" Type="http://schemas.openxmlformats.org/officeDocument/2006/relationships/hyperlink" Target="http://www.munzee.com" TargetMode="External"/><Relationship Id="rId398" Type="http://schemas.openxmlformats.org/officeDocument/2006/relationships/hyperlink" Target="http://www.munzee.com" TargetMode="External"/><Relationship Id="rId397" Type="http://schemas.openxmlformats.org/officeDocument/2006/relationships/hyperlink" Target="http://www.munzee.com" TargetMode="External"/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IggiePiggie/1858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upapou/987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TheFatCats/3562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123xilef/6918/" TargetMode="External"/><Relationship Id="rId49" Type="http://schemas.openxmlformats.org/officeDocument/2006/relationships/hyperlink" Target="https://www.munzee.com/m/Aniara/6614/" TargetMode="External"/><Relationship Id="rId31" Type="http://schemas.openxmlformats.org/officeDocument/2006/relationships/hyperlink" Target="https://www.munzee.com/m/Pinkeltje/1209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FromTheTardis/1386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Lanyasummer/4385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xrayneex/1414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JackSparrow/19747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Berg14/579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Niks13/555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babyw/3105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lison55/5344/" TargetMode="External"/><Relationship Id="rId29" Type="http://schemas.openxmlformats.org/officeDocument/2006/relationships/hyperlink" Target="https://www.munzee.com/m/J1Huisman/11301/" TargetMode="External"/><Relationship Id="rId11" Type="http://schemas.openxmlformats.org/officeDocument/2006/relationships/hyperlink" Target="https://www.munzee.com/m/fsafranek/4130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MadDogLady/2236/admin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Sinister/2259/admin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Drazoria/753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Tinake1309/750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239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7061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TheFatCats/3588/" TargetMode="External"/><Relationship Id="rId89" Type="http://schemas.openxmlformats.org/officeDocument/2006/relationships/hyperlink" Target="https://www.munzee.com/m/TheFrog/3436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5Star/5761" TargetMode="External"/><Relationship Id="rId73" Type="http://schemas.openxmlformats.org/officeDocument/2006/relationships/hyperlink" Target="https://www.munzee.com/m/artofmunzeeing/3822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GroteSufferd/374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MunziMeg/4449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artofmunzeeing/3809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MunziMeg/4460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ArtofEco/2959/admin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MadDogLady/2222/admin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Sinister/2248/admin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MunziMeg/4452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artofmunzeeing/3820/" TargetMode="External"/><Relationship Id="rId51" Type="http://schemas.openxmlformats.org/officeDocument/2006/relationships/hyperlink" Target="https://www.munzee.com/m/TheFatCats/3572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Franca/545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barefootguru/3132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405/admin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BrotherWilliam/3939/admin/" TargetMode="External"/><Relationship Id="rId58" Type="http://schemas.openxmlformats.org/officeDocument/2006/relationships/hyperlink" Target="http://www.munzee.com" TargetMode="External"/><Relationship Id="rId349" Type="http://schemas.openxmlformats.org/officeDocument/2006/relationships/hyperlink" Target="http://www.munzee.com" TargetMode="External"/><Relationship Id="rId348" Type="http://schemas.openxmlformats.org/officeDocument/2006/relationships/hyperlink" Target="http://www.munzee.com" TargetMode="External"/><Relationship Id="rId347" Type="http://schemas.openxmlformats.org/officeDocument/2006/relationships/hyperlink" Target="http://www.munzee.com" TargetMode="External"/><Relationship Id="rId346" Type="http://schemas.openxmlformats.org/officeDocument/2006/relationships/hyperlink" Target="http://www.munzee.com" TargetMode="External"/><Relationship Id="rId341" Type="http://schemas.openxmlformats.org/officeDocument/2006/relationships/hyperlink" Target="http://www.munzee.com" TargetMode="External"/><Relationship Id="rId340" Type="http://schemas.openxmlformats.org/officeDocument/2006/relationships/hyperlink" Target="http://www.munzee.com" TargetMode="External"/><Relationship Id="rId345" Type="http://schemas.openxmlformats.org/officeDocument/2006/relationships/hyperlink" Target="http://www.munzee.com" TargetMode="External"/><Relationship Id="rId344" Type="http://schemas.openxmlformats.org/officeDocument/2006/relationships/hyperlink" Target="http://www.munzee.com" TargetMode="External"/><Relationship Id="rId343" Type="http://schemas.openxmlformats.org/officeDocument/2006/relationships/hyperlink" Target="http://www.munzee.com" TargetMode="External"/><Relationship Id="rId342" Type="http://schemas.openxmlformats.org/officeDocument/2006/relationships/hyperlink" Target="http://www.munzee.com" TargetMode="External"/><Relationship Id="rId338" Type="http://schemas.openxmlformats.org/officeDocument/2006/relationships/hyperlink" Target="http://www.munzee.com" TargetMode="External"/><Relationship Id="rId337" Type="http://schemas.openxmlformats.org/officeDocument/2006/relationships/hyperlink" Target="http://www.munzee.com" TargetMode="External"/><Relationship Id="rId336" Type="http://schemas.openxmlformats.org/officeDocument/2006/relationships/hyperlink" Target="http://www.munzee.com" TargetMode="External"/><Relationship Id="rId335" Type="http://schemas.openxmlformats.org/officeDocument/2006/relationships/hyperlink" Target="http://www.munzee.com" TargetMode="External"/><Relationship Id="rId339" Type="http://schemas.openxmlformats.org/officeDocument/2006/relationships/hyperlink" Target="http://www.munzee.com" TargetMode="External"/><Relationship Id="rId330" Type="http://schemas.openxmlformats.org/officeDocument/2006/relationships/hyperlink" Target="http://www.munzee.com" TargetMode="External"/><Relationship Id="rId334" Type="http://schemas.openxmlformats.org/officeDocument/2006/relationships/hyperlink" Target="http://www.munzee.com" TargetMode="External"/><Relationship Id="rId333" Type="http://schemas.openxmlformats.org/officeDocument/2006/relationships/hyperlink" Target="http://www.munzee.com" TargetMode="External"/><Relationship Id="rId332" Type="http://schemas.openxmlformats.org/officeDocument/2006/relationships/hyperlink" Target="http://www.munzee.com" TargetMode="External"/><Relationship Id="rId331" Type="http://schemas.openxmlformats.org/officeDocument/2006/relationships/hyperlink" Target="http://www.munzee.com" TargetMode="External"/><Relationship Id="rId370" Type="http://schemas.openxmlformats.org/officeDocument/2006/relationships/hyperlink" Target="http://www.munzee.com" TargetMode="External"/><Relationship Id="rId369" Type="http://schemas.openxmlformats.org/officeDocument/2006/relationships/hyperlink" Target="http://www.munzee.com" TargetMode="External"/><Relationship Id="rId368" Type="http://schemas.openxmlformats.org/officeDocument/2006/relationships/hyperlink" Target="http://www.munzee.com" TargetMode="External"/><Relationship Id="rId363" Type="http://schemas.openxmlformats.org/officeDocument/2006/relationships/hyperlink" Target="http://www.munzee.com" TargetMode="External"/><Relationship Id="rId362" Type="http://schemas.openxmlformats.org/officeDocument/2006/relationships/hyperlink" Target="http://www.munzee.com" TargetMode="External"/><Relationship Id="rId361" Type="http://schemas.openxmlformats.org/officeDocument/2006/relationships/hyperlink" Target="http://www.munzee.com" TargetMode="External"/><Relationship Id="rId360" Type="http://schemas.openxmlformats.org/officeDocument/2006/relationships/hyperlink" Target="http://www.munzee.com" TargetMode="External"/><Relationship Id="rId367" Type="http://schemas.openxmlformats.org/officeDocument/2006/relationships/hyperlink" Target="http://www.munzee.com" TargetMode="External"/><Relationship Id="rId366" Type="http://schemas.openxmlformats.org/officeDocument/2006/relationships/hyperlink" Target="http://www.munzee.com" TargetMode="External"/><Relationship Id="rId365" Type="http://schemas.openxmlformats.org/officeDocument/2006/relationships/hyperlink" Target="http://www.munzee.com" TargetMode="External"/><Relationship Id="rId364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Derlame/12559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WiseOldWizard/3969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OdinsFiRe/1562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Anetzet/2648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TheFatCats/3601/" TargetMode="External"/><Relationship Id="rId92" Type="http://schemas.openxmlformats.org/officeDocument/2006/relationships/hyperlink" Target="http://www.munzee.com" TargetMode="External"/><Relationship Id="rId359" Type="http://schemas.openxmlformats.org/officeDocument/2006/relationships/hyperlink" Target="http://www.munzee.com" TargetMode="External"/><Relationship Id="rId358" Type="http://schemas.openxmlformats.org/officeDocument/2006/relationships/hyperlink" Target="http://www.munzee.com" TargetMode="External"/><Relationship Id="rId357" Type="http://schemas.openxmlformats.org/officeDocument/2006/relationships/hyperlink" Target="http://www.munzee.com" TargetMode="External"/><Relationship Id="rId352" Type="http://schemas.openxmlformats.org/officeDocument/2006/relationships/hyperlink" Target="http://www.munzee.com" TargetMode="External"/><Relationship Id="rId351" Type="http://schemas.openxmlformats.org/officeDocument/2006/relationships/hyperlink" Target="http://www.munzee.com" TargetMode="External"/><Relationship Id="rId350" Type="http://schemas.openxmlformats.org/officeDocument/2006/relationships/hyperlink" Target="http://www.munzee.com" TargetMode="External"/><Relationship Id="rId356" Type="http://schemas.openxmlformats.org/officeDocument/2006/relationships/hyperlink" Target="http://www.munzee.com" TargetMode="External"/><Relationship Id="rId355" Type="http://schemas.openxmlformats.org/officeDocument/2006/relationships/hyperlink" Target="http://www.munzee.com" TargetMode="External"/><Relationship Id="rId354" Type="http://schemas.openxmlformats.org/officeDocument/2006/relationships/hyperlink" Target="http://www.munzee.com" TargetMode="External"/><Relationship Id="rId353" Type="http://schemas.openxmlformats.org/officeDocument/2006/relationships/hyperlink" Target="http://www.munzee.com" TargetMode="External"/><Relationship Id="rId305" Type="http://schemas.openxmlformats.org/officeDocument/2006/relationships/hyperlink" Target="http://www.munzee.com" TargetMode="External"/><Relationship Id="rId304" Type="http://schemas.openxmlformats.org/officeDocument/2006/relationships/hyperlink" Target="http://www.munzee.com" TargetMode="External"/><Relationship Id="rId303" Type="http://schemas.openxmlformats.org/officeDocument/2006/relationships/hyperlink" Target="http://www.munzee.com" TargetMode="External"/><Relationship Id="rId302" Type="http://schemas.openxmlformats.org/officeDocument/2006/relationships/hyperlink" Target="http://www.munzee.com" TargetMode="External"/><Relationship Id="rId309" Type="http://schemas.openxmlformats.org/officeDocument/2006/relationships/hyperlink" Target="http://www.munzee.com" TargetMode="External"/><Relationship Id="rId308" Type="http://schemas.openxmlformats.org/officeDocument/2006/relationships/hyperlink" Target="http://www.munzee.com" TargetMode="External"/><Relationship Id="rId307" Type="http://schemas.openxmlformats.org/officeDocument/2006/relationships/hyperlink" Target="http://www.munzee.com" TargetMode="External"/><Relationship Id="rId306" Type="http://schemas.openxmlformats.org/officeDocument/2006/relationships/hyperlink" Target="http://www.munzee.com" TargetMode="External"/><Relationship Id="rId301" Type="http://schemas.openxmlformats.org/officeDocument/2006/relationships/hyperlink" Target="http://www.munzee.com" TargetMode="External"/><Relationship Id="rId300" Type="http://schemas.openxmlformats.org/officeDocument/2006/relationships/hyperlink" Target="http://www.munzee.com" TargetMode="External"/><Relationship Id="rId327" Type="http://schemas.openxmlformats.org/officeDocument/2006/relationships/hyperlink" Target="http://www.munzee.com" TargetMode="External"/><Relationship Id="rId326" Type="http://schemas.openxmlformats.org/officeDocument/2006/relationships/hyperlink" Target="http://www.munzee.com" TargetMode="External"/><Relationship Id="rId325" Type="http://schemas.openxmlformats.org/officeDocument/2006/relationships/hyperlink" Target="http://www.munzee.com" TargetMode="External"/><Relationship Id="rId324" Type="http://schemas.openxmlformats.org/officeDocument/2006/relationships/hyperlink" Target="http://www.munzee.com" TargetMode="External"/><Relationship Id="rId329" Type="http://schemas.openxmlformats.org/officeDocument/2006/relationships/hyperlink" Target="http://www.munzee.com" TargetMode="External"/><Relationship Id="rId328" Type="http://schemas.openxmlformats.org/officeDocument/2006/relationships/hyperlink" Target="http://www.munzee.com" TargetMode="External"/><Relationship Id="rId323" Type="http://schemas.openxmlformats.org/officeDocument/2006/relationships/hyperlink" Target="http://www.munzee.com" TargetMode="External"/><Relationship Id="rId322" Type="http://schemas.openxmlformats.org/officeDocument/2006/relationships/hyperlink" Target="http://www.munzee.com" TargetMode="External"/><Relationship Id="rId321" Type="http://schemas.openxmlformats.org/officeDocument/2006/relationships/hyperlink" Target="http://www.munzee.com" TargetMode="External"/><Relationship Id="rId320" Type="http://schemas.openxmlformats.org/officeDocument/2006/relationships/hyperlink" Target="http://www.munzee.com" TargetMode="External"/><Relationship Id="rId316" Type="http://schemas.openxmlformats.org/officeDocument/2006/relationships/hyperlink" Target="http://www.munzee.com" TargetMode="External"/><Relationship Id="rId315" Type="http://schemas.openxmlformats.org/officeDocument/2006/relationships/hyperlink" Target="http://www.munzee.com" TargetMode="External"/><Relationship Id="rId314" Type="http://schemas.openxmlformats.org/officeDocument/2006/relationships/hyperlink" Target="http://www.munzee.com" TargetMode="External"/><Relationship Id="rId313" Type="http://schemas.openxmlformats.org/officeDocument/2006/relationships/hyperlink" Target="http://www.munzee.com" TargetMode="External"/><Relationship Id="rId319" Type="http://schemas.openxmlformats.org/officeDocument/2006/relationships/hyperlink" Target="http://www.munzee.com" TargetMode="External"/><Relationship Id="rId318" Type="http://schemas.openxmlformats.org/officeDocument/2006/relationships/hyperlink" Target="http://www.munzee.com" TargetMode="External"/><Relationship Id="rId317" Type="http://schemas.openxmlformats.org/officeDocument/2006/relationships/hyperlink" Target="http://www.munzee.com" TargetMode="External"/><Relationship Id="rId312" Type="http://schemas.openxmlformats.org/officeDocument/2006/relationships/hyperlink" Target="http://www.munzee.com" TargetMode="External"/><Relationship Id="rId311" Type="http://schemas.openxmlformats.org/officeDocument/2006/relationships/hyperlink" Target="http://www.munzee.com" TargetMode="External"/><Relationship Id="rId310" Type="http://schemas.openxmlformats.org/officeDocument/2006/relationships/hyperlink" Target="http://www.munzee.com" TargetMode="External"/><Relationship Id="rId297" Type="http://schemas.openxmlformats.org/officeDocument/2006/relationships/hyperlink" Target="http://www.munzee.com" TargetMode="External"/><Relationship Id="rId296" Type="http://schemas.openxmlformats.org/officeDocument/2006/relationships/hyperlink" Target="http://www.munzee.com" TargetMode="External"/><Relationship Id="rId295" Type="http://schemas.openxmlformats.org/officeDocument/2006/relationships/hyperlink" Target="http://www.munzee.com" TargetMode="External"/><Relationship Id="rId294" Type="http://schemas.openxmlformats.org/officeDocument/2006/relationships/hyperlink" Target="http://www.munzee.com" TargetMode="External"/><Relationship Id="rId299" Type="http://schemas.openxmlformats.org/officeDocument/2006/relationships/hyperlink" Target="http://www.munzee.com" TargetMode="External"/><Relationship Id="rId298" Type="http://schemas.openxmlformats.org/officeDocument/2006/relationships/hyperlink" Target="http://www.munzee.com" TargetMode="External"/><Relationship Id="rId271" Type="http://schemas.openxmlformats.org/officeDocument/2006/relationships/hyperlink" Target="http://www.munzee.com" TargetMode="External"/><Relationship Id="rId270" Type="http://schemas.openxmlformats.org/officeDocument/2006/relationships/hyperlink" Target="http://www.munzee.com" TargetMode="External"/><Relationship Id="rId269" Type="http://schemas.openxmlformats.org/officeDocument/2006/relationships/hyperlink" Target="http://www.munzee.com" TargetMode="External"/><Relationship Id="rId264" Type="http://schemas.openxmlformats.org/officeDocument/2006/relationships/hyperlink" Target="http://www.munzee.com" TargetMode="External"/><Relationship Id="rId263" Type="http://schemas.openxmlformats.org/officeDocument/2006/relationships/hyperlink" Target="http://www.munzee.com" TargetMode="External"/><Relationship Id="rId262" Type="http://schemas.openxmlformats.org/officeDocument/2006/relationships/hyperlink" Target="http://www.munzee.com" TargetMode="External"/><Relationship Id="rId261" Type="http://schemas.openxmlformats.org/officeDocument/2006/relationships/hyperlink" Target="http://www.munzee.com" TargetMode="External"/><Relationship Id="rId268" Type="http://schemas.openxmlformats.org/officeDocument/2006/relationships/hyperlink" Target="http://www.munzee.com" TargetMode="External"/><Relationship Id="rId267" Type="http://schemas.openxmlformats.org/officeDocument/2006/relationships/hyperlink" Target="http://www.munzee.com" TargetMode="External"/><Relationship Id="rId266" Type="http://schemas.openxmlformats.org/officeDocument/2006/relationships/hyperlink" Target="http://www.munzee.com" TargetMode="External"/><Relationship Id="rId265" Type="http://schemas.openxmlformats.org/officeDocument/2006/relationships/hyperlink" Target="http://www.munzee.com" TargetMode="External"/><Relationship Id="rId260" Type="http://schemas.openxmlformats.org/officeDocument/2006/relationships/hyperlink" Target="http://www.munzee.com" TargetMode="External"/><Relationship Id="rId259" Type="http://schemas.openxmlformats.org/officeDocument/2006/relationships/hyperlink" Target="http://www.munzee.com" TargetMode="External"/><Relationship Id="rId258" Type="http://schemas.openxmlformats.org/officeDocument/2006/relationships/hyperlink" Target="http://www.munzee.com" TargetMode="External"/><Relationship Id="rId253" Type="http://schemas.openxmlformats.org/officeDocument/2006/relationships/hyperlink" Target="http://www.munzee.com" TargetMode="External"/><Relationship Id="rId252" Type="http://schemas.openxmlformats.org/officeDocument/2006/relationships/hyperlink" Target="http://www.munzee.com" TargetMode="External"/><Relationship Id="rId251" Type="http://schemas.openxmlformats.org/officeDocument/2006/relationships/hyperlink" Target="http://www.munzee.com" TargetMode="External"/><Relationship Id="rId250" Type="http://schemas.openxmlformats.org/officeDocument/2006/relationships/hyperlink" Target="http://www.munzee.com" TargetMode="External"/><Relationship Id="rId257" Type="http://schemas.openxmlformats.org/officeDocument/2006/relationships/hyperlink" Target="http://www.munzee.com" TargetMode="External"/><Relationship Id="rId256" Type="http://schemas.openxmlformats.org/officeDocument/2006/relationships/hyperlink" Target="http://www.munzee.com" TargetMode="External"/><Relationship Id="rId255" Type="http://schemas.openxmlformats.org/officeDocument/2006/relationships/hyperlink" Target="http://www.munzee.com" TargetMode="External"/><Relationship Id="rId254" Type="http://schemas.openxmlformats.org/officeDocument/2006/relationships/hyperlink" Target="http://www.munzee.com" TargetMode="External"/><Relationship Id="rId293" Type="http://schemas.openxmlformats.org/officeDocument/2006/relationships/hyperlink" Target="http://www.munzee.com" TargetMode="External"/><Relationship Id="rId292" Type="http://schemas.openxmlformats.org/officeDocument/2006/relationships/hyperlink" Target="http://www.munzee.com" TargetMode="External"/><Relationship Id="rId291" Type="http://schemas.openxmlformats.org/officeDocument/2006/relationships/hyperlink" Target="http://www.munzee.com" TargetMode="External"/><Relationship Id="rId290" Type="http://schemas.openxmlformats.org/officeDocument/2006/relationships/hyperlink" Target="http://www.munzee.com" TargetMode="External"/><Relationship Id="rId286" Type="http://schemas.openxmlformats.org/officeDocument/2006/relationships/hyperlink" Target="http://www.munzee.com" TargetMode="External"/><Relationship Id="rId285" Type="http://schemas.openxmlformats.org/officeDocument/2006/relationships/hyperlink" Target="http://www.munzee.com" TargetMode="External"/><Relationship Id="rId284" Type="http://schemas.openxmlformats.org/officeDocument/2006/relationships/hyperlink" Target="http://www.munzee.com" TargetMode="External"/><Relationship Id="rId283" Type="http://schemas.openxmlformats.org/officeDocument/2006/relationships/hyperlink" Target="http://www.munzee.com" TargetMode="External"/><Relationship Id="rId289" Type="http://schemas.openxmlformats.org/officeDocument/2006/relationships/hyperlink" Target="http://www.munzee.com" TargetMode="External"/><Relationship Id="rId288" Type="http://schemas.openxmlformats.org/officeDocument/2006/relationships/hyperlink" Target="http://www.munzee.com" TargetMode="External"/><Relationship Id="rId287" Type="http://schemas.openxmlformats.org/officeDocument/2006/relationships/hyperlink" Target="http://www.munzee.com" TargetMode="External"/><Relationship Id="rId282" Type="http://schemas.openxmlformats.org/officeDocument/2006/relationships/hyperlink" Target="http://www.munzee.com" TargetMode="External"/><Relationship Id="rId281" Type="http://schemas.openxmlformats.org/officeDocument/2006/relationships/hyperlink" Target="http://www.munzee.com" TargetMode="External"/><Relationship Id="rId280" Type="http://schemas.openxmlformats.org/officeDocument/2006/relationships/hyperlink" Target="http://www.munzee.com" TargetMode="External"/><Relationship Id="rId275" Type="http://schemas.openxmlformats.org/officeDocument/2006/relationships/hyperlink" Target="http://www.munzee.com" TargetMode="External"/><Relationship Id="rId274" Type="http://schemas.openxmlformats.org/officeDocument/2006/relationships/hyperlink" Target="http://www.munzee.com" TargetMode="External"/><Relationship Id="rId273" Type="http://schemas.openxmlformats.org/officeDocument/2006/relationships/hyperlink" Target="http://www.munzee.com" TargetMode="External"/><Relationship Id="rId272" Type="http://schemas.openxmlformats.org/officeDocument/2006/relationships/hyperlink" Target="http://www.munzee.com" TargetMode="External"/><Relationship Id="rId279" Type="http://schemas.openxmlformats.org/officeDocument/2006/relationships/hyperlink" Target="http://www.munzee.com" TargetMode="External"/><Relationship Id="rId278" Type="http://schemas.openxmlformats.org/officeDocument/2006/relationships/hyperlink" Target="http://www.munzee.com" TargetMode="External"/><Relationship Id="rId277" Type="http://schemas.openxmlformats.org/officeDocument/2006/relationships/hyperlink" Target="http://www.munzee.com" TargetMode="External"/><Relationship Id="rId276" Type="http://schemas.openxmlformats.org/officeDocument/2006/relationships/hyperlink" Target="http://www.munzee.com" TargetMode="External"/><Relationship Id="rId228" Type="http://schemas.openxmlformats.org/officeDocument/2006/relationships/hyperlink" Target="http://www.munzee.com" TargetMode="External"/><Relationship Id="rId227" Type="http://schemas.openxmlformats.org/officeDocument/2006/relationships/hyperlink" Target="http://www.munzee.com" TargetMode="External"/><Relationship Id="rId226" Type="http://schemas.openxmlformats.org/officeDocument/2006/relationships/hyperlink" Target="http://www.munzee.com" TargetMode="External"/><Relationship Id="rId225" Type="http://schemas.openxmlformats.org/officeDocument/2006/relationships/hyperlink" Target="http://www.munzee.com" TargetMode="External"/><Relationship Id="rId229" Type="http://schemas.openxmlformats.org/officeDocument/2006/relationships/hyperlink" Target="http://www.munzee.com" TargetMode="External"/><Relationship Id="rId220" Type="http://schemas.openxmlformats.org/officeDocument/2006/relationships/hyperlink" Target="http://www.munzee.com" TargetMode="External"/><Relationship Id="rId224" Type="http://schemas.openxmlformats.org/officeDocument/2006/relationships/hyperlink" Target="http://www.munzee.com" TargetMode="External"/><Relationship Id="rId223" Type="http://schemas.openxmlformats.org/officeDocument/2006/relationships/hyperlink" Target="http://www.munzee.com" TargetMode="External"/><Relationship Id="rId222" Type="http://schemas.openxmlformats.org/officeDocument/2006/relationships/hyperlink" Target="http://www.munzee.com" TargetMode="External"/><Relationship Id="rId221" Type="http://schemas.openxmlformats.org/officeDocument/2006/relationships/hyperlink" Target="http://www.munzee.com" TargetMode="External"/><Relationship Id="rId217" Type="http://schemas.openxmlformats.org/officeDocument/2006/relationships/hyperlink" Target="http://www.munzee.com" TargetMode="External"/><Relationship Id="rId216" Type="http://schemas.openxmlformats.org/officeDocument/2006/relationships/hyperlink" Target="http://www.munzee.com" TargetMode="External"/><Relationship Id="rId215" Type="http://schemas.openxmlformats.org/officeDocument/2006/relationships/hyperlink" Target="http://www.munzee.com" TargetMode="External"/><Relationship Id="rId214" Type="http://schemas.openxmlformats.org/officeDocument/2006/relationships/hyperlink" Target="http://www.munzee.com" TargetMode="External"/><Relationship Id="rId219" Type="http://schemas.openxmlformats.org/officeDocument/2006/relationships/hyperlink" Target="http://www.munzee.com" TargetMode="External"/><Relationship Id="rId218" Type="http://schemas.openxmlformats.org/officeDocument/2006/relationships/hyperlink" Target="http://www.munzee.com" TargetMode="External"/><Relationship Id="rId213" Type="http://schemas.openxmlformats.org/officeDocument/2006/relationships/hyperlink" Target="http://www.munzee.com" TargetMode="External"/><Relationship Id="rId212" Type="http://schemas.openxmlformats.org/officeDocument/2006/relationships/hyperlink" Target="http://www.munzee.com" TargetMode="External"/><Relationship Id="rId211" Type="http://schemas.openxmlformats.org/officeDocument/2006/relationships/hyperlink" Target="http://www.munzee.com" TargetMode="External"/><Relationship Id="rId210" Type="http://schemas.openxmlformats.org/officeDocument/2006/relationships/hyperlink" Target="http://www.munzee.com" TargetMode="External"/><Relationship Id="rId249" Type="http://schemas.openxmlformats.org/officeDocument/2006/relationships/hyperlink" Target="http://www.munzee.com" TargetMode="External"/><Relationship Id="rId248" Type="http://schemas.openxmlformats.org/officeDocument/2006/relationships/hyperlink" Target="http://www.munzee.com" TargetMode="External"/><Relationship Id="rId247" Type="http://schemas.openxmlformats.org/officeDocument/2006/relationships/hyperlink" Target="http://www.munzee.com" TargetMode="External"/><Relationship Id="rId242" Type="http://schemas.openxmlformats.org/officeDocument/2006/relationships/hyperlink" Target="http://www.munzee.com" TargetMode="External"/><Relationship Id="rId241" Type="http://schemas.openxmlformats.org/officeDocument/2006/relationships/hyperlink" Target="http://www.munzee.com" TargetMode="External"/><Relationship Id="rId240" Type="http://schemas.openxmlformats.org/officeDocument/2006/relationships/hyperlink" Target="http://www.munzee.com" TargetMode="External"/><Relationship Id="rId246" Type="http://schemas.openxmlformats.org/officeDocument/2006/relationships/hyperlink" Target="http://www.munzee.com" TargetMode="External"/><Relationship Id="rId245" Type="http://schemas.openxmlformats.org/officeDocument/2006/relationships/hyperlink" Target="http://www.munzee.com" TargetMode="External"/><Relationship Id="rId244" Type="http://schemas.openxmlformats.org/officeDocument/2006/relationships/hyperlink" Target="http://www.munzee.com" TargetMode="External"/><Relationship Id="rId243" Type="http://schemas.openxmlformats.org/officeDocument/2006/relationships/hyperlink" Target="http://www.munzee.com" TargetMode="External"/><Relationship Id="rId239" Type="http://schemas.openxmlformats.org/officeDocument/2006/relationships/hyperlink" Target="http://www.munzee.com" TargetMode="External"/><Relationship Id="rId238" Type="http://schemas.openxmlformats.org/officeDocument/2006/relationships/hyperlink" Target="http://www.munzee.com" TargetMode="External"/><Relationship Id="rId237" Type="http://schemas.openxmlformats.org/officeDocument/2006/relationships/hyperlink" Target="http://www.munzee.com" TargetMode="External"/><Relationship Id="rId236" Type="http://schemas.openxmlformats.org/officeDocument/2006/relationships/hyperlink" Target="http://www.munzee.com" TargetMode="External"/><Relationship Id="rId231" Type="http://schemas.openxmlformats.org/officeDocument/2006/relationships/hyperlink" Target="http://www.munzee.com" TargetMode="External"/><Relationship Id="rId230" Type="http://schemas.openxmlformats.org/officeDocument/2006/relationships/hyperlink" Target="http://www.munzee.com" TargetMode="External"/><Relationship Id="rId235" Type="http://schemas.openxmlformats.org/officeDocument/2006/relationships/hyperlink" Target="http://www.munzee.com" TargetMode="External"/><Relationship Id="rId234" Type="http://schemas.openxmlformats.org/officeDocument/2006/relationships/hyperlink" Target="http://www.munzee.com" TargetMode="External"/><Relationship Id="rId233" Type="http://schemas.openxmlformats.org/officeDocument/2006/relationships/hyperlink" Target="http://www.munzee.com" TargetMode="External"/><Relationship Id="rId232" Type="http://schemas.openxmlformats.org/officeDocument/2006/relationships/hyperlink" Target="http://www.munzee.com" TargetMode="External"/><Relationship Id="rId206" Type="http://schemas.openxmlformats.org/officeDocument/2006/relationships/hyperlink" Target="http://www.munzee.com" TargetMode="External"/><Relationship Id="rId205" Type="http://schemas.openxmlformats.org/officeDocument/2006/relationships/hyperlink" Target="http://www.munzee.com" TargetMode="External"/><Relationship Id="rId204" Type="http://schemas.openxmlformats.org/officeDocument/2006/relationships/hyperlink" Target="http://www.munzee.com" TargetMode="External"/><Relationship Id="rId203" Type="http://schemas.openxmlformats.org/officeDocument/2006/relationships/hyperlink" Target="http://www.munzee.com" TargetMode="External"/><Relationship Id="rId209" Type="http://schemas.openxmlformats.org/officeDocument/2006/relationships/hyperlink" Target="http://www.munzee.com" TargetMode="External"/><Relationship Id="rId208" Type="http://schemas.openxmlformats.org/officeDocument/2006/relationships/hyperlink" Target="http://www.munzee.com" TargetMode="External"/><Relationship Id="rId207" Type="http://schemas.openxmlformats.org/officeDocument/2006/relationships/hyperlink" Target="http://www.munzee.com" TargetMode="External"/><Relationship Id="rId202" Type="http://schemas.openxmlformats.org/officeDocument/2006/relationships/hyperlink" Target="http://www.munzee.com" TargetMode="External"/><Relationship Id="rId201" Type="http://schemas.openxmlformats.org/officeDocument/2006/relationships/hyperlink" Target="http://www.munzee.com" TargetMode="External"/><Relationship Id="rId200" Type="http://schemas.openxmlformats.org/officeDocument/2006/relationships/hyperlink" Target="http://www.munzee.com" TargetMode="External"/><Relationship Id="rId509" Type="http://schemas.openxmlformats.org/officeDocument/2006/relationships/hyperlink" Target="http://www.munzee.com" TargetMode="External"/><Relationship Id="rId508" Type="http://schemas.openxmlformats.org/officeDocument/2006/relationships/hyperlink" Target="http://www.munzee.com" TargetMode="External"/><Relationship Id="rId503" Type="http://schemas.openxmlformats.org/officeDocument/2006/relationships/hyperlink" Target="http://www.munzee.com" TargetMode="External"/><Relationship Id="rId502" Type="http://schemas.openxmlformats.org/officeDocument/2006/relationships/hyperlink" Target="http://www.munzee.com" TargetMode="External"/><Relationship Id="rId501" Type="http://schemas.openxmlformats.org/officeDocument/2006/relationships/hyperlink" Target="http://www.munzee.com" TargetMode="External"/><Relationship Id="rId500" Type="http://schemas.openxmlformats.org/officeDocument/2006/relationships/hyperlink" Target="http://www.munzee.com" TargetMode="External"/><Relationship Id="rId507" Type="http://schemas.openxmlformats.org/officeDocument/2006/relationships/hyperlink" Target="http://www.munzee.com" TargetMode="External"/><Relationship Id="rId506" Type="http://schemas.openxmlformats.org/officeDocument/2006/relationships/hyperlink" Target="http://www.munzee.com" TargetMode="External"/><Relationship Id="rId505" Type="http://schemas.openxmlformats.org/officeDocument/2006/relationships/hyperlink" Target="http://www.munzee.com" TargetMode="External"/><Relationship Id="rId504" Type="http://schemas.openxmlformats.org/officeDocument/2006/relationships/hyperlink" Target="http://www.munzee.com" TargetMode="External"/><Relationship Id="rId525" Type="http://schemas.openxmlformats.org/officeDocument/2006/relationships/hyperlink" Target="http://www.munzee.com" TargetMode="External"/><Relationship Id="rId524" Type="http://schemas.openxmlformats.org/officeDocument/2006/relationships/hyperlink" Target="http://www.munzee.com" TargetMode="External"/><Relationship Id="rId523" Type="http://schemas.openxmlformats.org/officeDocument/2006/relationships/hyperlink" Target="http://www.munzee.com" TargetMode="External"/><Relationship Id="rId522" Type="http://schemas.openxmlformats.org/officeDocument/2006/relationships/hyperlink" Target="http://www.munzee.com" TargetMode="External"/><Relationship Id="rId529" Type="http://schemas.openxmlformats.org/officeDocument/2006/relationships/hyperlink" Target="http://www.munzee.com" TargetMode="External"/><Relationship Id="rId528" Type="http://schemas.openxmlformats.org/officeDocument/2006/relationships/hyperlink" Target="http://www.munzee.com" TargetMode="External"/><Relationship Id="rId527" Type="http://schemas.openxmlformats.org/officeDocument/2006/relationships/hyperlink" Target="http://www.munzee.com" TargetMode="External"/><Relationship Id="rId526" Type="http://schemas.openxmlformats.org/officeDocument/2006/relationships/hyperlink" Target="http://www.munzee.com" TargetMode="External"/><Relationship Id="rId521" Type="http://schemas.openxmlformats.org/officeDocument/2006/relationships/hyperlink" Target="http://www.munzee.com" TargetMode="External"/><Relationship Id="rId520" Type="http://schemas.openxmlformats.org/officeDocument/2006/relationships/hyperlink" Target="http://www.munzee.com" TargetMode="External"/><Relationship Id="rId519" Type="http://schemas.openxmlformats.org/officeDocument/2006/relationships/hyperlink" Target="http://www.munzee.com" TargetMode="External"/><Relationship Id="rId514" Type="http://schemas.openxmlformats.org/officeDocument/2006/relationships/hyperlink" Target="http://www.munzee.com" TargetMode="External"/><Relationship Id="rId513" Type="http://schemas.openxmlformats.org/officeDocument/2006/relationships/hyperlink" Target="http://www.munzee.com" TargetMode="External"/><Relationship Id="rId512" Type="http://schemas.openxmlformats.org/officeDocument/2006/relationships/hyperlink" Target="http://www.munzee.com" TargetMode="External"/><Relationship Id="rId511" Type="http://schemas.openxmlformats.org/officeDocument/2006/relationships/hyperlink" Target="http://www.munzee.com" TargetMode="External"/><Relationship Id="rId518" Type="http://schemas.openxmlformats.org/officeDocument/2006/relationships/hyperlink" Target="http://www.munzee.com" TargetMode="External"/><Relationship Id="rId517" Type="http://schemas.openxmlformats.org/officeDocument/2006/relationships/hyperlink" Target="http://www.munzee.com" TargetMode="External"/><Relationship Id="rId516" Type="http://schemas.openxmlformats.org/officeDocument/2006/relationships/hyperlink" Target="http://www.munzee.com" TargetMode="External"/><Relationship Id="rId515" Type="http://schemas.openxmlformats.org/officeDocument/2006/relationships/hyperlink" Target="http://www.munzee.com" TargetMode="External"/><Relationship Id="rId510" Type="http://schemas.openxmlformats.org/officeDocument/2006/relationships/hyperlink" Target="http://www.munzee.com" TargetMode="External"/><Relationship Id="rId547" Type="http://schemas.openxmlformats.org/officeDocument/2006/relationships/hyperlink" Target="http://www.munzee.com" TargetMode="External"/><Relationship Id="rId546" Type="http://schemas.openxmlformats.org/officeDocument/2006/relationships/hyperlink" Target="http://www.munzee.com" TargetMode="External"/><Relationship Id="rId545" Type="http://schemas.openxmlformats.org/officeDocument/2006/relationships/hyperlink" Target="http://www.munzee.com" TargetMode="External"/><Relationship Id="rId544" Type="http://schemas.openxmlformats.org/officeDocument/2006/relationships/hyperlink" Target="http://www.munzee.com" TargetMode="External"/><Relationship Id="rId549" Type="http://schemas.openxmlformats.org/officeDocument/2006/relationships/hyperlink" Target="http://www.munzee.com" TargetMode="External"/><Relationship Id="rId548" Type="http://schemas.openxmlformats.org/officeDocument/2006/relationships/hyperlink" Target="http://www.munzee.com" TargetMode="External"/><Relationship Id="rId543" Type="http://schemas.openxmlformats.org/officeDocument/2006/relationships/hyperlink" Target="http://www.munzee.com" TargetMode="External"/><Relationship Id="rId542" Type="http://schemas.openxmlformats.org/officeDocument/2006/relationships/hyperlink" Target="http://www.munzee.com" TargetMode="External"/><Relationship Id="rId541" Type="http://schemas.openxmlformats.org/officeDocument/2006/relationships/hyperlink" Target="http://www.munzee.com" TargetMode="External"/><Relationship Id="rId540" Type="http://schemas.openxmlformats.org/officeDocument/2006/relationships/hyperlink" Target="http://www.munzee.com" TargetMode="External"/><Relationship Id="rId536" Type="http://schemas.openxmlformats.org/officeDocument/2006/relationships/hyperlink" Target="http://www.munzee.com" TargetMode="External"/><Relationship Id="rId535" Type="http://schemas.openxmlformats.org/officeDocument/2006/relationships/hyperlink" Target="http://www.munzee.com" TargetMode="External"/><Relationship Id="rId534" Type="http://schemas.openxmlformats.org/officeDocument/2006/relationships/hyperlink" Target="http://www.munzee.com" TargetMode="External"/><Relationship Id="rId533" Type="http://schemas.openxmlformats.org/officeDocument/2006/relationships/hyperlink" Target="http://www.munzee.com" TargetMode="External"/><Relationship Id="rId539" Type="http://schemas.openxmlformats.org/officeDocument/2006/relationships/hyperlink" Target="http://www.munzee.com" TargetMode="External"/><Relationship Id="rId538" Type="http://schemas.openxmlformats.org/officeDocument/2006/relationships/hyperlink" Target="http://www.munzee.com" TargetMode="External"/><Relationship Id="rId537" Type="http://schemas.openxmlformats.org/officeDocument/2006/relationships/hyperlink" Target="http://www.munzee.com" TargetMode="External"/><Relationship Id="rId532" Type="http://schemas.openxmlformats.org/officeDocument/2006/relationships/hyperlink" Target="http://www.munzee.com" TargetMode="External"/><Relationship Id="rId531" Type="http://schemas.openxmlformats.org/officeDocument/2006/relationships/hyperlink" Target="http://www.munzee.com" TargetMode="External"/><Relationship Id="rId530" Type="http://schemas.openxmlformats.org/officeDocument/2006/relationships/hyperlink" Target="http://www.munzee.com" TargetMode="External"/><Relationship Id="rId568" Type="http://schemas.openxmlformats.org/officeDocument/2006/relationships/table" Target="../tables/table34.xml"/><Relationship Id="rId566" Type="http://schemas.openxmlformats.org/officeDocument/2006/relationships/drawing" Target="../drawings/drawing37.xml"/><Relationship Id="rId561" Type="http://schemas.openxmlformats.org/officeDocument/2006/relationships/hyperlink" Target="http://www.munzee.com" TargetMode="External"/><Relationship Id="rId560" Type="http://schemas.openxmlformats.org/officeDocument/2006/relationships/hyperlink" Target="http://www.munzee.com" TargetMode="External"/><Relationship Id="rId565" Type="http://schemas.openxmlformats.org/officeDocument/2006/relationships/hyperlink" Target="http://www.munzee.com" TargetMode="External"/><Relationship Id="rId564" Type="http://schemas.openxmlformats.org/officeDocument/2006/relationships/hyperlink" Target="http://www.munzee.com" TargetMode="External"/><Relationship Id="rId563" Type="http://schemas.openxmlformats.org/officeDocument/2006/relationships/hyperlink" Target="http://www.munzee.com" TargetMode="External"/><Relationship Id="rId562" Type="http://schemas.openxmlformats.org/officeDocument/2006/relationships/hyperlink" Target="http://www.munzee.com" TargetMode="External"/><Relationship Id="rId558" Type="http://schemas.openxmlformats.org/officeDocument/2006/relationships/hyperlink" Target="http://www.munzee.com" TargetMode="External"/><Relationship Id="rId557" Type="http://schemas.openxmlformats.org/officeDocument/2006/relationships/hyperlink" Target="http://www.munzee.com" TargetMode="External"/><Relationship Id="rId556" Type="http://schemas.openxmlformats.org/officeDocument/2006/relationships/hyperlink" Target="http://www.munzee.com" TargetMode="External"/><Relationship Id="rId555" Type="http://schemas.openxmlformats.org/officeDocument/2006/relationships/hyperlink" Target="http://www.munzee.com" TargetMode="External"/><Relationship Id="rId559" Type="http://schemas.openxmlformats.org/officeDocument/2006/relationships/hyperlink" Target="http://www.munzee.com" TargetMode="External"/><Relationship Id="rId550" Type="http://schemas.openxmlformats.org/officeDocument/2006/relationships/hyperlink" Target="http://www.munzee.com" TargetMode="External"/><Relationship Id="rId554" Type="http://schemas.openxmlformats.org/officeDocument/2006/relationships/hyperlink" Target="http://www.munzee.com" TargetMode="External"/><Relationship Id="rId553" Type="http://schemas.openxmlformats.org/officeDocument/2006/relationships/hyperlink" Target="http://www.munzee.com" TargetMode="External"/><Relationship Id="rId552" Type="http://schemas.openxmlformats.org/officeDocument/2006/relationships/hyperlink" Target="http://www.munzee.com" TargetMode="External"/><Relationship Id="rId551" Type="http://schemas.openxmlformats.org/officeDocument/2006/relationships/hyperlink" Target="http://www.munzee.com" TargetMode="External"/><Relationship Id="rId495" Type="http://schemas.openxmlformats.org/officeDocument/2006/relationships/hyperlink" Target="http://www.munzee.com" TargetMode="External"/><Relationship Id="rId494" Type="http://schemas.openxmlformats.org/officeDocument/2006/relationships/hyperlink" Target="http://www.munzee.com" TargetMode="External"/><Relationship Id="rId493" Type="http://schemas.openxmlformats.org/officeDocument/2006/relationships/hyperlink" Target="http://www.munzee.com" TargetMode="External"/><Relationship Id="rId492" Type="http://schemas.openxmlformats.org/officeDocument/2006/relationships/hyperlink" Target="http://www.munzee.com" TargetMode="External"/><Relationship Id="rId499" Type="http://schemas.openxmlformats.org/officeDocument/2006/relationships/hyperlink" Target="http://www.munzee.com" TargetMode="External"/><Relationship Id="rId498" Type="http://schemas.openxmlformats.org/officeDocument/2006/relationships/hyperlink" Target="http://www.munzee.com" TargetMode="External"/><Relationship Id="rId497" Type="http://schemas.openxmlformats.org/officeDocument/2006/relationships/hyperlink" Target="http://www.munzee.com" TargetMode="External"/><Relationship Id="rId496" Type="http://schemas.openxmlformats.org/officeDocument/2006/relationships/hyperlink" Target="http://www.munzee.com" TargetMode="External"/><Relationship Id="rId409" Type="http://schemas.openxmlformats.org/officeDocument/2006/relationships/hyperlink" Target="http://www.munzee.com" TargetMode="External"/><Relationship Id="rId404" Type="http://schemas.openxmlformats.org/officeDocument/2006/relationships/hyperlink" Target="http://www.munzee.com" TargetMode="External"/><Relationship Id="rId403" Type="http://schemas.openxmlformats.org/officeDocument/2006/relationships/hyperlink" Target="http://www.munzee.com" TargetMode="External"/><Relationship Id="rId402" Type="http://schemas.openxmlformats.org/officeDocument/2006/relationships/hyperlink" Target="http://www.munzee.com" TargetMode="External"/><Relationship Id="rId401" Type="http://schemas.openxmlformats.org/officeDocument/2006/relationships/hyperlink" Target="http://www.munzee.com" TargetMode="External"/><Relationship Id="rId408" Type="http://schemas.openxmlformats.org/officeDocument/2006/relationships/hyperlink" Target="http://www.munzee.com" TargetMode="External"/><Relationship Id="rId407" Type="http://schemas.openxmlformats.org/officeDocument/2006/relationships/hyperlink" Target="http://www.munzee.com" TargetMode="External"/><Relationship Id="rId406" Type="http://schemas.openxmlformats.org/officeDocument/2006/relationships/hyperlink" Target="http://www.munzee.com" TargetMode="External"/><Relationship Id="rId405" Type="http://schemas.openxmlformats.org/officeDocument/2006/relationships/hyperlink" Target="http://www.munzee.com" TargetMode="External"/><Relationship Id="rId400" Type="http://schemas.openxmlformats.org/officeDocument/2006/relationships/hyperlink" Target="http://www.munzee.com" TargetMode="External"/><Relationship Id="rId469" Type="http://schemas.openxmlformats.org/officeDocument/2006/relationships/hyperlink" Target="http://www.munzee.com" TargetMode="External"/><Relationship Id="rId468" Type="http://schemas.openxmlformats.org/officeDocument/2006/relationships/hyperlink" Target="http://www.munzee.com" TargetMode="External"/><Relationship Id="rId467" Type="http://schemas.openxmlformats.org/officeDocument/2006/relationships/hyperlink" Target="http://www.munzee.com" TargetMode="External"/><Relationship Id="rId462" Type="http://schemas.openxmlformats.org/officeDocument/2006/relationships/hyperlink" Target="http://www.munzee.com" TargetMode="External"/><Relationship Id="rId461" Type="http://schemas.openxmlformats.org/officeDocument/2006/relationships/hyperlink" Target="http://www.munzee.com" TargetMode="External"/><Relationship Id="rId460" Type="http://schemas.openxmlformats.org/officeDocument/2006/relationships/hyperlink" Target="http://www.munzee.com" TargetMode="External"/><Relationship Id="rId466" Type="http://schemas.openxmlformats.org/officeDocument/2006/relationships/hyperlink" Target="http://www.munzee.com" TargetMode="External"/><Relationship Id="rId465" Type="http://schemas.openxmlformats.org/officeDocument/2006/relationships/hyperlink" Target="http://www.munzee.com" TargetMode="External"/><Relationship Id="rId464" Type="http://schemas.openxmlformats.org/officeDocument/2006/relationships/hyperlink" Target="http://www.munzee.com" TargetMode="External"/><Relationship Id="rId463" Type="http://schemas.openxmlformats.org/officeDocument/2006/relationships/hyperlink" Target="http://www.munzee.com" TargetMode="External"/><Relationship Id="rId459" Type="http://schemas.openxmlformats.org/officeDocument/2006/relationships/hyperlink" Target="http://www.munzee.com" TargetMode="External"/><Relationship Id="rId458" Type="http://schemas.openxmlformats.org/officeDocument/2006/relationships/hyperlink" Target="http://www.munzee.com" TargetMode="External"/><Relationship Id="rId457" Type="http://schemas.openxmlformats.org/officeDocument/2006/relationships/hyperlink" Target="http://www.munzee.com" TargetMode="External"/><Relationship Id="rId456" Type="http://schemas.openxmlformats.org/officeDocument/2006/relationships/hyperlink" Target="http://www.munzee.com" TargetMode="External"/><Relationship Id="rId451" Type="http://schemas.openxmlformats.org/officeDocument/2006/relationships/hyperlink" Target="http://www.munzee.com" TargetMode="External"/><Relationship Id="rId450" Type="http://schemas.openxmlformats.org/officeDocument/2006/relationships/hyperlink" Target="http://www.munzee.com" TargetMode="External"/><Relationship Id="rId455" Type="http://schemas.openxmlformats.org/officeDocument/2006/relationships/hyperlink" Target="http://www.munzee.com" TargetMode="External"/><Relationship Id="rId454" Type="http://schemas.openxmlformats.org/officeDocument/2006/relationships/hyperlink" Target="http://www.munzee.com" TargetMode="External"/><Relationship Id="rId453" Type="http://schemas.openxmlformats.org/officeDocument/2006/relationships/hyperlink" Target="http://www.munzee.com" TargetMode="External"/><Relationship Id="rId452" Type="http://schemas.openxmlformats.org/officeDocument/2006/relationships/hyperlink" Target="http://www.munzee.com" TargetMode="External"/><Relationship Id="rId491" Type="http://schemas.openxmlformats.org/officeDocument/2006/relationships/hyperlink" Target="http://www.munzee.com" TargetMode="External"/><Relationship Id="rId490" Type="http://schemas.openxmlformats.org/officeDocument/2006/relationships/hyperlink" Target="http://www.munzee.com" TargetMode="External"/><Relationship Id="rId489" Type="http://schemas.openxmlformats.org/officeDocument/2006/relationships/hyperlink" Target="http://www.munzee.com" TargetMode="External"/><Relationship Id="rId484" Type="http://schemas.openxmlformats.org/officeDocument/2006/relationships/hyperlink" Target="http://www.munzee.com" TargetMode="External"/><Relationship Id="rId483" Type="http://schemas.openxmlformats.org/officeDocument/2006/relationships/hyperlink" Target="http://www.munzee.com" TargetMode="External"/><Relationship Id="rId482" Type="http://schemas.openxmlformats.org/officeDocument/2006/relationships/hyperlink" Target="http://www.munzee.com" TargetMode="External"/><Relationship Id="rId481" Type="http://schemas.openxmlformats.org/officeDocument/2006/relationships/hyperlink" Target="http://www.munzee.com" TargetMode="External"/><Relationship Id="rId488" Type="http://schemas.openxmlformats.org/officeDocument/2006/relationships/hyperlink" Target="http://www.munzee.com" TargetMode="External"/><Relationship Id="rId487" Type="http://schemas.openxmlformats.org/officeDocument/2006/relationships/hyperlink" Target="http://www.munzee.com" TargetMode="External"/><Relationship Id="rId486" Type="http://schemas.openxmlformats.org/officeDocument/2006/relationships/hyperlink" Target="http://www.munzee.com" TargetMode="External"/><Relationship Id="rId485" Type="http://schemas.openxmlformats.org/officeDocument/2006/relationships/hyperlink" Target="http://www.munzee.com" TargetMode="External"/><Relationship Id="rId480" Type="http://schemas.openxmlformats.org/officeDocument/2006/relationships/hyperlink" Target="http://www.munzee.com" TargetMode="External"/><Relationship Id="rId479" Type="http://schemas.openxmlformats.org/officeDocument/2006/relationships/hyperlink" Target="http://www.munzee.com" TargetMode="External"/><Relationship Id="rId478" Type="http://schemas.openxmlformats.org/officeDocument/2006/relationships/hyperlink" Target="http://www.munzee.com" TargetMode="External"/><Relationship Id="rId473" Type="http://schemas.openxmlformats.org/officeDocument/2006/relationships/hyperlink" Target="http://www.munzee.com" TargetMode="External"/><Relationship Id="rId472" Type="http://schemas.openxmlformats.org/officeDocument/2006/relationships/hyperlink" Target="http://www.munzee.com" TargetMode="External"/><Relationship Id="rId471" Type="http://schemas.openxmlformats.org/officeDocument/2006/relationships/hyperlink" Target="http://www.munzee.com" TargetMode="External"/><Relationship Id="rId470" Type="http://schemas.openxmlformats.org/officeDocument/2006/relationships/hyperlink" Target="http://www.munzee.com" TargetMode="External"/><Relationship Id="rId477" Type="http://schemas.openxmlformats.org/officeDocument/2006/relationships/hyperlink" Target="http://www.munzee.com" TargetMode="External"/><Relationship Id="rId476" Type="http://schemas.openxmlformats.org/officeDocument/2006/relationships/hyperlink" Target="http://www.munzee.com" TargetMode="External"/><Relationship Id="rId475" Type="http://schemas.openxmlformats.org/officeDocument/2006/relationships/hyperlink" Target="http://www.munzee.com" TargetMode="External"/><Relationship Id="rId474" Type="http://schemas.openxmlformats.org/officeDocument/2006/relationships/hyperlink" Target="http://www.munzee.com" TargetMode="External"/><Relationship Id="rId426" Type="http://schemas.openxmlformats.org/officeDocument/2006/relationships/hyperlink" Target="http://www.munzee.com" TargetMode="External"/><Relationship Id="rId425" Type="http://schemas.openxmlformats.org/officeDocument/2006/relationships/hyperlink" Target="http://www.munzee.com" TargetMode="External"/><Relationship Id="rId424" Type="http://schemas.openxmlformats.org/officeDocument/2006/relationships/hyperlink" Target="http://www.munzee.com" TargetMode="External"/><Relationship Id="rId423" Type="http://schemas.openxmlformats.org/officeDocument/2006/relationships/hyperlink" Target="http://www.munzee.com" TargetMode="External"/><Relationship Id="rId429" Type="http://schemas.openxmlformats.org/officeDocument/2006/relationships/hyperlink" Target="http://www.munzee.com" TargetMode="External"/><Relationship Id="rId428" Type="http://schemas.openxmlformats.org/officeDocument/2006/relationships/hyperlink" Target="http://www.munzee.com" TargetMode="External"/><Relationship Id="rId427" Type="http://schemas.openxmlformats.org/officeDocument/2006/relationships/hyperlink" Target="http://www.munzee.com" TargetMode="External"/><Relationship Id="rId422" Type="http://schemas.openxmlformats.org/officeDocument/2006/relationships/hyperlink" Target="http://www.munzee.com" TargetMode="External"/><Relationship Id="rId421" Type="http://schemas.openxmlformats.org/officeDocument/2006/relationships/hyperlink" Target="http://www.munzee.com" TargetMode="External"/><Relationship Id="rId420" Type="http://schemas.openxmlformats.org/officeDocument/2006/relationships/hyperlink" Target="http://www.munzee.com" TargetMode="External"/><Relationship Id="rId415" Type="http://schemas.openxmlformats.org/officeDocument/2006/relationships/hyperlink" Target="http://www.munzee.com" TargetMode="External"/><Relationship Id="rId414" Type="http://schemas.openxmlformats.org/officeDocument/2006/relationships/hyperlink" Target="http://www.munzee.com" TargetMode="External"/><Relationship Id="rId413" Type="http://schemas.openxmlformats.org/officeDocument/2006/relationships/hyperlink" Target="http://www.munzee.com" TargetMode="External"/><Relationship Id="rId412" Type="http://schemas.openxmlformats.org/officeDocument/2006/relationships/hyperlink" Target="http://www.munzee.com" TargetMode="External"/><Relationship Id="rId419" Type="http://schemas.openxmlformats.org/officeDocument/2006/relationships/hyperlink" Target="http://www.munzee.com" TargetMode="External"/><Relationship Id="rId418" Type="http://schemas.openxmlformats.org/officeDocument/2006/relationships/hyperlink" Target="http://www.munzee.com" TargetMode="External"/><Relationship Id="rId417" Type="http://schemas.openxmlformats.org/officeDocument/2006/relationships/hyperlink" Target="http://www.munzee.com" TargetMode="External"/><Relationship Id="rId416" Type="http://schemas.openxmlformats.org/officeDocument/2006/relationships/hyperlink" Target="http://www.munzee.com" TargetMode="External"/><Relationship Id="rId411" Type="http://schemas.openxmlformats.org/officeDocument/2006/relationships/hyperlink" Target="http://www.munzee.com" TargetMode="External"/><Relationship Id="rId410" Type="http://schemas.openxmlformats.org/officeDocument/2006/relationships/hyperlink" Target="http://www.munzee.com" TargetMode="External"/><Relationship Id="rId448" Type="http://schemas.openxmlformats.org/officeDocument/2006/relationships/hyperlink" Target="http://www.munzee.com" TargetMode="External"/><Relationship Id="rId447" Type="http://schemas.openxmlformats.org/officeDocument/2006/relationships/hyperlink" Target="http://www.munzee.com" TargetMode="External"/><Relationship Id="rId446" Type="http://schemas.openxmlformats.org/officeDocument/2006/relationships/hyperlink" Target="http://www.munzee.com" TargetMode="External"/><Relationship Id="rId445" Type="http://schemas.openxmlformats.org/officeDocument/2006/relationships/hyperlink" Target="http://www.munzee.com" TargetMode="External"/><Relationship Id="rId449" Type="http://schemas.openxmlformats.org/officeDocument/2006/relationships/hyperlink" Target="http://www.munzee.com" TargetMode="External"/><Relationship Id="rId440" Type="http://schemas.openxmlformats.org/officeDocument/2006/relationships/hyperlink" Target="http://www.munzee.com" TargetMode="External"/><Relationship Id="rId444" Type="http://schemas.openxmlformats.org/officeDocument/2006/relationships/hyperlink" Target="http://www.munzee.com" TargetMode="External"/><Relationship Id="rId443" Type="http://schemas.openxmlformats.org/officeDocument/2006/relationships/hyperlink" Target="http://www.munzee.com" TargetMode="External"/><Relationship Id="rId442" Type="http://schemas.openxmlformats.org/officeDocument/2006/relationships/hyperlink" Target="http://www.munzee.com" TargetMode="External"/><Relationship Id="rId441" Type="http://schemas.openxmlformats.org/officeDocument/2006/relationships/hyperlink" Target="http://www.munzee.com" TargetMode="External"/><Relationship Id="rId437" Type="http://schemas.openxmlformats.org/officeDocument/2006/relationships/hyperlink" Target="http://www.munzee.com" TargetMode="External"/><Relationship Id="rId436" Type="http://schemas.openxmlformats.org/officeDocument/2006/relationships/hyperlink" Target="http://www.munzee.com" TargetMode="External"/><Relationship Id="rId435" Type="http://schemas.openxmlformats.org/officeDocument/2006/relationships/hyperlink" Target="http://www.munzee.com" TargetMode="External"/><Relationship Id="rId434" Type="http://schemas.openxmlformats.org/officeDocument/2006/relationships/hyperlink" Target="http://www.munzee.com" TargetMode="External"/><Relationship Id="rId439" Type="http://schemas.openxmlformats.org/officeDocument/2006/relationships/hyperlink" Target="http://www.munzee.com" TargetMode="External"/><Relationship Id="rId438" Type="http://schemas.openxmlformats.org/officeDocument/2006/relationships/hyperlink" Target="http://www.munzee.com" TargetMode="External"/><Relationship Id="rId433" Type="http://schemas.openxmlformats.org/officeDocument/2006/relationships/hyperlink" Target="http://www.munzee.com" TargetMode="External"/><Relationship Id="rId432" Type="http://schemas.openxmlformats.org/officeDocument/2006/relationships/hyperlink" Target="http://www.munzee.com" TargetMode="External"/><Relationship Id="rId431" Type="http://schemas.openxmlformats.org/officeDocument/2006/relationships/hyperlink" Target="http://www.munzee.com" TargetMode="External"/><Relationship Id="rId430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123xilef/7020/" TargetMode="External"/><Relationship Id="rId2" Type="http://schemas.openxmlformats.org/officeDocument/2006/relationships/hyperlink" Target="https://www.munzee.com/map/gbvnevyhu/15" TargetMode="External"/><Relationship Id="rId3" Type="http://schemas.openxmlformats.org/officeDocument/2006/relationships/hyperlink" Target="https://www.munzee.com/m/belladivadee/3101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2989/" TargetMode="External"/><Relationship Id="rId5" Type="http://schemas.openxmlformats.org/officeDocument/2006/relationships/hyperlink" Target="https://www.munzee.com/m/sverlaan/4202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288/" TargetMode="External"/><Relationship Id="rId8" Type="http://schemas.openxmlformats.org/officeDocument/2006/relationships/hyperlink" Target="http://www.munzee.com" TargetMode="External"/><Relationship Id="rId190" Type="http://schemas.openxmlformats.org/officeDocument/2006/relationships/hyperlink" Target="http://www.munzee.com" TargetMode="External"/><Relationship Id="rId194" Type="http://schemas.openxmlformats.org/officeDocument/2006/relationships/hyperlink" Target="http://www.munzee.com" TargetMode="External"/><Relationship Id="rId193" Type="http://schemas.openxmlformats.org/officeDocument/2006/relationships/hyperlink" Target="http://www.munzee.com" TargetMode="External"/><Relationship Id="rId192" Type="http://schemas.openxmlformats.org/officeDocument/2006/relationships/hyperlink" Target="http://www.munzee.com" TargetMode="External"/><Relationship Id="rId191" Type="http://schemas.openxmlformats.org/officeDocument/2006/relationships/hyperlink" Target="http://www.munzee.com" TargetMode="External"/><Relationship Id="rId187" Type="http://schemas.openxmlformats.org/officeDocument/2006/relationships/hyperlink" Target="http://www.munzee.com" TargetMode="External"/><Relationship Id="rId186" Type="http://schemas.openxmlformats.org/officeDocument/2006/relationships/hyperlink" Target="http://www.munzee.com" TargetMode="External"/><Relationship Id="rId185" Type="http://schemas.openxmlformats.org/officeDocument/2006/relationships/hyperlink" Target="http://www.munzee.com" TargetMode="External"/><Relationship Id="rId184" Type="http://schemas.openxmlformats.org/officeDocument/2006/relationships/hyperlink" Target="http://www.munzee.com" TargetMode="External"/><Relationship Id="rId189" Type="http://schemas.openxmlformats.org/officeDocument/2006/relationships/hyperlink" Target="http://www.munzee.com" TargetMode="External"/><Relationship Id="rId188" Type="http://schemas.openxmlformats.org/officeDocument/2006/relationships/hyperlink" Target="http://www.munzee.com" TargetMode="External"/><Relationship Id="rId183" Type="http://schemas.openxmlformats.org/officeDocument/2006/relationships/hyperlink" Target="http://www.munzee.com" TargetMode="External"/><Relationship Id="rId182" Type="http://schemas.openxmlformats.org/officeDocument/2006/relationships/hyperlink" Target="http://www.munzee.com" TargetMode="External"/><Relationship Id="rId181" Type="http://schemas.openxmlformats.org/officeDocument/2006/relationships/hyperlink" Target="http://www.munzee.com" TargetMode="External"/><Relationship Id="rId180" Type="http://schemas.openxmlformats.org/officeDocument/2006/relationships/hyperlink" Target="http://www.munzee.com" TargetMode="External"/><Relationship Id="rId176" Type="http://schemas.openxmlformats.org/officeDocument/2006/relationships/hyperlink" Target="http://www.munzee.com" TargetMode="External"/><Relationship Id="rId175" Type="http://schemas.openxmlformats.org/officeDocument/2006/relationships/hyperlink" Target="http://www.munzee.com" TargetMode="External"/><Relationship Id="rId174" Type="http://schemas.openxmlformats.org/officeDocument/2006/relationships/hyperlink" Target="http://www.munzee.com" TargetMode="External"/><Relationship Id="rId173" Type="http://schemas.openxmlformats.org/officeDocument/2006/relationships/hyperlink" Target="http://www.munzee.com" TargetMode="External"/><Relationship Id="rId179" Type="http://schemas.openxmlformats.org/officeDocument/2006/relationships/hyperlink" Target="http://www.munzee.com" TargetMode="External"/><Relationship Id="rId178" Type="http://schemas.openxmlformats.org/officeDocument/2006/relationships/hyperlink" Target="http://www.munzee.com" TargetMode="External"/><Relationship Id="rId177" Type="http://schemas.openxmlformats.org/officeDocument/2006/relationships/hyperlink" Target="http://www.munzee.com" TargetMode="External"/><Relationship Id="rId198" Type="http://schemas.openxmlformats.org/officeDocument/2006/relationships/hyperlink" Target="http://www.munzee.com" TargetMode="External"/><Relationship Id="rId197" Type="http://schemas.openxmlformats.org/officeDocument/2006/relationships/hyperlink" Target="http://www.munzee.com" TargetMode="External"/><Relationship Id="rId196" Type="http://schemas.openxmlformats.org/officeDocument/2006/relationships/hyperlink" Target="http://www.munzee.com" TargetMode="External"/><Relationship Id="rId195" Type="http://schemas.openxmlformats.org/officeDocument/2006/relationships/hyperlink" Target="http://www.munzee.com" TargetMode="External"/><Relationship Id="rId199" Type="http://schemas.openxmlformats.org/officeDocument/2006/relationships/hyperlink" Target="http://www.munzee.com" TargetMode="External"/><Relationship Id="rId150" Type="http://schemas.openxmlformats.org/officeDocument/2006/relationships/hyperlink" Target="http://www.munzee.com" TargetMode="External"/><Relationship Id="rId149" Type="http://schemas.openxmlformats.org/officeDocument/2006/relationships/hyperlink" Target="http://www.munzee.com" TargetMode="External"/><Relationship Id="rId148" Type="http://schemas.openxmlformats.org/officeDocument/2006/relationships/hyperlink" Target="http://www.munzee.com" TargetMode="External"/><Relationship Id="rId143" Type="http://schemas.openxmlformats.org/officeDocument/2006/relationships/hyperlink" Target="http://www.munzee.com" TargetMode="External"/><Relationship Id="rId142" Type="http://schemas.openxmlformats.org/officeDocument/2006/relationships/hyperlink" Target="http://www.munzee.com" TargetMode="External"/><Relationship Id="rId141" Type="http://schemas.openxmlformats.org/officeDocument/2006/relationships/hyperlink" Target="http://www.munzee.com" TargetMode="External"/><Relationship Id="rId140" Type="http://schemas.openxmlformats.org/officeDocument/2006/relationships/hyperlink" Target="http://www.munzee.com" TargetMode="External"/><Relationship Id="rId147" Type="http://schemas.openxmlformats.org/officeDocument/2006/relationships/hyperlink" Target="http://www.munzee.com" TargetMode="External"/><Relationship Id="rId146" Type="http://schemas.openxmlformats.org/officeDocument/2006/relationships/hyperlink" Target="http://www.munzee.com" TargetMode="External"/><Relationship Id="rId145" Type="http://schemas.openxmlformats.org/officeDocument/2006/relationships/hyperlink" Target="http://www.munzee.com" TargetMode="External"/><Relationship Id="rId144" Type="http://schemas.openxmlformats.org/officeDocument/2006/relationships/hyperlink" Target="http://www.munzee.com" TargetMode="External"/><Relationship Id="rId139" Type="http://schemas.openxmlformats.org/officeDocument/2006/relationships/hyperlink" Target="http://www.munzee.com" TargetMode="External"/><Relationship Id="rId138" Type="http://schemas.openxmlformats.org/officeDocument/2006/relationships/hyperlink" Target="http://www.munzee.com" TargetMode="External"/><Relationship Id="rId137" Type="http://schemas.openxmlformats.org/officeDocument/2006/relationships/hyperlink" Target="http://www.munzee.com" TargetMode="External"/><Relationship Id="rId132" Type="http://schemas.openxmlformats.org/officeDocument/2006/relationships/hyperlink" Target="http://www.munzee.com" TargetMode="External"/><Relationship Id="rId131" Type="http://schemas.openxmlformats.org/officeDocument/2006/relationships/hyperlink" Target="http://www.munzee.com" TargetMode="External"/><Relationship Id="rId130" Type="http://schemas.openxmlformats.org/officeDocument/2006/relationships/hyperlink" Target="http://www.munzee.com" TargetMode="External"/><Relationship Id="rId136" Type="http://schemas.openxmlformats.org/officeDocument/2006/relationships/hyperlink" Target="http://www.munzee.com" TargetMode="External"/><Relationship Id="rId135" Type="http://schemas.openxmlformats.org/officeDocument/2006/relationships/hyperlink" Target="http://www.munzee.com" TargetMode="External"/><Relationship Id="rId134" Type="http://schemas.openxmlformats.org/officeDocument/2006/relationships/hyperlink" Target="http://www.munzee.com" TargetMode="External"/><Relationship Id="rId133" Type="http://schemas.openxmlformats.org/officeDocument/2006/relationships/hyperlink" Target="http://www.munzee.com" TargetMode="External"/><Relationship Id="rId172" Type="http://schemas.openxmlformats.org/officeDocument/2006/relationships/hyperlink" Target="http://www.munzee.com" TargetMode="External"/><Relationship Id="rId171" Type="http://schemas.openxmlformats.org/officeDocument/2006/relationships/hyperlink" Target="http://www.munzee.com" TargetMode="External"/><Relationship Id="rId170" Type="http://schemas.openxmlformats.org/officeDocument/2006/relationships/hyperlink" Target="http://www.munzee.com" TargetMode="External"/><Relationship Id="rId165" Type="http://schemas.openxmlformats.org/officeDocument/2006/relationships/hyperlink" Target="http://www.munzee.com" TargetMode="External"/><Relationship Id="rId164" Type="http://schemas.openxmlformats.org/officeDocument/2006/relationships/hyperlink" Target="http://www.munzee.com" TargetMode="External"/><Relationship Id="rId163" Type="http://schemas.openxmlformats.org/officeDocument/2006/relationships/hyperlink" Target="http://www.munzee.com" TargetMode="External"/><Relationship Id="rId162" Type="http://schemas.openxmlformats.org/officeDocument/2006/relationships/hyperlink" Target="http://www.munzee.com" TargetMode="External"/><Relationship Id="rId169" Type="http://schemas.openxmlformats.org/officeDocument/2006/relationships/hyperlink" Target="http://www.munzee.com" TargetMode="External"/><Relationship Id="rId168" Type="http://schemas.openxmlformats.org/officeDocument/2006/relationships/hyperlink" Target="http://www.munzee.com" TargetMode="External"/><Relationship Id="rId167" Type="http://schemas.openxmlformats.org/officeDocument/2006/relationships/hyperlink" Target="http://www.munzee.com" TargetMode="External"/><Relationship Id="rId166" Type="http://schemas.openxmlformats.org/officeDocument/2006/relationships/hyperlink" Target="http://www.munzee.com" TargetMode="External"/><Relationship Id="rId161" Type="http://schemas.openxmlformats.org/officeDocument/2006/relationships/hyperlink" Target="http://www.munzee.com" TargetMode="External"/><Relationship Id="rId160" Type="http://schemas.openxmlformats.org/officeDocument/2006/relationships/hyperlink" Target="http://www.munzee.com" TargetMode="External"/><Relationship Id="rId159" Type="http://schemas.openxmlformats.org/officeDocument/2006/relationships/hyperlink" Target="http://www.munzee.com" TargetMode="External"/><Relationship Id="rId154" Type="http://schemas.openxmlformats.org/officeDocument/2006/relationships/hyperlink" Target="http://www.munzee.com" TargetMode="External"/><Relationship Id="rId153" Type="http://schemas.openxmlformats.org/officeDocument/2006/relationships/hyperlink" Target="http://www.munzee.com" TargetMode="External"/><Relationship Id="rId152" Type="http://schemas.openxmlformats.org/officeDocument/2006/relationships/hyperlink" Target="http://www.munzee.com" TargetMode="External"/><Relationship Id="rId151" Type="http://schemas.openxmlformats.org/officeDocument/2006/relationships/hyperlink" Target="http://www.munzee.com" TargetMode="External"/><Relationship Id="rId158" Type="http://schemas.openxmlformats.org/officeDocument/2006/relationships/hyperlink" Target="http://www.munzee.com" TargetMode="External"/><Relationship Id="rId157" Type="http://schemas.openxmlformats.org/officeDocument/2006/relationships/hyperlink" Target="http://www.munzee.com" TargetMode="External"/><Relationship Id="rId156" Type="http://schemas.openxmlformats.org/officeDocument/2006/relationships/hyperlink" Target="http://www.munzee.com" TargetMode="External"/><Relationship Id="rId155" Type="http://schemas.openxmlformats.org/officeDocument/2006/relationships/hyperlink" Target="http://www.munzee.com" TargetMode="External"/><Relationship Id="rId107" Type="http://schemas.openxmlformats.org/officeDocument/2006/relationships/hyperlink" Target="http://www.munzee.com" TargetMode="Externa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MadDogLady/2225/admin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hyperlink" Target="http://www.munzee.com" TargetMode="External"/><Relationship Id="rId108" Type="http://schemas.openxmlformats.org/officeDocument/2006/relationships/hyperlink" Target="http://www.munzee.com" TargetMode="External"/><Relationship Id="rId103" Type="http://schemas.openxmlformats.org/officeDocument/2006/relationships/hyperlink" Target="https://www.munzee.com/m/Sinister/2249/admin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wangotango/1256" TargetMode="External"/><Relationship Id="rId100" Type="http://schemas.openxmlformats.org/officeDocument/2006/relationships/hyperlink" Target="http://www.munzee.com" TargetMode="External"/><Relationship Id="rId129" Type="http://schemas.openxmlformats.org/officeDocument/2006/relationships/hyperlink" Target="http://www.munzee.com" TargetMode="External"/><Relationship Id="rId128" Type="http://schemas.openxmlformats.org/officeDocument/2006/relationships/hyperlink" Target="http://www.munzee.com" TargetMode="External"/><Relationship Id="rId127" Type="http://schemas.openxmlformats.org/officeDocument/2006/relationships/hyperlink" Target="http://www.munzee.com" TargetMode="External"/><Relationship Id="rId126" Type="http://schemas.openxmlformats.org/officeDocument/2006/relationships/hyperlink" Target="http://www.munzee.com" TargetMode="External"/><Relationship Id="rId121" Type="http://schemas.openxmlformats.org/officeDocument/2006/relationships/hyperlink" Target="http://www.munzee.com" TargetMode="External"/><Relationship Id="rId120" Type="http://schemas.openxmlformats.org/officeDocument/2006/relationships/hyperlink" Target="http://www.munzee.com" TargetMode="External"/><Relationship Id="rId125" Type="http://schemas.openxmlformats.org/officeDocument/2006/relationships/hyperlink" Target="http://www.munzee.com" TargetMode="External"/><Relationship Id="rId124" Type="http://schemas.openxmlformats.org/officeDocument/2006/relationships/hyperlink" Target="http://www.munzee.com" TargetMode="External"/><Relationship Id="rId123" Type="http://schemas.openxmlformats.org/officeDocument/2006/relationships/hyperlink" Target="http://www.munzee.com" TargetMode="External"/><Relationship Id="rId122" Type="http://schemas.openxmlformats.org/officeDocument/2006/relationships/hyperlink" Target="http://www.munzee.com" TargetMode="External"/><Relationship Id="rId118" Type="http://schemas.openxmlformats.org/officeDocument/2006/relationships/hyperlink" Target="http://www.munzee.com" TargetMode="External"/><Relationship Id="rId117" Type="http://schemas.openxmlformats.org/officeDocument/2006/relationships/hyperlink" Target="http://www.munzee.com" TargetMode="External"/><Relationship Id="rId116" Type="http://schemas.openxmlformats.org/officeDocument/2006/relationships/hyperlink" Target="http://www.munzee.com" TargetMode="External"/><Relationship Id="rId115" Type="http://schemas.openxmlformats.org/officeDocument/2006/relationships/hyperlink" Target="http://www.munzee.com" TargetMode="External"/><Relationship Id="rId119" Type="http://schemas.openxmlformats.org/officeDocument/2006/relationships/hyperlink" Target="http://www.munzee.com" TargetMode="External"/><Relationship Id="rId110" Type="http://schemas.openxmlformats.org/officeDocument/2006/relationships/hyperlink" Target="http://www.munzee.com" TargetMode="External"/><Relationship Id="rId114" Type="http://schemas.openxmlformats.org/officeDocument/2006/relationships/hyperlink" Target="http://www.munzee.com" TargetMode="External"/><Relationship Id="rId113" Type="http://schemas.openxmlformats.org/officeDocument/2006/relationships/hyperlink" Target="http://www.munzee.com" TargetMode="External"/><Relationship Id="rId112" Type="http://schemas.openxmlformats.org/officeDocument/2006/relationships/hyperlink" Target="http://www.munzee.com" TargetMode="External"/><Relationship Id="rId111" Type="http://schemas.openxmlformats.org/officeDocument/2006/relationships/hyperlink" Target="http://www.munzee.com" TargetMode="External"/></Relationships>
</file>

<file path=xl/worksheets/_rels/sheet38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babyw/2727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ArtofEco/2894/admin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538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fsafranek/4125/" TargetMode="External"/><Relationship Id="rId49" Type="http://schemas.openxmlformats.org/officeDocument/2006/relationships/hyperlink" Target="https://www.munzee.com/m/IggiePiggie/1779/" TargetMode="External"/><Relationship Id="rId31" Type="http://schemas.openxmlformats.org/officeDocument/2006/relationships/hyperlink" Target="https://www.munzee.com/m/BrotherWilliam/3871/admin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Drazoria/712/admin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Tinake1309/688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erg14/541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Niks13/461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EmileP68/2896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PawPatrolThomas/2199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hoekraam/7004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xrayneex/1292/" TargetMode="External"/><Relationship Id="rId29" Type="http://schemas.openxmlformats.org/officeDocument/2006/relationships/hyperlink" Target="https://www.munzee.com/m/WiseOldWizard/3956/" TargetMode="External"/><Relationship Id="rId11" Type="http://schemas.openxmlformats.org/officeDocument/2006/relationships/hyperlink" Target="https://www.munzee.com/m/Lanyasummer/4103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J1Huisman/11167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Pinkeltje/1066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Bambinacattiva/667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sverlaan/4124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071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6713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Trappertje/4596/" TargetMode="External"/><Relationship Id="rId89" Type="http://schemas.openxmlformats.org/officeDocument/2006/relationships/hyperlink" Target="https://www.munzee.com/m/EmileP68/3088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wally62/4798/" TargetMode="External"/><Relationship Id="rId73" Type="http://schemas.openxmlformats.org/officeDocument/2006/relationships/hyperlink" Target="https://www.munzee.com/m/belladivadee/2975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pikespice/6074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jwg68/1251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FlatBlack/722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Wangotango/1210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Bambinacattiva/659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GroteSufferd/321/admin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Bisquick2/4230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OdinsFiRe/1533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5Star/5720/" TargetMode="External"/><Relationship Id="rId51" Type="http://schemas.openxmlformats.org/officeDocument/2006/relationships/hyperlink" Target="https://www.munzee.com/m/JackSparrow/19353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barefootguru/3094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benotje/1356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253/admin/convert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Aniara/6429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Questing4/7052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Fossillady/3331/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ivwarrior/4736/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sverlaan/4104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PawPatrolThomas/2278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sverlaan/4311/" TargetMode="External"/><Relationship Id="rId2" Type="http://schemas.openxmlformats.org/officeDocument/2006/relationships/hyperlink" Target="https://www.munzee.com/map/dnrfx42np/15" TargetMode="External"/><Relationship Id="rId3" Type="http://schemas.openxmlformats.org/officeDocument/2006/relationships/hyperlink" Target="https://www.munzee.com/m/DHitz/3700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Andrew81/1362" TargetMode="External"/><Relationship Id="rId5" Type="http://schemas.openxmlformats.org/officeDocument/2006/relationships/hyperlink" Target="https://www.munzee.com/m/FromTheTardis/1339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lison55/5165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38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Andrew81/1359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35.xml"/><Relationship Id="rId103" Type="http://schemas.openxmlformats.org/officeDocument/2006/relationships/hyperlink" Target="https://www.munzee.com/m/cbf600/2252/admin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upapou/970/" TargetMode="External"/><Relationship Id="rId100" Type="http://schemas.openxmlformats.org/officeDocument/2006/relationships/hyperlink" Target="http://www.munzee.com" TargetMode="External"/></Relationships>
</file>

<file path=xl/worksheets/_rels/sheet39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unzee.com/m/TheFatCats/4194/" TargetMode="External"/><Relationship Id="rId42" Type="http://schemas.openxmlformats.org/officeDocument/2006/relationships/hyperlink" Target="https://www.munzee.com/m/IggiePiggie/2131/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s://www.munzee.com/m/OdinsFiRe/1974/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s://www.munzee.com/m/Anetzet/3259/" TargetMode="External"/><Relationship Id="rId45" Type="http://schemas.openxmlformats.org/officeDocument/2006/relationships/hyperlink" Target="http://www.munzee.com" TargetMode="External"/><Relationship Id="rId48" Type="http://schemas.openxmlformats.org/officeDocument/2006/relationships/hyperlink" Target="https://www.munzee.com/m/Trappertje/5534/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://www.munzee.com" TargetMode="External"/><Relationship Id="rId31" Type="http://schemas.openxmlformats.org/officeDocument/2006/relationships/hyperlink" Target="https://www.munzee.com/m/J1Huisman/11809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amadoreugen/5825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Fossillady/3425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TheFatCats/4132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WetCoaster/4144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xrayneex/1639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BrotherWilliam/4248/admin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ArtofEco/3062/admin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barefootguru/3223/" TargetMode="External"/><Relationship Id="rId29" Type="http://schemas.openxmlformats.org/officeDocument/2006/relationships/hyperlink" Target="https://www.munzee.com/m/lison55/5688/" TargetMode="External"/><Relationship Id="rId11" Type="http://schemas.openxmlformats.org/officeDocument/2006/relationships/hyperlink" Target="https://www.munzee.com/m/Derlame/13867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Drazoria/971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Tinake1309/860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Berg14/676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Niks13/642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s://www.munzee.com/m/TheFatCats/4272/" TargetMode="External"/><Relationship Id="rId83" Type="http://schemas.openxmlformats.org/officeDocument/2006/relationships/hyperlink" Target="http://www.munzee.com" TargetMode="External"/><Relationship Id="rId86" Type="http://schemas.openxmlformats.org/officeDocument/2006/relationships/hyperlink" Target="https://www.munzee.com/m/FlatBlack/972/" TargetMode="External"/><Relationship Id="rId85" Type="http://schemas.openxmlformats.org/officeDocument/2006/relationships/hyperlink" Target="http://www.munzee.com" TargetMode="External"/><Relationship Id="rId88" Type="http://schemas.openxmlformats.org/officeDocument/2006/relationships/hyperlink" Target="https://www.munzee.com/m/wally62/4878/" TargetMode="External"/><Relationship Id="rId87" Type="http://schemas.openxmlformats.org/officeDocument/2006/relationships/hyperlink" Target="http://www.munzee.com" TargetMode="External"/><Relationship Id="rId89" Type="http://schemas.openxmlformats.org/officeDocument/2006/relationships/hyperlink" Target="http://www.munzee.com" TargetMode="External"/><Relationship Id="rId80" Type="http://schemas.openxmlformats.org/officeDocument/2006/relationships/hyperlink" Target="https://www.munzee.com/m/TheFrog/4634/" TargetMode="External"/><Relationship Id="rId82" Type="http://schemas.openxmlformats.org/officeDocument/2006/relationships/hyperlink" Target="https://www.munzee.com/m/123xilef/7858/" TargetMode="External"/><Relationship Id="rId81" Type="http://schemas.openxmlformats.org/officeDocument/2006/relationships/hyperlink" Target="http://www.munzee.com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s://www.munzee.com/m/Wangotango/1554/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s://www.munzee.com/m/fsafranek/4756/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s://www.munzee.com/m/cbf600/2747/admin/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s://www.munzee.com/m/TheFatCats/4266/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s://www.munzee.com/m/WiseOldWizard/4337/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Jasper95/1511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ArtofEco/3154/admin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BrotherWilliam/4459/admin/" TargetMode="External"/><Relationship Id="rId68" Type="http://schemas.openxmlformats.org/officeDocument/2006/relationships/hyperlink" Target="https://www.munzee.com/m/Bisquick2/4565/" TargetMode="External"/><Relationship Id="rId67" Type="http://schemas.openxmlformats.org/officeDocument/2006/relationships/hyperlink" Target="https://www.munzee.com/m/lupo6/7018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://www.munzee.com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s://www.munzee.com/m/fsafranek/5342/" TargetMode="External"/><Relationship Id="rId53" Type="http://schemas.openxmlformats.org/officeDocument/2006/relationships/hyperlink" Target="https://www.munzee.com/m/GroteSufferd/452/admin/" TargetMode="External"/><Relationship Id="rId52" Type="http://schemas.openxmlformats.org/officeDocument/2006/relationships/hyperlink" Target="https://www.munzee.com/m/cbf600/3992/" TargetMode="External"/><Relationship Id="rId55" Type="http://schemas.openxmlformats.org/officeDocument/2006/relationships/hyperlink" Target="https://www.munzee.com/m/cbf600/2541/admin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xrayneex/1635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5Star/4687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://www.munzee.com" TargetMode="External"/><Relationship Id="rId94" Type="http://schemas.openxmlformats.org/officeDocument/2006/relationships/hyperlink" Target="https://www.munzee.com/m/amadoreugen/6914" TargetMode="External"/><Relationship Id="rId97" Type="http://schemas.openxmlformats.org/officeDocument/2006/relationships/hyperlink" Target="http://www.munzee.com" TargetMode="External"/><Relationship Id="rId96" Type="http://schemas.openxmlformats.org/officeDocument/2006/relationships/hyperlink" Target="https://www.munzee.com/m/raunas/7126" TargetMode="External"/><Relationship Id="rId99" Type="http://schemas.openxmlformats.org/officeDocument/2006/relationships/hyperlink" Target="http://www.munzee.com" TargetMode="External"/><Relationship Id="rId98" Type="http://schemas.openxmlformats.org/officeDocument/2006/relationships/hyperlink" Target="https://www.munzee.com/m/PcLocator/4188/" TargetMode="External"/><Relationship Id="rId91" Type="http://schemas.openxmlformats.org/officeDocument/2006/relationships/hyperlink" Target="http://www.munzee.com" TargetMode="External"/><Relationship Id="rId90" Type="http://schemas.openxmlformats.org/officeDocument/2006/relationships/hyperlink" Target="https://www.munzee.com/m/res2100/807" TargetMode="External"/><Relationship Id="rId93" Type="http://schemas.openxmlformats.org/officeDocument/2006/relationships/hyperlink" Target="http://www.munzee.com" TargetMode="External"/><Relationship Id="rId92" Type="http://schemas.openxmlformats.org/officeDocument/2006/relationships/hyperlink" Target="https://www.munzee.com/m/Ellesche/784" TargetMode="External"/><Relationship Id="rId1" Type="http://schemas.openxmlformats.org/officeDocument/2006/relationships/hyperlink" Target="https://www.munzee.com/m/Derlame/19095/" TargetMode="External"/><Relationship Id="rId2" Type="http://schemas.openxmlformats.org/officeDocument/2006/relationships/hyperlink" Target="https://www.munzee.com/map/r1x2uxm49/17" TargetMode="External"/><Relationship Id="rId3" Type="http://schemas.openxmlformats.org/officeDocument/2006/relationships/hyperlink" Target="https://www.munzee.com/m/belladivadee/3097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pawpatrolthomas/2674/" TargetMode="External"/><Relationship Id="rId5" Type="http://schemas.openxmlformats.org/officeDocument/2006/relationships/hyperlink" Target="https://www.munzee.com/m/sverlaan/4636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EmileP68/3366/" TargetMode="External"/><Relationship Id="rId8" Type="http://schemas.openxmlformats.org/officeDocument/2006/relationships/hyperlink" Target="http://www.munzee.com" TargetMode="External"/><Relationship Id="rId106" Type="http://schemas.openxmlformats.org/officeDocument/2006/relationships/table" Target="../tables/table36.xml"/><Relationship Id="rId104" Type="http://schemas.openxmlformats.org/officeDocument/2006/relationships/drawing" Target="../drawings/drawing39.xml"/><Relationship Id="rId103" Type="http://schemas.openxmlformats.org/officeDocument/2006/relationships/hyperlink" Target="http://www.munzee.com" TargetMode="External"/><Relationship Id="rId102" Type="http://schemas.openxmlformats.org/officeDocument/2006/relationships/hyperlink" Target="https://www.munzee.com/m/xrayneex/1632/" TargetMode="External"/><Relationship Id="rId101" Type="http://schemas.openxmlformats.org/officeDocument/2006/relationships/hyperlink" Target="http://www.munzee.com" TargetMode="External"/><Relationship Id="rId100" Type="http://schemas.openxmlformats.org/officeDocument/2006/relationships/hyperlink" Target="https://www.munzee.com/m/ddtsnorton/11375" TargetMode="External"/></Relationships>
</file>

<file path=xl/worksheets/_rels/sheet4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unzee.com/m/crscousins/4639/" TargetMode="External"/><Relationship Id="rId84" Type="http://schemas.openxmlformats.org/officeDocument/2006/relationships/hyperlink" Target="https://www.munzee.com/m/mortonfox/22769/" TargetMode="External"/><Relationship Id="rId83" Type="http://schemas.openxmlformats.org/officeDocument/2006/relationships/hyperlink" Target="http://www.munzee.com" TargetMode="External"/><Relationship Id="rId42" Type="http://schemas.openxmlformats.org/officeDocument/2006/relationships/hyperlink" Target="https://www.munzee.com/m/Bungle/10438" TargetMode="External"/><Relationship Id="rId86" Type="http://schemas.openxmlformats.org/officeDocument/2006/relationships/hyperlink" Target="http://www.munzee.com" TargetMode="External"/><Relationship Id="rId41" Type="http://schemas.openxmlformats.org/officeDocument/2006/relationships/hyperlink" Target="http://www.munzee.com" TargetMode="External"/><Relationship Id="rId85" Type="http://schemas.openxmlformats.org/officeDocument/2006/relationships/hyperlink" Target="http://www.munzee.com" TargetMode="External"/><Relationship Id="rId44" Type="http://schemas.openxmlformats.org/officeDocument/2006/relationships/hyperlink" Target="https://www.munzee.com/m/fsafranek/6242/" TargetMode="External"/><Relationship Id="rId88" Type="http://schemas.openxmlformats.org/officeDocument/2006/relationships/hyperlink" Target="http://www.munzee.com" TargetMode="External"/><Relationship Id="rId43" Type="http://schemas.openxmlformats.org/officeDocument/2006/relationships/hyperlink" Target="http://www.munzee.com" TargetMode="External"/><Relationship Id="rId87" Type="http://schemas.openxmlformats.org/officeDocument/2006/relationships/hyperlink" Target="http://www.munzee.com" TargetMode="External"/><Relationship Id="rId46" Type="http://schemas.openxmlformats.org/officeDocument/2006/relationships/hyperlink" Target="https://www.munzee.com/m/rita85gto/5095/" TargetMode="External"/><Relationship Id="rId45" Type="http://schemas.openxmlformats.org/officeDocument/2006/relationships/hyperlink" Target="http://www.munzee.com" TargetMode="External"/><Relationship Id="rId89" Type="http://schemas.openxmlformats.org/officeDocument/2006/relationships/drawing" Target="../drawings/drawing4.xm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ap/dr095u8s9/17" TargetMode="External"/><Relationship Id="rId2" Type="http://schemas.openxmlformats.org/officeDocument/2006/relationships/hyperlink" Target="https://www.munzee.com/m/raunas/12673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sverlaan/6307/" TargetMode="External"/><Relationship Id="rId9" Type="http://schemas.openxmlformats.org/officeDocument/2006/relationships/hyperlink" Target="http://www.munzee.com" TargetMode="External"/><Relationship Id="rId48" Type="http://schemas.openxmlformats.org/officeDocument/2006/relationships/hyperlink" Target="https://www.munzee.com/m/Aniara/17964/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EmileP68/5201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PawPatrolThomas/4324/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31" Type="http://schemas.openxmlformats.org/officeDocument/2006/relationships/hyperlink" Target="http://www.munzee.com" TargetMode="External"/><Relationship Id="rId75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Berg14/1521/" TargetMode="External"/><Relationship Id="rId74" Type="http://schemas.openxmlformats.org/officeDocument/2006/relationships/hyperlink" Target="https://www.munzee.com/m/TheFrog/5975/" TargetMode="External"/><Relationship Id="rId33" Type="http://schemas.openxmlformats.org/officeDocument/2006/relationships/hyperlink" Target="http://www.munzee.com" TargetMode="External"/><Relationship Id="rId77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Niks13/1483/" TargetMode="External"/><Relationship Id="rId76" Type="http://schemas.openxmlformats.org/officeDocument/2006/relationships/hyperlink" Target="https://www.munzee.com/m/123xilef/24444/" TargetMode="External"/><Relationship Id="rId35" Type="http://schemas.openxmlformats.org/officeDocument/2006/relationships/hyperlink" Target="http://www.munzee.com" TargetMode="External"/><Relationship Id="rId79" Type="http://schemas.openxmlformats.org/officeDocument/2006/relationships/hyperlink" Target="http://www.munzee.com" TargetMode="External"/><Relationship Id="rId34" Type="http://schemas.openxmlformats.org/officeDocument/2006/relationships/hyperlink" Target="https://www.munzee.com/m/lupo6/2727/" TargetMode="External"/><Relationship Id="rId78" Type="http://schemas.openxmlformats.org/officeDocument/2006/relationships/hyperlink" Target="https://www.munzee.com/m/Whatsoverthere/8941/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://www.munzee.com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lison55/12385/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s://www.munzee.com/m/Oppresso1983/4634/" TargetMode="External"/><Relationship Id="rId62" Type="http://schemas.openxmlformats.org/officeDocument/2006/relationships/hyperlink" Target="https://www.munzee.com/m/CarlisleCachers/12535/" TargetMode="External"/><Relationship Id="rId61" Type="http://schemas.openxmlformats.org/officeDocument/2006/relationships/hyperlink" Target="http://www.munzee.com" TargetMode="External"/><Relationship Id="rId20" Type="http://schemas.openxmlformats.org/officeDocument/2006/relationships/hyperlink" Target="https://www.munzee.com/m/OdinsFiRe/2013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://www.munzee.com" TargetMode="External"/><Relationship Id="rId22" Type="http://schemas.openxmlformats.org/officeDocument/2006/relationships/hyperlink" Target="https://www.munzee.com/m/Whatsoverthere/8942/" TargetMode="External"/><Relationship Id="rId66" Type="http://schemas.openxmlformats.org/officeDocument/2006/relationships/hyperlink" Target="https://www.munzee.com/m/Bisquick2/7510/" TargetMode="External"/><Relationship Id="rId21" Type="http://schemas.openxmlformats.org/officeDocument/2006/relationships/hyperlink" Target="http://www.munzee.com" TargetMode="External"/><Relationship Id="rId65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Wangotango/1376/" TargetMode="External"/><Relationship Id="rId68" Type="http://schemas.openxmlformats.org/officeDocument/2006/relationships/hyperlink" Target="https://www.munzee.com/m/wally62/5752/" TargetMode="External"/><Relationship Id="rId23" Type="http://schemas.openxmlformats.org/officeDocument/2006/relationships/hyperlink" Target="http://www.munzee.com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s://www.munzee.com/m/CzPeet/6763/" TargetMode="External"/><Relationship Id="rId26" Type="http://schemas.openxmlformats.org/officeDocument/2006/relationships/hyperlink" Target="https://www.munzee.com/m/Drazoria/1675/" TargetMode="External"/><Relationship Id="rId25" Type="http://schemas.openxmlformats.org/officeDocument/2006/relationships/hyperlink" Target="http://www.munzee.com" TargetMode="External"/><Relationship Id="rId69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Tinake1309/1600/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s://www.munzee.com/m/Fossillady/5960" TargetMode="External"/><Relationship Id="rId53" Type="http://schemas.openxmlformats.org/officeDocument/2006/relationships/hyperlink" Target="https://www.munzee.com/m/hems79/8107/" TargetMode="External"/><Relationship Id="rId52" Type="http://schemas.openxmlformats.org/officeDocument/2006/relationships/hyperlink" Target="http://www.munzee.com" TargetMode="External"/><Relationship Id="rId11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cbf600/4228/admin/" TargetMode="External"/><Relationship Id="rId10" Type="http://schemas.openxmlformats.org/officeDocument/2006/relationships/hyperlink" Target="https://www.munzee.com/m/BrotherWilliam/5257/" TargetMode="External"/><Relationship Id="rId54" Type="http://schemas.openxmlformats.org/officeDocument/2006/relationships/hyperlink" Target="http://www.munzee.com" TargetMode="External"/><Relationship Id="rId13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Anetzet/7654/" TargetMode="External"/><Relationship Id="rId12" Type="http://schemas.openxmlformats.org/officeDocument/2006/relationships/hyperlink" Target="https://www.munzee.com/m/ArtofEco/3564/admin/" TargetMode="External"/><Relationship Id="rId56" Type="http://schemas.openxmlformats.org/officeDocument/2006/relationships/hyperlink" Target="http://www.munzee.com" TargetMode="External"/><Relationship Id="rId91" Type="http://schemas.openxmlformats.org/officeDocument/2006/relationships/table" Target="../tables/table3.xml"/><Relationship Id="rId15" Type="http://schemas.openxmlformats.org/officeDocument/2006/relationships/hyperlink" Target="http://www.munzee.com" TargetMode="External"/><Relationship Id="rId59" Type="http://schemas.openxmlformats.org/officeDocument/2006/relationships/hyperlink" Target="http://www.munzee.com" TargetMode="External"/><Relationship Id="rId14" Type="http://schemas.openxmlformats.org/officeDocument/2006/relationships/hyperlink" Target="https://www.munzee.com/m/xrayneex/2794/" TargetMode="External"/><Relationship Id="rId58" Type="http://schemas.openxmlformats.org/officeDocument/2006/relationships/hyperlink" Target="http://www.munzee.com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Ellesche/855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res2100/894" TargetMode="External"/></Relationships>
</file>

<file path=xl/worksheets/_rels/sheet40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Wangotango/1284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GroteSufferd/410/admin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2923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denali0407/14437/" TargetMode="External"/><Relationship Id="rId49" Type="http://schemas.openxmlformats.org/officeDocument/2006/relationships/hyperlink" Target="https://www.munzee.com/m/IggiePiggie/1971/" TargetMode="External"/><Relationship Id="rId31" Type="http://schemas.openxmlformats.org/officeDocument/2006/relationships/hyperlink" Target="https://www.munzee.com/m/fsafranek/4255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xrayneex/1443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WiseOldWizard/4011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FromTheTardis/1416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barefootguru/3158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lison55/5414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J1Huisman/11439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Pinkeltje/1302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Lanyasummer/4430/" TargetMode="External"/><Relationship Id="rId29" Type="http://schemas.openxmlformats.org/officeDocument/2006/relationships/hyperlink" Target="https://www.munzee.com/m/babyw/3146/" TargetMode="External"/><Relationship Id="rId11" Type="http://schemas.openxmlformats.org/officeDocument/2006/relationships/hyperlink" Target="https://www.munzee.com/m/OdinsFiRe/1642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Drazoria/793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Tinake1309/768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Berg14/613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Niks13/608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TheFrog/4289/" TargetMode="External"/><Relationship Id="rId86" Type="http://schemas.openxmlformats.org/officeDocument/2006/relationships/hyperlink" Target="http://www.munzee.com" TargetMode="External"/><Relationship Id="rId85" Type="http://schemas.openxmlformats.org/officeDocument/2006/relationships/hyperlink" Target="https://www.munzee.com/m/123xilef/7254/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s://www.munzee.com/m/GroteSufferd/416/admin/" TargetMode="External"/><Relationship Id="rId89" Type="http://schemas.openxmlformats.org/officeDocument/2006/relationships/hyperlink" Target="https://www.munzee.com/m/TheFatCats/3967/" TargetMode="Externa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BrotherWilliam/4049/admin/" TargetMode="External"/><Relationship Id="rId73" Type="http://schemas.openxmlformats.org/officeDocument/2006/relationships/hyperlink" Target="https://www.munzee.com/m/ArtofEco/3052/admin/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s://www.munzee.com/m/Dazzaf/4168/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amadoreugen/5763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s://www.munzee.com/m/ArtofEco/3009/admin/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Bisquick2/4558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TeamSarton/1208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BartWullems/5604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raftjen/2345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TheFatCats/3895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Fossillady/3417" TargetMode="External"/><Relationship Id="rId51" Type="http://schemas.openxmlformats.org/officeDocument/2006/relationships/hyperlink" Target="https://www.munzee.com/m/FlatBlack/689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Derlame/12561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5Star/4693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2437/admin/convert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BrotherWilliam/4092/admin/" TargetMode="External"/><Relationship Id="rId58" Type="http://schemas.openxmlformats.org/officeDocument/2006/relationships/hyperlink" Target="http://www.munzee.com" TargetMode="External"/><Relationship Id="rId95" Type="http://schemas.openxmlformats.org/officeDocument/2006/relationships/hyperlink" Target="https://www.munzee.com/m/Krauseengineer/2429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s://www.munzee.com/m/amadoreugen/5762" TargetMode="External"/><Relationship Id="rId96" Type="http://schemas.openxmlformats.org/officeDocument/2006/relationships/hyperlink" Target="http://www.munzee.com" TargetMode="External"/><Relationship Id="rId99" Type="http://schemas.openxmlformats.org/officeDocument/2006/relationships/hyperlink" Target="https://www.munzee.com/m/raftjen/1779" TargetMode="External"/><Relationship Id="rId98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pawpatrolthomas/2672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klc1960/1457/" TargetMode="External"/><Relationship Id="rId92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Derlame/14004/" TargetMode="External"/><Relationship Id="rId2" Type="http://schemas.openxmlformats.org/officeDocument/2006/relationships/hyperlink" Target="https://www.munzee.com/map/u157znxfy/17" TargetMode="External"/><Relationship Id="rId3" Type="http://schemas.openxmlformats.org/officeDocument/2006/relationships/hyperlink" Target="https://www.munzee.com/m/belladivadee/3124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3159/" TargetMode="External"/><Relationship Id="rId5" Type="http://schemas.openxmlformats.org/officeDocument/2006/relationships/hyperlink" Target="https://www.munzee.com/m/sverlaan/4397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2458/" TargetMode="External"/><Relationship Id="rId8" Type="http://schemas.openxmlformats.org/officeDocument/2006/relationships/hyperlink" Target="http://www.munzee.com" TargetMode="External"/><Relationship Id="rId107" Type="http://schemas.openxmlformats.org/officeDocument/2006/relationships/drawing" Target="../drawings/drawing40.xml"/><Relationship Id="rId106" Type="http://schemas.openxmlformats.org/officeDocument/2006/relationships/hyperlink" Target="http://www.munzee.com" TargetMode="External"/><Relationship Id="rId105" Type="http://schemas.openxmlformats.org/officeDocument/2006/relationships/hyperlink" Target="https://www.munzee.com/m/TheFatCats/3912/" TargetMode="External"/><Relationship Id="rId104" Type="http://schemas.openxmlformats.org/officeDocument/2006/relationships/hyperlink" Target="http://www.munzee.com" TargetMode="External"/><Relationship Id="rId109" Type="http://schemas.openxmlformats.org/officeDocument/2006/relationships/table" Target="../tables/table37.xml"/><Relationship Id="rId103" Type="http://schemas.openxmlformats.org/officeDocument/2006/relationships/hyperlink" Target="https://www.munzee.com/m/all0123/4296/" TargetMode="External"/><Relationship Id="rId102" Type="http://schemas.openxmlformats.org/officeDocument/2006/relationships/hyperlink" Target="http://www.munzee.com" TargetMode="External"/><Relationship Id="rId101" Type="http://schemas.openxmlformats.org/officeDocument/2006/relationships/hyperlink" Target="https://www.munzee.com/m/Aniara/6945" TargetMode="External"/><Relationship Id="rId100" Type="http://schemas.openxmlformats.org/officeDocument/2006/relationships/hyperlink" Target="http://www.munzee.com" TargetMode="External"/></Relationships>
</file>

<file path=xl/worksheets/_rels/sheet4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5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tommobil/1404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Csiki86/450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4656/" TargetMode="External"/><Relationship Id="rId106" Type="http://schemas.openxmlformats.org/officeDocument/2006/relationships/table" Target="../tables/table4.xml"/><Relationship Id="rId104" Type="http://schemas.openxmlformats.org/officeDocument/2006/relationships/drawing" Target="../drawings/drawing5.xm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tommobil/1405/" TargetMode="External"/><Relationship Id="rId49" Type="http://schemas.openxmlformats.org/officeDocument/2006/relationships/hyperlink" Target="https://www.munzee.com/m/Csiki86/456/" TargetMode="External"/><Relationship Id="rId103" Type="http://schemas.openxmlformats.org/officeDocument/2006/relationships/hyperlink" Target="http://www.munzee.com" TargetMode="External"/><Relationship Id="rId102" Type="http://schemas.openxmlformats.org/officeDocument/2006/relationships/hyperlink" Target="https://www.munzee.com/m/Csiki86/457/" TargetMode="External"/><Relationship Id="rId101" Type="http://schemas.openxmlformats.org/officeDocument/2006/relationships/hyperlink" Target="http://www.munzee.com" TargetMode="External"/><Relationship Id="rId100" Type="http://schemas.openxmlformats.org/officeDocument/2006/relationships/hyperlink" Target="https://www.munzee.com/m/Trappertje/15129/" TargetMode="External"/><Relationship Id="rId31" Type="http://schemas.openxmlformats.org/officeDocument/2006/relationships/hyperlink" Target="https://www.munzee.com/m/lupo6/6878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Ellesche/724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OdinsFiRe/2018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tommobil/1401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res2100/886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xrayneex/2330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Drazoria/1585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Tinake1309/1618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Berg14/1536/" TargetMode="External"/><Relationship Id="rId29" Type="http://schemas.openxmlformats.org/officeDocument/2006/relationships/hyperlink" Target="https://www.munzee.com/m/Niks13/1487/" TargetMode="External"/><Relationship Id="rId95" Type="http://schemas.openxmlformats.org/officeDocument/2006/relationships/hyperlink" Target="https://www.munzee.com/m/alexmester/1257/" TargetMode="External"/><Relationship Id="rId94" Type="http://schemas.openxmlformats.org/officeDocument/2006/relationships/hyperlink" Target="http://www.munzee.com" TargetMode="External"/><Relationship Id="rId97" Type="http://schemas.openxmlformats.org/officeDocument/2006/relationships/hyperlink" Target="http://www.munzee.com" TargetMode="External"/><Relationship Id="rId96" Type="http://schemas.openxmlformats.org/officeDocument/2006/relationships/hyperlink" Target="http://www.munzee.com" TargetMode="External"/><Relationship Id="rId11" Type="http://schemas.openxmlformats.org/officeDocument/2006/relationships/hyperlink" Target="https://www.munzee.com/m/BrotherWilliam/5234/admin/" TargetMode="External"/><Relationship Id="rId99" Type="http://schemas.openxmlformats.org/officeDocument/2006/relationships/hyperlink" Target="http://www.munzee.com" TargetMode="External"/><Relationship Id="rId10" Type="http://schemas.openxmlformats.org/officeDocument/2006/relationships/hyperlink" Target="http://www.munzee.com" TargetMode="External"/><Relationship Id="rId98" Type="http://schemas.openxmlformats.org/officeDocument/2006/relationships/hyperlink" Target="https://www.munzee.com/m/alexmester/1237/" TargetMode="External"/><Relationship Id="rId13" Type="http://schemas.openxmlformats.org/officeDocument/2006/relationships/hyperlink" Target="https://www.munzee.com/m/ArtofEco/3541/admin/" TargetMode="External"/><Relationship Id="rId12" Type="http://schemas.openxmlformats.org/officeDocument/2006/relationships/hyperlink" Target="http://www.munzee.com" TargetMode="External"/><Relationship Id="rId91" Type="http://schemas.openxmlformats.org/officeDocument/2006/relationships/hyperlink" Target="http://www.munzee.com" TargetMode="External"/><Relationship Id="rId90" Type="http://schemas.openxmlformats.org/officeDocument/2006/relationships/hyperlink" Target="https://www.munzee.com/m/Fossillady/5417" TargetMode="External"/><Relationship Id="rId93" Type="http://schemas.openxmlformats.org/officeDocument/2006/relationships/hyperlink" Target="http://www.munzee.com" TargetMode="External"/><Relationship Id="rId92" Type="http://schemas.openxmlformats.org/officeDocument/2006/relationships/hyperlink" Target="https://www.munzee.com/m/tommobil/1409/" TargetMode="External"/><Relationship Id="rId15" Type="http://schemas.openxmlformats.org/officeDocument/2006/relationships/hyperlink" Target="https://www.munzee.com/m/J1Huisman/14314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fsafranek/5374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raunas/7437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s://www.munzee.com/m/123xilef/13724/" TargetMode="External"/><Relationship Id="rId83" Type="http://schemas.openxmlformats.org/officeDocument/2006/relationships/hyperlink" Target="http://www.munzee.com" TargetMode="External"/><Relationship Id="rId86" Type="http://schemas.openxmlformats.org/officeDocument/2006/relationships/hyperlink" Target="https://www.munzee.com/m/tommobil/1407/" TargetMode="External"/><Relationship Id="rId85" Type="http://schemas.openxmlformats.org/officeDocument/2006/relationships/hyperlink" Target="http://www.munzee.com" TargetMode="External"/><Relationship Id="rId88" Type="http://schemas.openxmlformats.org/officeDocument/2006/relationships/hyperlink" Target="https://www.munzee.com/m/mortonfox/22624/" TargetMode="External"/><Relationship Id="rId87" Type="http://schemas.openxmlformats.org/officeDocument/2006/relationships/hyperlink" Target="http://www.munzee.com" TargetMode="External"/><Relationship Id="rId89" Type="http://schemas.openxmlformats.org/officeDocument/2006/relationships/hyperlink" Target="http://www.munzee.com" TargetMode="External"/><Relationship Id="rId80" Type="http://schemas.openxmlformats.org/officeDocument/2006/relationships/hyperlink" Target="https://www.munzee.com/m/Bungle/10437" TargetMode="External"/><Relationship Id="rId82" Type="http://schemas.openxmlformats.org/officeDocument/2006/relationships/hyperlink" Target="https://www.munzee.com/m/TheFrog/5375/" TargetMode="External"/><Relationship Id="rId81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Derlame/45545/" TargetMode="External"/><Relationship Id="rId2" Type="http://schemas.openxmlformats.org/officeDocument/2006/relationships/hyperlink" Target="https://www.munzee.com/map/u2mn7yzy3/17" TargetMode="External"/><Relationship Id="rId3" Type="http://schemas.openxmlformats.org/officeDocument/2006/relationships/hyperlink" Target="https://www.munzee.com/m/belladivadee/3765/admin/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PawPatrolThomas/4323/" TargetMode="External"/><Relationship Id="rId5" Type="http://schemas.openxmlformats.org/officeDocument/2006/relationships/hyperlink" Target="https://www.munzee.com/m/sverlaan/6306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EmileP68/5153/" TargetMode="External"/><Relationship Id="rId8" Type="http://schemas.openxmlformats.org/officeDocument/2006/relationships/hyperlink" Target="http://www.munzee.com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s://www.munzee.com/m/Bisquick2/7109/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s://www.munzee.com/m/raunas/12598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s://www.munzee.com/m/barefootguru/5278/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s://www.munzee.com/m/cbf600/12155/admin/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alexmester/1236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CzPeet/6764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s://www.munzee.com/m/Aniara/17961/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lison55/16649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cbf600/12154/admin/convert/" TargetMode="External"/><Relationship Id="rId51" Type="http://schemas.openxmlformats.org/officeDocument/2006/relationships/hyperlink" Target="https://www.munzee.com/m/alexmester/1235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crscousins/7148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alexmester/1234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s://www.munzee.com/m/cbf600/3662/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Derlame/45500/" TargetMode="External"/><Relationship Id="rId58" Type="http://schemas.openxmlformats.org/officeDocument/2006/relationships/hyperlink" Target="http://www.munzee.com" TargetMode="External"/></Relationships>
</file>

<file path=xl/worksheets/_rels/sheet6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lupo6/6879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OdinsFiRe/2062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4684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crscousins/7150/" TargetMode="External"/><Relationship Id="rId49" Type="http://schemas.openxmlformats.org/officeDocument/2006/relationships/hyperlink" Target="https://www.munzee.com/m/Bungle/10528" TargetMode="External"/><Relationship Id="rId31" Type="http://schemas.openxmlformats.org/officeDocument/2006/relationships/hyperlink" Target="https://www.munzee.com/m/Oppresso1983/3938/admin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Drazoria/1580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Tinake1309/1592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Berg14/1514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Niks13/1497/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raunas/7250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Whatsoverthere/8615/admin/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Oppresso1983/3939/admin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xrayneex/2644/" TargetMode="External"/><Relationship Id="rId29" Type="http://schemas.openxmlformats.org/officeDocument/2006/relationships/hyperlink" Target="https://www.munzee.com/m/Whatsoverthere/8614/admin/" TargetMode="External"/><Relationship Id="rId95" Type="http://schemas.openxmlformats.org/officeDocument/2006/relationships/drawing" Target="../drawings/drawing6.xml"/><Relationship Id="rId94" Type="http://schemas.openxmlformats.org/officeDocument/2006/relationships/hyperlink" Target="http://www.munzee.com" TargetMode="External"/><Relationship Id="rId97" Type="http://schemas.openxmlformats.org/officeDocument/2006/relationships/table" Target="../tables/table5.xml"/><Relationship Id="rId11" Type="http://schemas.openxmlformats.org/officeDocument/2006/relationships/hyperlink" Target="https://www.munzee.com/m/BrotherWilliam/5246/admin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ArtofEco/3545/admin/" TargetMode="External"/><Relationship Id="rId12" Type="http://schemas.openxmlformats.org/officeDocument/2006/relationships/hyperlink" Target="http://www.munzee.com" TargetMode="External"/><Relationship Id="rId91" Type="http://schemas.openxmlformats.org/officeDocument/2006/relationships/hyperlink" Target="https://www.munzee.com/m/barefootguru/3398/" TargetMode="External"/><Relationship Id="rId90" Type="http://schemas.openxmlformats.org/officeDocument/2006/relationships/hyperlink" Target="http://www.munzee.com" TargetMode="External"/><Relationship Id="rId93" Type="http://schemas.openxmlformats.org/officeDocument/2006/relationships/hyperlink" Target="https://www.munzee.com/m/Whatsoverthere/8114/admin/" TargetMode="External"/><Relationship Id="rId9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J1Huisman/14455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lison55/8396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fsafranek/5371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://www.munzee.com" TargetMode="External"/><Relationship Id="rId86" Type="http://schemas.openxmlformats.org/officeDocument/2006/relationships/hyperlink" Target="https://www.munzee.com/m/mortonfox/22766/" TargetMode="External"/><Relationship Id="rId85" Type="http://schemas.openxmlformats.org/officeDocument/2006/relationships/hyperlink" Target="http://www.munzee.com" TargetMode="External"/><Relationship Id="rId88" Type="http://schemas.openxmlformats.org/officeDocument/2006/relationships/hyperlink" Target="http://www.munzee.com" TargetMode="External"/><Relationship Id="rId87" Type="http://schemas.openxmlformats.org/officeDocument/2006/relationships/hyperlink" Target="http://www.munzee.com" TargetMode="External"/><Relationship Id="rId89" Type="http://schemas.openxmlformats.org/officeDocument/2006/relationships/hyperlink" Target="https://www.munzee.com/m/raunas/12671" TargetMode="External"/><Relationship Id="rId80" Type="http://schemas.openxmlformats.org/officeDocument/2006/relationships/hyperlink" Target="https://www.munzee.com/m/Ellesche/827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/Derlame/28322/" TargetMode="External"/><Relationship Id="rId2" Type="http://schemas.openxmlformats.org/officeDocument/2006/relationships/hyperlink" Target="https://www.munzee.com/map/dr09x1ce8/15" TargetMode="External"/><Relationship Id="rId3" Type="http://schemas.openxmlformats.org/officeDocument/2006/relationships/hyperlink" Target="https://www.munzee.com/m/belladivadee/3775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PawPatrolThomas/4301/" TargetMode="External"/><Relationship Id="rId5" Type="http://schemas.openxmlformats.org/officeDocument/2006/relationships/hyperlink" Target="https://www.munzee.com/m/sverlaan/6281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EmileP68/5117/" TargetMode="External"/><Relationship Id="rId8" Type="http://schemas.openxmlformats.org/officeDocument/2006/relationships/hyperlink" Target="http://www.munzee.com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s://www.munzee.com/m/res2100/872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s://www.munzee.com/m/TheFrog/3574/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s://www.munzee.com/m/123xilef/13725/" TargetMode="External"/><Relationship Id="rId71" Type="http://schemas.openxmlformats.org/officeDocument/2006/relationships/hyperlink" Target="https://www.munzee.com/m/Oppresso1983/3782/admin/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s://www.munzee.com/m/Whatsoverthere/8478/admin/" TargetMode="External"/><Relationship Id="rId61" Type="http://schemas.openxmlformats.org/officeDocument/2006/relationships/hyperlink" Target="http://www.munzee.com" TargetMode="External"/><Relationship Id="rId64" Type="http://schemas.openxmlformats.org/officeDocument/2006/relationships/hyperlink" Target="https://www.munzee.com/m/Oppresso1983/3845/admin/" TargetMode="External"/><Relationship Id="rId63" Type="http://schemas.openxmlformats.org/officeDocument/2006/relationships/hyperlink" Target="http://www.munzee.com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://www.munzee.com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Bisquick2/7138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Whatsoverthere/8248/admin/" TargetMode="External"/><Relationship Id="rId51" Type="http://schemas.openxmlformats.org/officeDocument/2006/relationships/hyperlink" Target="https://www.munzee.com/m/rita85gto/5115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://www.munzee.com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://www.munzee.com" TargetMode="External"/><Relationship Id="rId54" Type="http://schemas.openxmlformats.org/officeDocument/2006/relationships/hyperlink" Target="https://www.munzee.com/m/Wangotango/1369/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s://www.munzee.com/m/cbf600/3585/" TargetMode="External"/><Relationship Id="rId59" Type="http://schemas.openxmlformats.org/officeDocument/2006/relationships/hyperlink" Target="http://www.munzee.com" TargetMode="External"/><Relationship Id="rId58" Type="http://schemas.openxmlformats.org/officeDocument/2006/relationships/hyperlink" Target="http://www.munzee.com" TargetMode="External"/></Relationships>
</file>

<file path=xl/worksheets/_rels/sheet7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://www.munzee.com" TargetMode="External"/><Relationship Id="rId41" Type="http://schemas.openxmlformats.org/officeDocument/2006/relationships/hyperlink" Target="https://www.munzee.com/m/crscousins/7152/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s://www.munzee.com/m/TD42/3511/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etzet/4628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GroteSufferd/754/" TargetMode="External"/><Relationship Id="rId49" Type="http://schemas.openxmlformats.org/officeDocument/2006/relationships/hyperlink" Target="https://www.munzee.com/m/Bungle/10657" TargetMode="External"/><Relationship Id="rId31" Type="http://schemas.openxmlformats.org/officeDocument/2006/relationships/hyperlink" Target="https://www.munzee.com/m/Niks13/1498/" TargetMode="External"/><Relationship Id="rId30" Type="http://schemas.openxmlformats.org/officeDocument/2006/relationships/hyperlink" Target="http://www.munzee.com" TargetMode="External"/><Relationship Id="rId33" Type="http://schemas.openxmlformats.org/officeDocument/2006/relationships/hyperlink" Target="https://www.munzee.com/m/lupo6/6419/" TargetMode="External"/><Relationship Id="rId32" Type="http://schemas.openxmlformats.org/officeDocument/2006/relationships/hyperlink" Target="http://www.munzee.com" TargetMode="External"/><Relationship Id="rId35" Type="http://schemas.openxmlformats.org/officeDocument/2006/relationships/hyperlink" Target="https://www.munzee.com/m/TD42/3513/" TargetMode="External"/><Relationship Id="rId34" Type="http://schemas.openxmlformats.org/officeDocument/2006/relationships/hyperlink" Target="http://www.munzee.com" TargetMode="External"/><Relationship Id="rId37" Type="http://schemas.openxmlformats.org/officeDocument/2006/relationships/hyperlink" Target="https://www.munzee.com/m/OdinsFiRe/2065/" TargetMode="External"/><Relationship Id="rId36" Type="http://schemas.openxmlformats.org/officeDocument/2006/relationships/hyperlink" Target="http://www.munzee.com" TargetMode="External"/><Relationship Id="rId39" Type="http://schemas.openxmlformats.org/officeDocument/2006/relationships/hyperlink" Target="https://www.munzee.com/m/lupo6/2732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://www.munzee.com" TargetMode="External"/><Relationship Id="rId22" Type="http://schemas.openxmlformats.org/officeDocument/2006/relationships/hyperlink" Target="http://www.munzee.com" TargetMode="External"/><Relationship Id="rId21" Type="http://schemas.openxmlformats.org/officeDocument/2006/relationships/hyperlink" Target="https://www.munzee.com/m/xrayneex/2645/" TargetMode="External"/><Relationship Id="rId24" Type="http://schemas.openxmlformats.org/officeDocument/2006/relationships/hyperlink" Target="http://www.munzee.com" TargetMode="External"/><Relationship Id="rId23" Type="http://schemas.openxmlformats.org/officeDocument/2006/relationships/hyperlink" Target="https://www.munzee.com/m/res2100/845" TargetMode="External"/><Relationship Id="rId26" Type="http://schemas.openxmlformats.org/officeDocument/2006/relationships/hyperlink" Target="http://www.munzee.com" TargetMode="External"/><Relationship Id="rId25" Type="http://schemas.openxmlformats.org/officeDocument/2006/relationships/hyperlink" Target="https://www.munzee.com/m/Drazoria/1687/" TargetMode="External"/><Relationship Id="rId28" Type="http://schemas.openxmlformats.org/officeDocument/2006/relationships/hyperlink" Target="http://www.munzee.com" TargetMode="External"/><Relationship Id="rId27" Type="http://schemas.openxmlformats.org/officeDocument/2006/relationships/hyperlink" Target="https://www.munzee.com/m/Tinake1309/1595/" TargetMode="External"/><Relationship Id="rId29" Type="http://schemas.openxmlformats.org/officeDocument/2006/relationships/hyperlink" Target="https://www.munzee.com/m/Berg14/1515/" TargetMode="External"/><Relationship Id="rId11" Type="http://schemas.openxmlformats.org/officeDocument/2006/relationships/hyperlink" Target="https://www.munzee.com/m/BrotherWilliam/5258/admin/" TargetMode="External"/><Relationship Id="rId10" Type="http://schemas.openxmlformats.org/officeDocument/2006/relationships/hyperlink" Target="http://www.munzee.com" TargetMode="External"/><Relationship Id="rId13" Type="http://schemas.openxmlformats.org/officeDocument/2006/relationships/hyperlink" Target="https://www.munzee.com/m/ArtofEco/3589/admin/" TargetMode="External"/><Relationship Id="rId12" Type="http://schemas.openxmlformats.org/officeDocument/2006/relationships/hyperlink" Target="http://www.munzee.com" TargetMode="External"/><Relationship Id="rId15" Type="http://schemas.openxmlformats.org/officeDocument/2006/relationships/hyperlink" Target="https://www.munzee.com/m/J1Huisman/13013/" TargetMode="External"/><Relationship Id="rId14" Type="http://schemas.openxmlformats.org/officeDocument/2006/relationships/hyperlink" Target="http://www.munzee.com" TargetMode="External"/><Relationship Id="rId17" Type="http://schemas.openxmlformats.org/officeDocument/2006/relationships/hyperlink" Target="https://www.munzee.com/m/fsafranek/5489/" TargetMode="External"/><Relationship Id="rId16" Type="http://schemas.openxmlformats.org/officeDocument/2006/relationships/hyperlink" Target="http://www.munzee.com" TargetMode="External"/><Relationship Id="rId19" Type="http://schemas.openxmlformats.org/officeDocument/2006/relationships/hyperlink" Target="https://www.munzee.com/m/Ellesche/811/" TargetMode="External"/><Relationship Id="rId18" Type="http://schemas.openxmlformats.org/officeDocument/2006/relationships/hyperlink" Target="http://www.munzee.com" TargetMode="External"/><Relationship Id="rId84" Type="http://schemas.openxmlformats.org/officeDocument/2006/relationships/hyperlink" Target="http://www.munzee.com" TargetMode="External"/><Relationship Id="rId83" Type="http://schemas.openxmlformats.org/officeDocument/2006/relationships/hyperlink" Target="https://www.munzee.com/m/Ellesche/769" TargetMode="External"/><Relationship Id="rId85" Type="http://schemas.openxmlformats.org/officeDocument/2006/relationships/drawing" Target="../drawings/drawing7.xml"/><Relationship Id="rId87" Type="http://schemas.openxmlformats.org/officeDocument/2006/relationships/table" Target="../tables/table6.xm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barefootguru/3527/" TargetMode="External"/><Relationship Id="rId1" Type="http://schemas.openxmlformats.org/officeDocument/2006/relationships/hyperlink" Target="https://www.munzee.com/m/Derlame/28846/" TargetMode="External"/><Relationship Id="rId2" Type="http://schemas.openxmlformats.org/officeDocument/2006/relationships/hyperlink" Target="https://www.munzee.com/map/qd63r9fp7/16" TargetMode="External"/><Relationship Id="rId3" Type="http://schemas.openxmlformats.org/officeDocument/2006/relationships/hyperlink" Target="https://www.munzee.com/m/raunas/12597" TargetMode="External"/><Relationship Id="rId4" Type="http://schemas.openxmlformats.org/officeDocument/2006/relationships/hyperlink" Target="http://www.munzee.com" TargetMode="External"/><Relationship Id="rId9" Type="http://schemas.openxmlformats.org/officeDocument/2006/relationships/hyperlink" Target="https://www.munzee.com/m/EmileP68/5027/" TargetMode="External"/><Relationship Id="rId5" Type="http://schemas.openxmlformats.org/officeDocument/2006/relationships/hyperlink" Target="https://www.munzee.com/m/sverlaan/6279/" TargetMode="External"/><Relationship Id="rId6" Type="http://schemas.openxmlformats.org/officeDocument/2006/relationships/hyperlink" Target="http://www.munzee.com" TargetMode="External"/><Relationship Id="rId7" Type="http://schemas.openxmlformats.org/officeDocument/2006/relationships/hyperlink" Target="https://www.munzee.com/m/PawPatrolThomas/4209/" TargetMode="External"/><Relationship Id="rId8" Type="http://schemas.openxmlformats.org/officeDocument/2006/relationships/hyperlink" Target="http://www.munzee.com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s://www.munzee.com/m/123xilef/13726/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s://www.munzee.com/m/mortonfox/24166/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s://www.munzee.com/m/TheFrog/3569/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://www.munzee.com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s://www.munzee.com/m/Bisquick2/7168/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://www.munzee.com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://www.munzee.com" TargetMode="External"/><Relationship Id="rId51" Type="http://schemas.openxmlformats.org/officeDocument/2006/relationships/hyperlink" Target="https://www.munzee.com/m/rita85gto/5116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://www.munzee.com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s://www.munzee.com/m/cbf600/3801/admin/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://www.munzee.com" TargetMode="External"/><Relationship Id="rId58" Type="http://schemas.openxmlformats.org/officeDocument/2006/relationships/hyperlink" Target="http://www.munzee.com" TargetMode="External"/></Relationships>
</file>

<file path=xl/worksheets/_rels/sheet8.xml.rels><?xml version="1.0" encoding="UTF-8" standalone="yes"?><Relationships xmlns="http://schemas.openxmlformats.org/package/2006/relationships"><Relationship Id="rId40" Type="http://schemas.openxmlformats.org/officeDocument/2006/relationships/hyperlink" Target="https://www.munzee.com/m/lison55/12386/" TargetMode="External"/><Relationship Id="rId42" Type="http://schemas.openxmlformats.org/officeDocument/2006/relationships/hyperlink" Target="https://www.munzee.com/m/crscousins/4098/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s://www.munzee.com/m/Anetzet/4623/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s://www.munzee.com/m/Bungle/10659" TargetMode="External"/><Relationship Id="rId45" Type="http://schemas.openxmlformats.org/officeDocument/2006/relationships/hyperlink" Target="http://www.munzee.com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://www.munzee.com" TargetMode="External"/><Relationship Id="rId49" Type="http://schemas.openxmlformats.org/officeDocument/2006/relationships/hyperlink" Target="https://www.munzee.com/m/rita85gto/5119/" TargetMode="External"/><Relationship Id="rId31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Niks13/1499/" TargetMode="External"/><Relationship Id="rId33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nyboss/13220/" TargetMode="External"/><Relationship Id="rId35" Type="http://schemas.openxmlformats.org/officeDocument/2006/relationships/hyperlink" Target="http://www.munzee.com" TargetMode="External"/><Relationship Id="rId34" Type="http://schemas.openxmlformats.org/officeDocument/2006/relationships/hyperlink" Target="https://www.munzee.com/m/raunas/12564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lupo6/6620" TargetMode="External"/><Relationship Id="rId39" Type="http://schemas.openxmlformats.org/officeDocument/2006/relationships/hyperlink" Target="http://www.munzee.com" TargetMode="External"/><Relationship Id="rId38" Type="http://schemas.openxmlformats.org/officeDocument/2006/relationships/hyperlink" Target="https://www.munzee.com/m/OdinsFiRe/2066/" TargetMode="External"/><Relationship Id="rId20" Type="http://schemas.openxmlformats.org/officeDocument/2006/relationships/hyperlink" Target="https://www.munzee.com/m/res2100/753" TargetMode="External"/><Relationship Id="rId22" Type="http://schemas.openxmlformats.org/officeDocument/2006/relationships/hyperlink" Target="https://www.munzee.com/m/xrayneex/2623/" TargetMode="External"/><Relationship Id="rId21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Drazoria/1600/" TargetMode="External"/><Relationship Id="rId23" Type="http://schemas.openxmlformats.org/officeDocument/2006/relationships/hyperlink" Target="http://www.munzee.com" TargetMode="External"/><Relationship Id="rId26" Type="http://schemas.openxmlformats.org/officeDocument/2006/relationships/hyperlink" Target="https://www.munzee.com/m/Tinake1309/1597/" TargetMode="External"/><Relationship Id="rId25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Berg14/1519/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11" Type="http://schemas.openxmlformats.org/officeDocument/2006/relationships/hyperlink" Target="http://www.munzee.com" TargetMode="External"/><Relationship Id="rId10" Type="http://schemas.openxmlformats.org/officeDocument/2006/relationships/hyperlink" Target="https://www.munzee.com/m/BrotherWilliam/5350/" TargetMode="External"/><Relationship Id="rId13" Type="http://schemas.openxmlformats.org/officeDocument/2006/relationships/hyperlink" Target="http://www.munzee.com" TargetMode="External"/><Relationship Id="rId12" Type="http://schemas.openxmlformats.org/officeDocument/2006/relationships/hyperlink" Target="https://www.munzee.com/m/ArtofEco/3651/" TargetMode="External"/><Relationship Id="rId15" Type="http://schemas.openxmlformats.org/officeDocument/2006/relationships/hyperlink" Target="http://www.munzee.com" TargetMode="External"/><Relationship Id="rId14" Type="http://schemas.openxmlformats.org/officeDocument/2006/relationships/hyperlink" Target="https://www.munzee.com/m/J1Huisman/13017/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fsafranek/5486/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Ellesche/807" TargetMode="External"/><Relationship Id="rId84" Type="http://schemas.openxmlformats.org/officeDocument/2006/relationships/drawing" Target="../drawings/drawing8.xml"/><Relationship Id="rId83" Type="http://schemas.openxmlformats.org/officeDocument/2006/relationships/hyperlink" Target="http://www.munzee.com" TargetMode="External"/><Relationship Id="rId86" Type="http://schemas.openxmlformats.org/officeDocument/2006/relationships/table" Target="../tables/table7.xml"/><Relationship Id="rId80" Type="http://schemas.openxmlformats.org/officeDocument/2006/relationships/hyperlink" Target="https://www.munzee.com/m/raunas/13091" TargetMode="External"/><Relationship Id="rId82" Type="http://schemas.openxmlformats.org/officeDocument/2006/relationships/hyperlink" Target="https://www.munzee.com/m/barefootguru/3626/" TargetMode="External"/><Relationship Id="rId81" Type="http://schemas.openxmlformats.org/officeDocument/2006/relationships/hyperlink" Target="http://www.munzee.com" TargetMode="External"/><Relationship Id="rId1" Type="http://schemas.openxmlformats.org/officeDocument/2006/relationships/hyperlink" Target="https://www.munzee.com/map/gcnhxpp4f/18" TargetMode="External"/><Relationship Id="rId2" Type="http://schemas.openxmlformats.org/officeDocument/2006/relationships/hyperlink" Target="https://www.munzee.com/m/belladivadee/3201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sverlaan/6257/" TargetMode="External"/><Relationship Id="rId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PawPatrolThomas/4200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EmileP68/5116/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://www.munzee.com" TargetMode="External"/><Relationship Id="rId76" Type="http://schemas.openxmlformats.org/officeDocument/2006/relationships/hyperlink" Target="https://www.munzee.com/m/mortonfox/24200/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://www.munzee.com" TargetMode="External"/><Relationship Id="rId70" Type="http://schemas.openxmlformats.org/officeDocument/2006/relationships/hyperlink" Target="https://www.munzee.com/m/123xilef/13722/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Bisquick2/7181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://www.munzee.com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://www.munzee.com" TargetMode="External"/><Relationship Id="rId68" Type="http://schemas.openxmlformats.org/officeDocument/2006/relationships/hyperlink" Target="https://www.munzee.com/m/TheFrog/5819/" TargetMode="External"/><Relationship Id="rId67" Type="http://schemas.openxmlformats.org/officeDocument/2006/relationships/hyperlink" Target="http://www.munzee.com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://www.munzee.com" TargetMode="External"/><Relationship Id="rId51" Type="http://schemas.openxmlformats.org/officeDocument/2006/relationships/hyperlink" Target="http://www.munzee.com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s://www.munzee.com/m/cbf600/3783/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://www.munzee.com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://www.munzee.com" TargetMode="External"/><Relationship Id="rId58" Type="http://schemas.openxmlformats.org/officeDocument/2006/relationships/hyperlink" Target="http://www.munzee.com" TargetMode="External"/></Relationships>
</file>

<file path=xl/worksheets/_rels/sheet9.xml.rels><?xml version="1.0" encoding="UTF-8" standalone="yes"?><Relationships xmlns="http://schemas.openxmlformats.org/package/2006/relationships"><Relationship Id="rId40" Type="http://schemas.openxmlformats.org/officeDocument/2006/relationships/hyperlink" Target="http://www.munzee.com" TargetMode="External"/><Relationship Id="rId42" Type="http://schemas.openxmlformats.org/officeDocument/2006/relationships/hyperlink" Target="https://www.munzee.com/m/Anetzet/4615/" TargetMode="External"/><Relationship Id="rId41" Type="http://schemas.openxmlformats.org/officeDocument/2006/relationships/hyperlink" Target="http://www.munzee.com" TargetMode="External"/><Relationship Id="rId44" Type="http://schemas.openxmlformats.org/officeDocument/2006/relationships/hyperlink" Target="http://www.munzee.com" TargetMode="External"/><Relationship Id="rId43" Type="http://schemas.openxmlformats.org/officeDocument/2006/relationships/hyperlink" Target="http://www.munzee.com" TargetMode="External"/><Relationship Id="rId46" Type="http://schemas.openxmlformats.org/officeDocument/2006/relationships/hyperlink" Target="http://www.munzee.com" TargetMode="External"/><Relationship Id="rId45" Type="http://schemas.openxmlformats.org/officeDocument/2006/relationships/hyperlink" Target="https://www.munzee.com/m/Aniara/17962/" TargetMode="External"/><Relationship Id="rId48" Type="http://schemas.openxmlformats.org/officeDocument/2006/relationships/hyperlink" Target="http://www.munzee.com" TargetMode="External"/><Relationship Id="rId47" Type="http://schemas.openxmlformats.org/officeDocument/2006/relationships/hyperlink" Target="https://www.munzee.com/m/lison55/20908/" TargetMode="External"/><Relationship Id="rId49" Type="http://schemas.openxmlformats.org/officeDocument/2006/relationships/hyperlink" Target="http://www.munzee.com" TargetMode="External"/><Relationship Id="rId31" Type="http://schemas.openxmlformats.org/officeDocument/2006/relationships/hyperlink" Target="http://www.munzee.com" TargetMode="External"/><Relationship Id="rId30" Type="http://schemas.openxmlformats.org/officeDocument/2006/relationships/hyperlink" Target="https://www.munzee.com/m/lupo6/6814" TargetMode="External"/><Relationship Id="rId33" Type="http://schemas.openxmlformats.org/officeDocument/2006/relationships/hyperlink" Target="http://www.munzee.com" TargetMode="External"/><Relationship Id="rId32" Type="http://schemas.openxmlformats.org/officeDocument/2006/relationships/hyperlink" Target="https://www.munzee.com/m/crscousins/7153/" TargetMode="External"/><Relationship Id="rId35" Type="http://schemas.openxmlformats.org/officeDocument/2006/relationships/hyperlink" Target="http://www.munzee.com" TargetMode="External"/><Relationship Id="rId34" Type="http://schemas.openxmlformats.org/officeDocument/2006/relationships/hyperlink" Target="https://www.munzee.com/m/Bungle/10928" TargetMode="External"/><Relationship Id="rId37" Type="http://schemas.openxmlformats.org/officeDocument/2006/relationships/hyperlink" Target="http://www.munzee.com" TargetMode="External"/><Relationship Id="rId36" Type="http://schemas.openxmlformats.org/officeDocument/2006/relationships/hyperlink" Target="https://www.munzee.com/m/OdinsFiRe/2162/" TargetMode="External"/><Relationship Id="rId39" Type="http://schemas.openxmlformats.org/officeDocument/2006/relationships/hyperlink" Target="https://www.munzee.com/m/Ellesche/835" TargetMode="External"/><Relationship Id="rId38" Type="http://schemas.openxmlformats.org/officeDocument/2006/relationships/hyperlink" Target="http://www.munzee.com" TargetMode="External"/><Relationship Id="rId20" Type="http://schemas.openxmlformats.org/officeDocument/2006/relationships/hyperlink" Target="https://www.munzee.com/m/xrayneex/2622/" TargetMode="External"/><Relationship Id="rId22" Type="http://schemas.openxmlformats.org/officeDocument/2006/relationships/hyperlink" Target="https://www.munzee.com/m/Drazoria/1639/" TargetMode="External"/><Relationship Id="rId21" Type="http://schemas.openxmlformats.org/officeDocument/2006/relationships/hyperlink" Target="http://www.munzee.com" TargetMode="External"/><Relationship Id="rId24" Type="http://schemas.openxmlformats.org/officeDocument/2006/relationships/hyperlink" Target="https://www.munzee.com/m/Tinake1309/1656/" TargetMode="External"/><Relationship Id="rId23" Type="http://schemas.openxmlformats.org/officeDocument/2006/relationships/hyperlink" Target="http://www.munzee.com" TargetMode="External"/><Relationship Id="rId26" Type="http://schemas.openxmlformats.org/officeDocument/2006/relationships/hyperlink" Target="https://www.munzee.com/m/Berg14/1506/" TargetMode="External"/><Relationship Id="rId25" Type="http://schemas.openxmlformats.org/officeDocument/2006/relationships/hyperlink" Target="http://www.munzee.com" TargetMode="External"/><Relationship Id="rId28" Type="http://schemas.openxmlformats.org/officeDocument/2006/relationships/hyperlink" Target="https://www.munzee.com/m/Niks13/1517/" TargetMode="External"/><Relationship Id="rId27" Type="http://schemas.openxmlformats.org/officeDocument/2006/relationships/hyperlink" Target="http://www.munzee.com" TargetMode="External"/><Relationship Id="rId29" Type="http://schemas.openxmlformats.org/officeDocument/2006/relationships/hyperlink" Target="http://www.munzee.com" TargetMode="External"/><Relationship Id="rId11" Type="http://schemas.openxmlformats.org/officeDocument/2006/relationships/hyperlink" Target="http://www.munzee.com" TargetMode="External"/><Relationship Id="rId10" Type="http://schemas.openxmlformats.org/officeDocument/2006/relationships/hyperlink" Target="https://www.munzee.com/m/BrotherWilliam/5386/" TargetMode="External"/><Relationship Id="rId13" Type="http://schemas.openxmlformats.org/officeDocument/2006/relationships/hyperlink" Target="http://www.munzee.com" TargetMode="External"/><Relationship Id="rId12" Type="http://schemas.openxmlformats.org/officeDocument/2006/relationships/hyperlink" Target="https://www.munzee.com/m/ArtofEco/3657/" TargetMode="External"/><Relationship Id="rId15" Type="http://schemas.openxmlformats.org/officeDocument/2006/relationships/hyperlink" Target="http://www.munzee.com" TargetMode="External"/><Relationship Id="rId14" Type="http://schemas.openxmlformats.org/officeDocument/2006/relationships/hyperlink" Target="https://www.munzee.com/m/J1Huisman/13699/" TargetMode="External"/><Relationship Id="rId17" Type="http://schemas.openxmlformats.org/officeDocument/2006/relationships/hyperlink" Target="http://www.munzee.com" TargetMode="External"/><Relationship Id="rId16" Type="http://schemas.openxmlformats.org/officeDocument/2006/relationships/hyperlink" Target="https://www.munzee.com/m/fsafranek/5469/" TargetMode="External"/><Relationship Id="rId19" Type="http://schemas.openxmlformats.org/officeDocument/2006/relationships/hyperlink" Target="http://www.munzee.com" TargetMode="External"/><Relationship Id="rId18" Type="http://schemas.openxmlformats.org/officeDocument/2006/relationships/hyperlink" Target="https://www.munzee.com/m/rita85gto/3823/" TargetMode="External"/><Relationship Id="rId83" Type="http://schemas.openxmlformats.org/officeDocument/2006/relationships/drawing" Target="../drawings/drawing9.xml"/><Relationship Id="rId85" Type="http://schemas.openxmlformats.org/officeDocument/2006/relationships/table" Target="../tables/table8.xml"/><Relationship Id="rId80" Type="http://schemas.openxmlformats.org/officeDocument/2006/relationships/hyperlink" Target="http://www.munzee.com" TargetMode="External"/><Relationship Id="rId82" Type="http://schemas.openxmlformats.org/officeDocument/2006/relationships/hyperlink" Target="http://www.munzee.com" TargetMode="External"/><Relationship Id="rId81" Type="http://schemas.openxmlformats.org/officeDocument/2006/relationships/hyperlink" Target="https://www.munzee.com/m/barefootguru/3670/" TargetMode="External"/><Relationship Id="rId1" Type="http://schemas.openxmlformats.org/officeDocument/2006/relationships/hyperlink" Target="https://www.munzee.com/map/u67hj40xv/15.8" TargetMode="External"/><Relationship Id="rId2" Type="http://schemas.openxmlformats.org/officeDocument/2006/relationships/hyperlink" Target="https://www.munzee.com/m/belladivadee/3263/" TargetMode="External"/><Relationship Id="rId3" Type="http://schemas.openxmlformats.org/officeDocument/2006/relationships/hyperlink" Target="http://www.munzee.com" TargetMode="External"/><Relationship Id="rId4" Type="http://schemas.openxmlformats.org/officeDocument/2006/relationships/hyperlink" Target="https://www.munzee.com/m/sverlaan/6206/" TargetMode="External"/><Relationship Id="rId9" Type="http://schemas.openxmlformats.org/officeDocument/2006/relationships/hyperlink" Target="http://www.munzee.com" TargetMode="External"/><Relationship Id="rId5" Type="http://schemas.openxmlformats.org/officeDocument/2006/relationships/hyperlink" Target="http://www.munzee.com" TargetMode="External"/><Relationship Id="rId6" Type="http://schemas.openxmlformats.org/officeDocument/2006/relationships/hyperlink" Target="https://www.munzee.com/m/PawPatrolThomas/4199/" TargetMode="External"/><Relationship Id="rId7" Type="http://schemas.openxmlformats.org/officeDocument/2006/relationships/hyperlink" Target="http://www.munzee.com" TargetMode="External"/><Relationship Id="rId8" Type="http://schemas.openxmlformats.org/officeDocument/2006/relationships/hyperlink" Target="https://www.munzee.com/m/EmileP68/5008/" TargetMode="External"/><Relationship Id="rId73" Type="http://schemas.openxmlformats.org/officeDocument/2006/relationships/hyperlink" Target="http://www.munzee.com" TargetMode="External"/><Relationship Id="rId72" Type="http://schemas.openxmlformats.org/officeDocument/2006/relationships/hyperlink" Target="http://www.munzee.com" TargetMode="External"/><Relationship Id="rId75" Type="http://schemas.openxmlformats.org/officeDocument/2006/relationships/hyperlink" Target="http://www.munzee.com" TargetMode="External"/><Relationship Id="rId74" Type="http://schemas.openxmlformats.org/officeDocument/2006/relationships/hyperlink" Target="http://www.munzee.com" TargetMode="External"/><Relationship Id="rId77" Type="http://schemas.openxmlformats.org/officeDocument/2006/relationships/hyperlink" Target="https://www.munzee.com/m/mortonfox/24218/" TargetMode="External"/><Relationship Id="rId76" Type="http://schemas.openxmlformats.org/officeDocument/2006/relationships/hyperlink" Target="http://www.munzee.com" TargetMode="External"/><Relationship Id="rId79" Type="http://schemas.openxmlformats.org/officeDocument/2006/relationships/hyperlink" Target="http://www.munzee.com" TargetMode="External"/><Relationship Id="rId78" Type="http://schemas.openxmlformats.org/officeDocument/2006/relationships/hyperlink" Target="http://www.munzee.com" TargetMode="External"/><Relationship Id="rId71" Type="http://schemas.openxmlformats.org/officeDocument/2006/relationships/hyperlink" Target="https://www.munzee.com/m/res2100/760" TargetMode="External"/><Relationship Id="rId70" Type="http://schemas.openxmlformats.org/officeDocument/2006/relationships/hyperlink" Target="http://www.munzee.com" TargetMode="External"/><Relationship Id="rId62" Type="http://schemas.openxmlformats.org/officeDocument/2006/relationships/hyperlink" Target="http://www.munzee.com" TargetMode="External"/><Relationship Id="rId61" Type="http://schemas.openxmlformats.org/officeDocument/2006/relationships/hyperlink" Target="https://www.munzee.com/m/wally62/5784/" TargetMode="External"/><Relationship Id="rId64" Type="http://schemas.openxmlformats.org/officeDocument/2006/relationships/hyperlink" Target="http://www.munzee.com" TargetMode="External"/><Relationship Id="rId63" Type="http://schemas.openxmlformats.org/officeDocument/2006/relationships/hyperlink" Target="http://www.munzee.com" TargetMode="External"/><Relationship Id="rId66" Type="http://schemas.openxmlformats.org/officeDocument/2006/relationships/hyperlink" Target="http://www.munzee.com" TargetMode="External"/><Relationship Id="rId65" Type="http://schemas.openxmlformats.org/officeDocument/2006/relationships/hyperlink" Target="http://www.munzee.com" TargetMode="External"/><Relationship Id="rId68" Type="http://schemas.openxmlformats.org/officeDocument/2006/relationships/hyperlink" Target="http://www.munzee.com" TargetMode="External"/><Relationship Id="rId67" Type="http://schemas.openxmlformats.org/officeDocument/2006/relationships/hyperlink" Target="https://www.munzee.com/m/TheFrog/5821/" TargetMode="External"/><Relationship Id="rId60" Type="http://schemas.openxmlformats.org/officeDocument/2006/relationships/hyperlink" Target="http://www.munzee.com" TargetMode="External"/><Relationship Id="rId69" Type="http://schemas.openxmlformats.org/officeDocument/2006/relationships/hyperlink" Target="https://www.munzee.com/m/123xilef/13720/" TargetMode="External"/><Relationship Id="rId51" Type="http://schemas.openxmlformats.org/officeDocument/2006/relationships/hyperlink" Target="https://www.munzee.com/m/cbf600/3731/" TargetMode="External"/><Relationship Id="rId50" Type="http://schemas.openxmlformats.org/officeDocument/2006/relationships/hyperlink" Target="http://www.munzee.com" TargetMode="External"/><Relationship Id="rId53" Type="http://schemas.openxmlformats.org/officeDocument/2006/relationships/hyperlink" Target="http://www.munzee.com" TargetMode="External"/><Relationship Id="rId52" Type="http://schemas.openxmlformats.org/officeDocument/2006/relationships/hyperlink" Target="http://www.munzee.com" TargetMode="External"/><Relationship Id="rId55" Type="http://schemas.openxmlformats.org/officeDocument/2006/relationships/hyperlink" Target="http://www.munzee.com" TargetMode="External"/><Relationship Id="rId54" Type="http://schemas.openxmlformats.org/officeDocument/2006/relationships/hyperlink" Target="http://www.munzee.com" TargetMode="External"/><Relationship Id="rId57" Type="http://schemas.openxmlformats.org/officeDocument/2006/relationships/hyperlink" Target="http://www.munzee.com" TargetMode="External"/><Relationship Id="rId56" Type="http://schemas.openxmlformats.org/officeDocument/2006/relationships/hyperlink" Target="http://www.munzee.com" TargetMode="External"/><Relationship Id="rId59" Type="http://schemas.openxmlformats.org/officeDocument/2006/relationships/hyperlink" Target="https://www.munzee.com/m/Bisquick2/7182/" TargetMode="External"/><Relationship Id="rId58" Type="http://schemas.openxmlformats.org/officeDocument/2006/relationships/hyperlink" Target="http://www.munzee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</sheetPr>
  <sheetViews>
    <sheetView workbookViewId="0">
      <pane ySplit="10.0" topLeftCell="A11" activePane="bottomLeft" state="frozen"/>
      <selection activeCell="B12" sqref="B12" pane="bottomLeft"/>
    </sheetView>
  </sheetViews>
  <sheetFormatPr customHeight="1" defaultColWidth="12.63" defaultRowHeight="15.75"/>
  <cols>
    <col customWidth="1" min="1" max="1" width="12.38"/>
    <col customWidth="1" min="2" max="2" width="16.5"/>
    <col customWidth="1" min="3" max="3" width="19.38"/>
    <col customWidth="1" min="4" max="4" width="15.63"/>
    <col customWidth="1" min="5" max="5" width="13.25"/>
    <col customWidth="1" hidden="1" min="6" max="6" width="11.75"/>
    <col customWidth="1" min="7" max="7" width="8.5"/>
    <col customWidth="1" min="8" max="8" width="25.25"/>
    <col customWidth="1" min="9" max="9" width="7.0"/>
    <col customWidth="1" min="10" max="10" width="61.38"/>
    <col customWidth="1" min="11" max="19" width="4.75"/>
  </cols>
  <sheetData>
    <row r="1">
      <c r="A1" s="1" t="s">
        <v>0</v>
      </c>
      <c r="H1" s="2"/>
      <c r="I1" s="3"/>
      <c r="J1" s="4" t="s">
        <v>1</v>
      </c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/>
      <c r="F2" s="2"/>
      <c r="G2" s="2"/>
      <c r="H2" s="2"/>
      <c r="I2" s="3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6" t="s">
        <v>2</v>
      </c>
      <c r="K3" s="7"/>
      <c r="L3" s="7"/>
      <c r="M3" s="7"/>
      <c r="N3" s="7"/>
      <c r="O3" s="7"/>
      <c r="P3" s="7"/>
      <c r="Q3" s="7"/>
      <c r="R3" s="7"/>
      <c r="S3" s="7"/>
    </row>
    <row r="4">
      <c r="A4" s="6" t="s">
        <v>3</v>
      </c>
      <c r="K4" s="7"/>
      <c r="L4" s="7"/>
      <c r="M4" s="7"/>
      <c r="N4" s="7"/>
      <c r="O4" s="7"/>
      <c r="P4" s="7"/>
      <c r="Q4" s="7"/>
      <c r="R4" s="7"/>
      <c r="S4" s="7"/>
    </row>
    <row r="5">
      <c r="A5" s="6" t="s">
        <v>4</v>
      </c>
      <c r="K5" s="7"/>
      <c r="L5" s="7"/>
      <c r="M5" s="7"/>
      <c r="N5" s="7"/>
      <c r="O5" s="7"/>
      <c r="P5" s="7"/>
      <c r="Q5" s="7"/>
      <c r="R5" s="7"/>
      <c r="S5" s="7"/>
    </row>
    <row r="6">
      <c r="A6" s="6"/>
      <c r="B6" s="6"/>
      <c r="C6" s="6"/>
      <c r="D6" s="6"/>
      <c r="E6" s="6"/>
      <c r="F6" s="6"/>
      <c r="G6" s="6"/>
      <c r="H6" s="6"/>
      <c r="I6" s="8"/>
      <c r="J6" s="7"/>
      <c r="K6" s="7"/>
      <c r="L6" s="7"/>
      <c r="M6" s="7"/>
      <c r="N6" s="7"/>
      <c r="O6" s="7"/>
      <c r="P6" s="7"/>
      <c r="Q6" s="7"/>
      <c r="R6" s="7"/>
      <c r="S6" s="7"/>
    </row>
    <row r="7">
      <c r="A7" s="9" t="s">
        <v>5</v>
      </c>
      <c r="B7" s="6"/>
      <c r="C7" s="6"/>
      <c r="D7" s="9"/>
      <c r="E7" s="6"/>
      <c r="F7" s="6"/>
      <c r="G7" s="6"/>
      <c r="H7" s="6"/>
      <c r="I7" s="8"/>
      <c r="J7" s="7"/>
      <c r="K7" s="7"/>
      <c r="L7" s="7"/>
      <c r="M7" s="7"/>
      <c r="N7" s="7"/>
      <c r="O7" s="7"/>
      <c r="P7" s="7"/>
      <c r="Q7" s="7"/>
      <c r="R7" s="7"/>
      <c r="S7" s="7"/>
    </row>
    <row r="8">
      <c r="A8" s="6"/>
      <c r="B8" s="6"/>
      <c r="C8" s="6"/>
      <c r="D8" s="6"/>
      <c r="E8" s="6"/>
      <c r="F8" s="6"/>
      <c r="G8" s="10">
        <f>AVERAGE(G11:G46)</f>
        <v>0.8824786325</v>
      </c>
      <c r="H8" s="11" t="s">
        <v>6</v>
      </c>
      <c r="I8" s="8"/>
      <c r="J8" s="7"/>
      <c r="K8" s="7"/>
      <c r="L8" s="7"/>
      <c r="M8" s="7"/>
      <c r="N8" s="7"/>
      <c r="O8" s="7"/>
      <c r="P8" s="7"/>
      <c r="Q8" s="7"/>
      <c r="R8" s="7"/>
      <c r="S8" s="7"/>
    </row>
    <row r="9">
      <c r="A9" s="12" t="s">
        <v>7</v>
      </c>
      <c r="B9" s="13"/>
      <c r="C9" s="13"/>
      <c r="D9" s="13"/>
      <c r="E9" s="13"/>
      <c r="F9" s="13"/>
      <c r="G9" s="10">
        <f>AVERAGEIFS($G11:$G65,$G11:$G65,"&gt;0.00%",$G11:$G65,"&lt;100.00%")</f>
        <v>0.6978021978</v>
      </c>
      <c r="H9" s="11" t="s">
        <v>8</v>
      </c>
      <c r="I9" s="8"/>
      <c r="J9" s="7"/>
      <c r="K9" s="7"/>
      <c r="L9" s="7"/>
      <c r="M9" s="7"/>
      <c r="N9" s="7"/>
      <c r="O9" s="7"/>
      <c r="P9" s="7"/>
      <c r="Q9" s="7"/>
      <c r="R9" s="7"/>
      <c r="S9" s="7"/>
    </row>
    <row r="10">
      <c r="A10" s="14" t="s">
        <v>9</v>
      </c>
      <c r="B10" s="14"/>
      <c r="C10" s="14" t="s">
        <v>10</v>
      </c>
      <c r="D10" s="14" t="s">
        <v>11</v>
      </c>
      <c r="E10" s="14" t="s">
        <v>12</v>
      </c>
      <c r="F10" s="14" t="s">
        <v>13</v>
      </c>
      <c r="G10" s="14" t="s">
        <v>14</v>
      </c>
      <c r="H10" s="14" t="s">
        <v>15</v>
      </c>
      <c r="I10" s="8"/>
      <c r="J10" s="7"/>
      <c r="K10" s="7"/>
      <c r="L10" s="7"/>
      <c r="M10" s="7"/>
      <c r="N10" s="7"/>
      <c r="O10" s="7"/>
      <c r="P10" s="7"/>
      <c r="Q10" s="7"/>
      <c r="R10" s="7"/>
      <c r="S10" s="7"/>
    </row>
    <row r="11">
      <c r="A11" s="15" t="s">
        <v>16</v>
      </c>
      <c r="B11" s="15" t="s">
        <v>17</v>
      </c>
      <c r="C11" s="16" t="s">
        <v>18</v>
      </c>
      <c r="D11" s="17">
        <f>'Berlin, GER'!F3</f>
        <v>0</v>
      </c>
      <c r="E11" s="17">
        <f t="shared" ref="E11:E18" si="1">52-D11-F11</f>
        <v>0</v>
      </c>
      <c r="F11" s="17">
        <f>'Berlin, GER'!F5</f>
        <v>52</v>
      </c>
      <c r="G11" s="18">
        <f>'Berlin, GER'!G5</f>
        <v>1</v>
      </c>
      <c r="H11" s="19" t="s">
        <v>13</v>
      </c>
      <c r="I11" s="20">
        <v>1.0</v>
      </c>
      <c r="J11" s="21" t="s">
        <v>19</v>
      </c>
      <c r="K11" s="22"/>
      <c r="L11" s="22"/>
      <c r="M11" s="22"/>
      <c r="N11" s="22"/>
      <c r="O11" s="22"/>
      <c r="P11" s="22"/>
      <c r="Q11" s="22"/>
      <c r="R11" s="22"/>
      <c r="S11" s="22"/>
    </row>
    <row r="12">
      <c r="A12" s="15" t="s">
        <v>20</v>
      </c>
      <c r="B12" s="23"/>
      <c r="C12" s="16" t="s">
        <v>21</v>
      </c>
      <c r="D12" s="17">
        <f>'Escondido, USA'!F3</f>
        <v>0</v>
      </c>
      <c r="E12" s="17">
        <f t="shared" si="1"/>
        <v>0</v>
      </c>
      <c r="F12" s="17">
        <f>'Escondido, USA'!F5</f>
        <v>52</v>
      </c>
      <c r="G12" s="18">
        <f>'Escondido, USA'!G5</f>
        <v>1</v>
      </c>
      <c r="H12" s="19" t="s">
        <v>13</v>
      </c>
      <c r="I12" s="20">
        <v>2.0</v>
      </c>
      <c r="J12" s="21" t="s">
        <v>22</v>
      </c>
      <c r="K12" s="22"/>
      <c r="L12" s="22"/>
      <c r="M12" s="22"/>
      <c r="N12" s="22"/>
      <c r="O12" s="22"/>
      <c r="P12" s="22"/>
      <c r="Q12" s="22"/>
      <c r="R12" s="22"/>
      <c r="S12" s="22"/>
    </row>
    <row r="13">
      <c r="A13" s="15" t="s">
        <v>23</v>
      </c>
      <c r="B13" s="15" t="s">
        <v>24</v>
      </c>
      <c r="C13" s="16" t="s">
        <v>25</v>
      </c>
      <c r="D13" s="17">
        <f>'Brossard, CAN'!F3</f>
        <v>0</v>
      </c>
      <c r="E13" s="17">
        <f t="shared" si="1"/>
        <v>0</v>
      </c>
      <c r="F13" s="17">
        <f>'Brossard, CAN'!F5</f>
        <v>52</v>
      </c>
      <c r="G13" s="18">
        <f>'Brossard, CAN'!G5</f>
        <v>1</v>
      </c>
      <c r="H13" s="19" t="s">
        <v>13</v>
      </c>
      <c r="I13" s="24">
        <v>7.0</v>
      </c>
      <c r="J13" s="21" t="s">
        <v>26</v>
      </c>
      <c r="K13" s="22"/>
      <c r="L13" s="22"/>
      <c r="M13" s="22"/>
      <c r="N13" s="22"/>
      <c r="O13" s="22"/>
      <c r="P13" s="22"/>
      <c r="Q13" s="22"/>
      <c r="R13" s="22"/>
      <c r="S13" s="22"/>
    </row>
    <row r="14">
      <c r="A14" s="15" t="s">
        <v>20</v>
      </c>
      <c r="B14" s="23"/>
      <c r="C14" s="16" t="s">
        <v>27</v>
      </c>
      <c r="D14" s="17">
        <f>'Raleigh, USA'!F3</f>
        <v>0</v>
      </c>
      <c r="E14" s="17">
        <f t="shared" si="1"/>
        <v>0</v>
      </c>
      <c r="F14" s="17">
        <f>'Raleigh, USA'!F5</f>
        <v>52</v>
      </c>
      <c r="G14" s="18">
        <f>'Raleigh, USA'!G5</f>
        <v>1</v>
      </c>
      <c r="H14" s="19" t="s">
        <v>13</v>
      </c>
      <c r="I14" s="20">
        <v>5.0</v>
      </c>
      <c r="J14" s="25" t="s">
        <v>28</v>
      </c>
      <c r="K14" s="22"/>
      <c r="L14" s="22"/>
      <c r="M14" s="22"/>
      <c r="N14" s="22"/>
      <c r="O14" s="22"/>
      <c r="P14" s="22"/>
      <c r="Q14" s="22"/>
      <c r="R14" s="22"/>
      <c r="S14" s="22"/>
    </row>
    <row r="15">
      <c r="A15" s="15" t="s">
        <v>16</v>
      </c>
      <c r="B15" s="15" t="s">
        <v>29</v>
      </c>
      <c r="C15" s="16" t="s">
        <v>30</v>
      </c>
      <c r="D15" s="17">
        <f>'Gouda, NL'!F3</f>
        <v>0</v>
      </c>
      <c r="E15" s="17">
        <f t="shared" si="1"/>
        <v>0</v>
      </c>
      <c r="F15" s="17">
        <f>'Gouda, NL'!F5</f>
        <v>52</v>
      </c>
      <c r="G15" s="18">
        <f>'Gouda, NL'!G5</f>
        <v>1</v>
      </c>
      <c r="H15" s="19" t="s">
        <v>13</v>
      </c>
      <c r="I15" s="24">
        <v>8.0</v>
      </c>
      <c r="J15" s="26"/>
      <c r="K15" s="22"/>
      <c r="L15" s="22"/>
      <c r="M15" s="22"/>
      <c r="N15" s="22"/>
      <c r="O15" s="22"/>
      <c r="P15" s="22"/>
      <c r="Q15" s="22"/>
      <c r="R15" s="22"/>
      <c r="S15" s="22"/>
    </row>
    <row r="16">
      <c r="A16" s="15" t="s">
        <v>16</v>
      </c>
      <c r="B16" s="15" t="s">
        <v>31</v>
      </c>
      <c r="C16" s="16" t="s">
        <v>32</v>
      </c>
      <c r="D16" s="17">
        <f>'Plympton, UK'!F3</f>
        <v>0</v>
      </c>
      <c r="E16" s="17">
        <f t="shared" si="1"/>
        <v>0</v>
      </c>
      <c r="F16" s="17">
        <f>'Plympton, UK'!F5</f>
        <v>52</v>
      </c>
      <c r="G16" s="18">
        <f>'Plympton, UK'!G5</f>
        <v>1</v>
      </c>
      <c r="H16" s="19" t="s">
        <v>13</v>
      </c>
      <c r="I16" s="24">
        <v>9.0</v>
      </c>
      <c r="J16" s="22"/>
      <c r="K16" s="22"/>
      <c r="L16" s="22"/>
      <c r="M16" s="22"/>
      <c r="N16" s="22"/>
      <c r="O16" s="22"/>
      <c r="P16" s="22"/>
      <c r="Q16" s="22"/>
      <c r="R16" s="22"/>
      <c r="S16" s="22"/>
    </row>
    <row r="17">
      <c r="A17" s="15" t="s">
        <v>33</v>
      </c>
      <c r="B17" s="23"/>
      <c r="C17" s="16" t="s">
        <v>34</v>
      </c>
      <c r="D17" s="17">
        <f>'Perth, AUS'!F3</f>
        <v>0</v>
      </c>
      <c r="E17" s="17">
        <f t="shared" si="1"/>
        <v>0</v>
      </c>
      <c r="F17" s="17">
        <f>'Perth, AUS'!F5</f>
        <v>52</v>
      </c>
      <c r="G17" s="18">
        <f>'Perth, AUS'!G5</f>
        <v>1</v>
      </c>
      <c r="H17" s="19" t="s">
        <v>13</v>
      </c>
      <c r="I17" s="20">
        <v>4.0</v>
      </c>
    </row>
    <row r="18">
      <c r="A18" s="15" t="s">
        <v>33</v>
      </c>
      <c r="B18" s="15" t="s">
        <v>35</v>
      </c>
      <c r="C18" s="16" t="s">
        <v>36</v>
      </c>
      <c r="D18" s="17">
        <f>'Onkaparinga_Hills, AUS'!F3</f>
        <v>0</v>
      </c>
      <c r="E18" s="17">
        <f t="shared" si="1"/>
        <v>0</v>
      </c>
      <c r="F18" s="17">
        <f>'Onkaparinga_Hills, AUS'!F5</f>
        <v>52</v>
      </c>
      <c r="G18" s="18">
        <f>'Onkaparinga_Hills, AUS'!G5</f>
        <v>1</v>
      </c>
      <c r="H18" s="19" t="s">
        <v>13</v>
      </c>
      <c r="I18" s="20">
        <v>3.0</v>
      </c>
      <c r="K18" s="27"/>
      <c r="L18" s="27"/>
      <c r="M18" s="27"/>
      <c r="N18" s="27"/>
      <c r="O18" s="27"/>
      <c r="P18" s="27"/>
      <c r="Q18" s="27"/>
      <c r="R18" s="27"/>
      <c r="S18" s="27"/>
    </row>
    <row r="19">
      <c r="A19" s="15" t="s">
        <v>20</v>
      </c>
      <c r="B19" s="23" t="s">
        <v>37</v>
      </c>
      <c r="C19" s="16" t="s">
        <v>38</v>
      </c>
      <c r="D19" s="17">
        <f>'MHQ, USA'!F3</f>
        <v>0</v>
      </c>
      <c r="E19" s="17">
        <f>'MHQ, USA'!F4</f>
        <v>0</v>
      </c>
      <c r="F19" s="17">
        <f>'MHQ, USA'!F5</f>
        <v>52</v>
      </c>
      <c r="G19" s="18">
        <f>'MHQ, USA'!G5</f>
        <v>1</v>
      </c>
      <c r="H19" s="19" t="s">
        <v>13</v>
      </c>
      <c r="I19" s="20" t="s">
        <v>39</v>
      </c>
      <c r="K19" s="27"/>
      <c r="L19" s="27"/>
      <c r="M19" s="27"/>
      <c r="N19" s="27"/>
      <c r="O19" s="27"/>
      <c r="P19" s="27"/>
      <c r="Q19" s="27"/>
      <c r="R19" s="27"/>
      <c r="S19" s="28"/>
    </row>
    <row r="20">
      <c r="A20" s="15" t="s">
        <v>16</v>
      </c>
      <c r="B20" s="23" t="s">
        <v>29</v>
      </c>
      <c r="C20" s="16" t="s">
        <v>40</v>
      </c>
      <c r="D20" s="17">
        <f>'Arnhem, NL'!F3</f>
        <v>0</v>
      </c>
      <c r="E20" s="17">
        <f>'Arnhem, NL'!F4</f>
        <v>0</v>
      </c>
      <c r="F20" s="17">
        <f>'Arnhem, NL'!F5</f>
        <v>52</v>
      </c>
      <c r="G20" s="18">
        <f>'Arnhem, NL'!G5</f>
        <v>1</v>
      </c>
      <c r="H20" s="19" t="s">
        <v>13</v>
      </c>
      <c r="I20" s="20" t="s">
        <v>41</v>
      </c>
      <c r="J20" s="22"/>
      <c r="K20" s="27"/>
      <c r="L20" s="27"/>
      <c r="M20" s="27"/>
      <c r="N20" s="27"/>
      <c r="O20" s="27"/>
      <c r="P20" s="27"/>
      <c r="Q20" s="27"/>
      <c r="R20" s="27"/>
      <c r="S20" s="28"/>
    </row>
    <row r="21">
      <c r="A21" s="15" t="s">
        <v>20</v>
      </c>
      <c r="B21" s="23" t="s">
        <v>42</v>
      </c>
      <c r="C21" s="16" t="s">
        <v>43</v>
      </c>
      <c r="D21" s="17">
        <f>'Glen Oaks, USA'!F3</f>
        <v>0</v>
      </c>
      <c r="E21" s="17">
        <f t="shared" ref="E21:E25" si="2">52-D21-F21</f>
        <v>0</v>
      </c>
      <c r="F21" s="17">
        <f>'Glen Oaks, USA'!F5</f>
        <v>52</v>
      </c>
      <c r="G21" s="18">
        <f>'Glen Oaks, USA'!G5</f>
        <v>1</v>
      </c>
      <c r="H21" s="19" t="s">
        <v>13</v>
      </c>
      <c r="I21" s="20">
        <v>10.0</v>
      </c>
    </row>
    <row r="22">
      <c r="A22" s="15" t="s">
        <v>33</v>
      </c>
      <c r="B22" s="23" t="s">
        <v>44</v>
      </c>
      <c r="C22" s="16" t="s">
        <v>45</v>
      </c>
      <c r="D22" s="17">
        <f>'Browns Plains, AUS'!F3</f>
        <v>0</v>
      </c>
      <c r="E22" s="17">
        <f t="shared" si="2"/>
        <v>0</v>
      </c>
      <c r="F22" s="17">
        <f>'Browns Plains, AUS'!F5</f>
        <v>52</v>
      </c>
      <c r="G22" s="18">
        <f>'Browns Plains, AUS'!G5</f>
        <v>1</v>
      </c>
      <c r="H22" s="19" t="s">
        <v>13</v>
      </c>
      <c r="I22" s="20">
        <v>6.0</v>
      </c>
    </row>
    <row r="23">
      <c r="A23" s="15" t="s">
        <v>16</v>
      </c>
      <c r="B23" s="23" t="s">
        <v>46</v>
      </c>
      <c r="C23" s="16" t="s">
        <v>47</v>
      </c>
      <c r="D23" s="17">
        <f>'Vosselaar, BE'!F3</f>
        <v>0</v>
      </c>
      <c r="E23" s="17">
        <f t="shared" si="2"/>
        <v>0</v>
      </c>
      <c r="F23" s="17">
        <f>'Vosselaar, BE'!F5</f>
        <v>52</v>
      </c>
      <c r="G23" s="18">
        <f>'Vosselaar, BE'!G5</f>
        <v>1</v>
      </c>
      <c r="H23" s="19" t="s">
        <v>13</v>
      </c>
      <c r="I23" s="20">
        <v>12.0</v>
      </c>
      <c r="K23" s="27"/>
      <c r="L23" s="27"/>
      <c r="M23" s="27"/>
      <c r="N23" s="27"/>
      <c r="O23" s="27"/>
      <c r="P23" s="27"/>
      <c r="Q23" s="27"/>
      <c r="R23" s="27"/>
      <c r="S23" s="28"/>
    </row>
    <row r="24">
      <c r="A24" s="15" t="s">
        <v>16</v>
      </c>
      <c r="B24" s="23" t="s">
        <v>17</v>
      </c>
      <c r="C24" s="16" t="s">
        <v>48</v>
      </c>
      <c r="D24" s="17">
        <f>'Chemnitz, GER'!F3</f>
        <v>0</v>
      </c>
      <c r="E24" s="17">
        <f t="shared" si="2"/>
        <v>0</v>
      </c>
      <c r="F24" s="17">
        <f>'Chemnitz, GER'!F5</f>
        <v>52</v>
      </c>
      <c r="G24" s="18">
        <f>'Chemnitz, GER'!G5</f>
        <v>1</v>
      </c>
      <c r="H24" s="19" t="s">
        <v>13</v>
      </c>
      <c r="I24" s="20">
        <v>11.0</v>
      </c>
    </row>
    <row r="25">
      <c r="A25" s="15" t="s">
        <v>20</v>
      </c>
      <c r="B25" s="23"/>
      <c r="C25" s="16" t="s">
        <v>49</v>
      </c>
      <c r="D25" s="17">
        <f>'Desert Lodge, USA'!F3</f>
        <v>0</v>
      </c>
      <c r="E25" s="17">
        <f t="shared" si="2"/>
        <v>0</v>
      </c>
      <c r="F25" s="17">
        <f>'Desert Lodge, USA'!F5</f>
        <v>52</v>
      </c>
      <c r="G25" s="18">
        <f>'Desert Lodge, USA'!G5</f>
        <v>1</v>
      </c>
      <c r="H25" s="19" t="s">
        <v>13</v>
      </c>
      <c r="I25" s="24">
        <v>18.0</v>
      </c>
    </row>
    <row r="26">
      <c r="A26" s="15" t="s">
        <v>33</v>
      </c>
      <c r="B26" s="23"/>
      <c r="C26" s="16" t="s">
        <v>50</v>
      </c>
      <c r="D26" s="17">
        <f>'Morayfield, AUS'!F3</f>
        <v>0</v>
      </c>
      <c r="E26" s="17">
        <f>'Morayfield, AUS'!F4</f>
        <v>0</v>
      </c>
      <c r="F26" s="17">
        <f>'Morayfield, AUS'!F5</f>
        <v>52</v>
      </c>
      <c r="G26" s="18">
        <f>'Morayfield, AUS'!G5</f>
        <v>1</v>
      </c>
      <c r="H26" s="19" t="s">
        <v>13</v>
      </c>
      <c r="I26" s="20">
        <v>13.0</v>
      </c>
      <c r="K26" s="27"/>
      <c r="L26" s="27"/>
      <c r="M26" s="27"/>
      <c r="N26" s="27"/>
      <c r="O26" s="27"/>
      <c r="P26" s="27"/>
      <c r="Q26" s="27"/>
      <c r="R26" s="27"/>
      <c r="S26" s="28"/>
    </row>
    <row r="27">
      <c r="A27" s="15" t="s">
        <v>16</v>
      </c>
      <c r="B27" s="23" t="s">
        <v>51</v>
      </c>
      <c r="C27" s="16" t="s">
        <v>52</v>
      </c>
      <c r="D27" s="17">
        <f>'Gotenborg, SW'!F3</f>
        <v>0</v>
      </c>
      <c r="E27" s="17">
        <f t="shared" ref="E27:E46" si="3">52-D27-F27</f>
        <v>0</v>
      </c>
      <c r="F27" s="17">
        <f>'Gotenborg, SW'!F5</f>
        <v>52</v>
      </c>
      <c r="G27" s="18">
        <f>'Gotenborg, SW'!G5</f>
        <v>1</v>
      </c>
      <c r="H27" s="19" t="s">
        <v>13</v>
      </c>
      <c r="I27" s="24">
        <v>14.0</v>
      </c>
    </row>
    <row r="28">
      <c r="A28" s="15" t="s">
        <v>33</v>
      </c>
      <c r="B28" s="23" t="s">
        <v>53</v>
      </c>
      <c r="C28" s="16" t="s">
        <v>54</v>
      </c>
      <c r="D28" s="17">
        <f>'Shepparton, AUS'!F3</f>
        <v>0</v>
      </c>
      <c r="E28" s="17">
        <f t="shared" si="3"/>
        <v>0</v>
      </c>
      <c r="F28" s="17">
        <f>'Shepparton, AUS'!F5</f>
        <v>52</v>
      </c>
      <c r="G28" s="18">
        <f>'Shepparton, AUS'!G5</f>
        <v>1</v>
      </c>
      <c r="H28" s="19" t="s">
        <v>13</v>
      </c>
      <c r="I28" s="24">
        <v>15.0</v>
      </c>
    </row>
    <row r="29">
      <c r="A29" s="15" t="s">
        <v>16</v>
      </c>
      <c r="B29" s="23" t="s">
        <v>29</v>
      </c>
      <c r="C29" s="16" t="s">
        <v>55</v>
      </c>
      <c r="D29" s="17">
        <f>'Hoofddorp, NL'!F3</f>
        <v>0</v>
      </c>
      <c r="E29" s="17">
        <f t="shared" si="3"/>
        <v>0</v>
      </c>
      <c r="F29" s="17">
        <f>'Hoofddorp, NL'!F5</f>
        <v>52</v>
      </c>
      <c r="G29" s="18">
        <f>'Hoofddorp, NL'!G5</f>
        <v>1</v>
      </c>
      <c r="H29" s="19" t="s">
        <v>13</v>
      </c>
      <c r="I29" s="24">
        <v>16.0</v>
      </c>
    </row>
    <row r="30">
      <c r="A30" s="15" t="s">
        <v>16</v>
      </c>
      <c r="B30" s="23" t="s">
        <v>31</v>
      </c>
      <c r="C30" s="16" t="s">
        <v>56</v>
      </c>
      <c r="D30" s="17">
        <f>'Bedford, UK'!F3</f>
        <v>0</v>
      </c>
      <c r="E30" s="17">
        <f t="shared" si="3"/>
        <v>0</v>
      </c>
      <c r="F30" s="17">
        <f>'Bedford, UK'!F5</f>
        <v>52</v>
      </c>
      <c r="G30" s="18">
        <f>'Bedford, UK'!G5</f>
        <v>1</v>
      </c>
      <c r="H30" s="29" t="s">
        <v>57</v>
      </c>
      <c r="I30" s="24">
        <v>17.0</v>
      </c>
    </row>
    <row r="31">
      <c r="A31" s="15" t="s">
        <v>23</v>
      </c>
      <c r="B31" s="23"/>
      <c r="C31" s="16" t="s">
        <v>58</v>
      </c>
      <c r="D31" s="17">
        <f>'Georgetown, CAN'!F3</f>
        <v>0</v>
      </c>
      <c r="E31" s="17">
        <f t="shared" si="3"/>
        <v>0</v>
      </c>
      <c r="F31" s="17">
        <f>'Georgetown, CAN'!F5</f>
        <v>52</v>
      </c>
      <c r="G31" s="18">
        <f>'Georgetown, CAN'!G5</f>
        <v>1</v>
      </c>
      <c r="H31" s="19" t="s">
        <v>13</v>
      </c>
      <c r="I31" s="24">
        <v>21.0</v>
      </c>
    </row>
    <row r="32">
      <c r="A32" s="30" t="s">
        <v>16</v>
      </c>
      <c r="B32" s="23" t="s">
        <v>29</v>
      </c>
      <c r="C32" s="16" t="s">
        <v>59</v>
      </c>
      <c r="D32" s="17">
        <f>'Groningen, NL'!F3</f>
        <v>0</v>
      </c>
      <c r="E32" s="17">
        <f t="shared" si="3"/>
        <v>0</v>
      </c>
      <c r="F32" s="31">
        <f>'Groningen, NL'!F5</f>
        <v>52</v>
      </c>
      <c r="G32" s="18">
        <f>'Groningen, NL'!G5</f>
        <v>1</v>
      </c>
      <c r="H32" s="19" t="s">
        <v>13</v>
      </c>
      <c r="I32" s="24">
        <v>26.0</v>
      </c>
    </row>
    <row r="33">
      <c r="A33" s="21" t="s">
        <v>16</v>
      </c>
      <c r="B33" s="32" t="s">
        <v>60</v>
      </c>
      <c r="C33" s="33" t="s">
        <v>61</v>
      </c>
      <c r="D33" s="31">
        <f>'Felsogalla, HU'!F3</f>
        <v>1</v>
      </c>
      <c r="E33" s="31">
        <f t="shared" si="3"/>
        <v>3</v>
      </c>
      <c r="F33" s="31">
        <f>'Felsogalla, HU'!F5</f>
        <v>48</v>
      </c>
      <c r="G33" s="18">
        <f>'Felsogalla, HU'!G5</f>
        <v>0.9230769231</v>
      </c>
      <c r="H33" s="34" t="s">
        <v>62</v>
      </c>
      <c r="I33" s="24">
        <v>23.0</v>
      </c>
    </row>
    <row r="34">
      <c r="A34" s="35" t="s">
        <v>16</v>
      </c>
      <c r="B34" s="32" t="s">
        <v>29</v>
      </c>
      <c r="C34" s="33" t="s">
        <v>63</v>
      </c>
      <c r="D34" s="31">
        <f>'Ospel, NL'!F3</f>
        <v>1</v>
      </c>
      <c r="E34" s="31">
        <f t="shared" si="3"/>
        <v>6</v>
      </c>
      <c r="F34" s="31">
        <f>'Ospel, NL'!F5</f>
        <v>45</v>
      </c>
      <c r="G34" s="18">
        <f>'Ospel, NL'!G5</f>
        <v>0.8653846154</v>
      </c>
      <c r="H34" s="36" t="s">
        <v>64</v>
      </c>
      <c r="I34" s="24">
        <v>31.0</v>
      </c>
    </row>
    <row r="35">
      <c r="A35" s="21" t="s">
        <v>23</v>
      </c>
      <c r="B35" s="32"/>
      <c r="C35" s="33" t="s">
        <v>65</v>
      </c>
      <c r="D35" s="31">
        <f>'New Westminster, CAN'!F3</f>
        <v>0</v>
      </c>
      <c r="E35" s="31">
        <f t="shared" si="3"/>
        <v>11</v>
      </c>
      <c r="F35" s="31">
        <f>'New Westminster, CAN'!F5</f>
        <v>41</v>
      </c>
      <c r="G35" s="18">
        <f>'New Westminster, CAN'!G5</f>
        <v>0.7884615385</v>
      </c>
      <c r="H35" s="36" t="s">
        <v>64</v>
      </c>
      <c r="I35" s="24">
        <v>20.0</v>
      </c>
    </row>
    <row r="36">
      <c r="A36" s="21" t="s">
        <v>33</v>
      </c>
      <c r="B36" s="32"/>
      <c r="C36" s="33" t="s">
        <v>66</v>
      </c>
      <c r="D36" s="31">
        <f>'Dapto, AUS'!F3</f>
        <v>0</v>
      </c>
      <c r="E36" s="31">
        <f t="shared" si="3"/>
        <v>11</v>
      </c>
      <c r="F36" s="31">
        <f>'Dapto, AUS'!F5</f>
        <v>41</v>
      </c>
      <c r="G36" s="18">
        <f>'Dapto, AUS'!G5</f>
        <v>0.7884615385</v>
      </c>
      <c r="H36" s="19" t="s">
        <v>13</v>
      </c>
      <c r="I36" s="24">
        <v>19.0</v>
      </c>
    </row>
    <row r="37">
      <c r="A37" s="21" t="s">
        <v>20</v>
      </c>
      <c r="B37" s="32"/>
      <c r="C37" s="33" t="s">
        <v>67</v>
      </c>
      <c r="D37" s="31">
        <f>'Hagerstown, USA'!F3</f>
        <v>1</v>
      </c>
      <c r="E37" s="31">
        <f t="shared" si="3"/>
        <v>11</v>
      </c>
      <c r="F37" s="31">
        <f>'Hagerstown, USA'!F5</f>
        <v>40</v>
      </c>
      <c r="G37" s="18">
        <f>'Hagerstown, USA'!G5</f>
        <v>0.7692307692</v>
      </c>
      <c r="H37" s="19" t="s">
        <v>13</v>
      </c>
      <c r="I37" s="24">
        <v>22.0</v>
      </c>
    </row>
    <row r="38">
      <c r="A38" s="35" t="s">
        <v>33</v>
      </c>
      <c r="B38" s="32"/>
      <c r="C38" s="33" t="s">
        <v>68</v>
      </c>
      <c r="D38" s="31">
        <f>'Wonthaggi, AUS'!F3</f>
        <v>1</v>
      </c>
      <c r="E38" s="31">
        <f t="shared" si="3"/>
        <v>14</v>
      </c>
      <c r="F38" s="31">
        <f>'Wonthaggi, AUS'!F5</f>
        <v>37</v>
      </c>
      <c r="G38" s="18">
        <f>'Wonthaggi, AUS'!G5</f>
        <v>0.7115384615</v>
      </c>
      <c r="H38" s="36" t="s">
        <v>64</v>
      </c>
      <c r="I38" s="24">
        <v>33.0</v>
      </c>
    </row>
    <row r="39">
      <c r="A39" s="35" t="s">
        <v>33</v>
      </c>
      <c r="B39" s="32"/>
      <c r="C39" s="33" t="s">
        <v>69</v>
      </c>
      <c r="D39" s="31">
        <f>'Norlane, AUS'!F3</f>
        <v>2</v>
      </c>
      <c r="E39" s="31">
        <f t="shared" si="3"/>
        <v>14</v>
      </c>
      <c r="F39" s="31">
        <f>'Norlane, AUS'!F5</f>
        <v>36</v>
      </c>
      <c r="G39" s="18">
        <f>'Norlane, AUS'!G5</f>
        <v>0.6923076923</v>
      </c>
      <c r="H39" s="34" t="str">
        <f>'Norlane, AUS'!G1</f>
        <v>URL:</v>
      </c>
      <c r="I39" s="24">
        <v>24.0</v>
      </c>
    </row>
    <row r="40">
      <c r="A40" s="35" t="s">
        <v>20</v>
      </c>
      <c r="B40" s="32" t="s">
        <v>70</v>
      </c>
      <c r="C40" s="33" t="s">
        <v>71</v>
      </c>
      <c r="D40" s="31">
        <f>'Falling_Waters, USA'!F3</f>
        <v>1</v>
      </c>
      <c r="E40" s="31">
        <f t="shared" si="3"/>
        <v>16</v>
      </c>
      <c r="F40" s="31">
        <f>'Falling_Waters, USA'!F5</f>
        <v>35</v>
      </c>
      <c r="G40" s="18">
        <f>'Falling_Waters, USA'!G5</f>
        <v>0.6730769231</v>
      </c>
      <c r="H40" s="36" t="s">
        <v>64</v>
      </c>
      <c r="I40" s="24">
        <v>34.0</v>
      </c>
    </row>
    <row r="41">
      <c r="A41" s="35" t="s">
        <v>16</v>
      </c>
      <c r="B41" s="32" t="s">
        <v>31</v>
      </c>
      <c r="C41" s="33" t="s">
        <v>72</v>
      </c>
      <c r="D41" s="31">
        <f>'Thringstone, UK'!F3</f>
        <v>0</v>
      </c>
      <c r="E41" s="31">
        <f t="shared" si="3"/>
        <v>20</v>
      </c>
      <c r="F41" s="31">
        <f>'Thringstone, UK'!F5</f>
        <v>32</v>
      </c>
      <c r="G41" s="18">
        <f>'Thringstone, UK'!G5</f>
        <v>0.6153846154</v>
      </c>
      <c r="H41" s="19" t="s">
        <v>13</v>
      </c>
      <c r="I41" s="24">
        <v>29.0</v>
      </c>
    </row>
    <row r="42">
      <c r="A42" s="35" t="s">
        <v>33</v>
      </c>
      <c r="B42" s="32" t="s">
        <v>73</v>
      </c>
      <c r="C42" s="33" t="s">
        <v>74</v>
      </c>
      <c r="D42" s="31">
        <f>'Kelmscott, AUS'!F3</f>
        <v>1</v>
      </c>
      <c r="E42" s="31">
        <f t="shared" si="3"/>
        <v>19</v>
      </c>
      <c r="F42" s="31">
        <f>'Kelmscott, AUS'!F5</f>
        <v>32</v>
      </c>
      <c r="G42" s="18">
        <f>'Kelmscott, AUS'!G5</f>
        <v>0.6153846154</v>
      </c>
      <c r="H42" s="19" t="s">
        <v>13</v>
      </c>
      <c r="I42" s="24">
        <v>35.0</v>
      </c>
    </row>
    <row r="43">
      <c r="A43" s="35" t="s">
        <v>16</v>
      </c>
      <c r="B43" s="32" t="s">
        <v>17</v>
      </c>
      <c r="C43" s="33" t="s">
        <v>75</v>
      </c>
      <c r="D43" s="31">
        <f>'Meitingen, GER'!F3</f>
        <v>0</v>
      </c>
      <c r="E43" s="31">
        <f t="shared" si="3"/>
        <v>21</v>
      </c>
      <c r="F43" s="31">
        <f>'Meitingen, GER'!F5</f>
        <v>31</v>
      </c>
      <c r="G43" s="18">
        <f>'Meitingen, GER'!G5</f>
        <v>0.5961538462</v>
      </c>
      <c r="H43" s="36" t="s">
        <v>64</v>
      </c>
      <c r="I43" s="24">
        <v>25.0</v>
      </c>
    </row>
    <row r="44">
      <c r="A44" s="21" t="s">
        <v>16</v>
      </c>
      <c r="B44" s="32" t="s">
        <v>31</v>
      </c>
      <c r="C44" s="33" t="s">
        <v>76</v>
      </c>
      <c r="D44" s="31">
        <f>'Kingswood, UK'!F3</f>
        <v>1</v>
      </c>
      <c r="E44" s="31">
        <f t="shared" si="3"/>
        <v>20</v>
      </c>
      <c r="F44" s="31">
        <f>'Kingswood, UK'!F5</f>
        <v>31</v>
      </c>
      <c r="G44" s="18">
        <f>'Kingswood, UK'!G5</f>
        <v>0.5961538462</v>
      </c>
      <c r="H44" s="34" t="str">
        <f>'Kingswood, UK'!G1</f>
        <v>URL:</v>
      </c>
      <c r="I44" s="24">
        <v>32.0</v>
      </c>
    </row>
    <row r="45">
      <c r="A45" s="35" t="s">
        <v>16</v>
      </c>
      <c r="B45" s="32" t="s">
        <v>51</v>
      </c>
      <c r="C45" s="33" t="s">
        <v>77</v>
      </c>
      <c r="D45" s="31">
        <f>'Linköping, SW'!F3</f>
        <v>0</v>
      </c>
      <c r="E45" s="31">
        <f t="shared" si="3"/>
        <v>22</v>
      </c>
      <c r="F45" s="31">
        <f>'Linköping, SW'!F5</f>
        <v>30</v>
      </c>
      <c r="G45" s="18">
        <f>'Linköping, SW'!G5</f>
        <v>0.5769230769</v>
      </c>
      <c r="H45" s="34" t="str">
        <f>'Linköping, SW'!G1</f>
        <v>URL:</v>
      </c>
      <c r="I45" s="24">
        <v>27.0</v>
      </c>
    </row>
    <row r="46">
      <c r="A46" s="35" t="s">
        <v>16</v>
      </c>
      <c r="B46" s="32" t="s">
        <v>31</v>
      </c>
      <c r="C46" s="33" t="s">
        <v>78</v>
      </c>
      <c r="D46" s="31">
        <f>'Andover, UK'!F3</f>
        <v>1</v>
      </c>
      <c r="E46" s="31">
        <f t="shared" si="3"/>
        <v>22</v>
      </c>
      <c r="F46" s="31">
        <f>'Andover, UK'!F5</f>
        <v>29</v>
      </c>
      <c r="G46" s="18">
        <f>'Andover, UK'!G5</f>
        <v>0.5576923077</v>
      </c>
      <c r="H46" s="36" t="s">
        <v>64</v>
      </c>
      <c r="I46" s="24">
        <v>30.0</v>
      </c>
    </row>
    <row r="59">
      <c r="I59" s="3"/>
    </row>
    <row r="60">
      <c r="I60" s="3"/>
    </row>
    <row r="61">
      <c r="I61" s="3"/>
    </row>
    <row r="62">
      <c r="I62" s="3"/>
    </row>
    <row r="63">
      <c r="I63" s="3"/>
    </row>
    <row r="64">
      <c r="I64" s="3"/>
    </row>
  </sheetData>
  <mergeCells count="5">
    <mergeCell ref="A1:G1"/>
    <mergeCell ref="A3:J3"/>
    <mergeCell ref="A4:J4"/>
    <mergeCell ref="A5:J5"/>
    <mergeCell ref="J14:J15"/>
  </mergeCells>
  <conditionalFormatting sqref="G1:G46 G59:G66">
    <cfRule type="colorScale" priority="1">
      <colorScale>
        <cfvo type="formula" val="0"/>
        <cfvo type="formula" val="0.5"/>
        <cfvo type="formula" val="1"/>
        <color rgb="FFE67C73"/>
        <color rgb="FFFFD666"/>
        <color rgb="FF34A853"/>
      </colorScale>
    </cfRule>
  </conditionalFormatting>
  <hyperlinks>
    <hyperlink r:id="rId1" ref="J1"/>
    <hyperlink display="Berlin" location="Berlin, GER!A1" ref="C11"/>
    <hyperlink display="Escondido" location="Escondido, USA!A1" ref="C12"/>
    <hyperlink display="Brossard" location="Brossard, CAN!A1" ref="C13"/>
    <hyperlink display="Raleigh" location="Raleigh, USA!A1" ref="C14"/>
    <hyperlink display="Gouda" location="Gouda, NL!A1" ref="C15"/>
    <hyperlink display="Plympton" location="Plympton, UK!A1" ref="C16"/>
    <hyperlink display="Perth" location="Perth, AUS!A1" ref="C17"/>
    <hyperlink display="Onkaparinga Hills" location="Onkaparinga_Hills, AUS!A1" ref="C18"/>
    <hyperlink display="MHQ" location="MHQ, USA!A1" ref="C19"/>
    <hyperlink display="Arnhem" location="Arnhem, NL!A1" ref="C20"/>
    <hyperlink display="Glen Oaks" location="Glen Oaks, USA!A1" ref="C21"/>
    <hyperlink display="Browns Plains" location="Browns Plains, AUS!A1" ref="C22"/>
    <hyperlink display="Vosselaar" location="Vosselaar, BE!A1" ref="C23"/>
    <hyperlink display="Chemnitz" location="Chemnitz, GER!A1" ref="C24"/>
    <hyperlink display="Desert Lodge" location="Desert Lodge, USA!A1" ref="C25"/>
    <hyperlink display="Morayfield" location="Morayfield, AUS!A1" ref="C26"/>
    <hyperlink display="Götenborg" location="Gotenborg, SW!A1" ref="C27"/>
    <hyperlink display="Shepparton" location="Shepparton, AUS!A1" ref="C28"/>
    <hyperlink display="Hoofddorp" location="Hoofddorp, NL!A1" ref="C29"/>
    <hyperlink display="Bedford" location="Bedford, UK!A1" ref="C30"/>
    <hyperlink display="Georgetown" location="Georgetown, CAN!A1" ref="C31"/>
    <hyperlink display="Groningen" location="Groningen, NL!A1" ref="C32"/>
    <hyperlink display="Felsogalla" location="Felsogalla, HU!A1" ref="C33"/>
    <hyperlink display="Ospel" location="Ospel, NL!A1" ref="C34"/>
    <hyperlink display="New Westminster" location="New Westminster, CAN!A1" ref="C35"/>
    <hyperlink display="Dapto" location="Dapto, AUS!A1" ref="C36"/>
    <hyperlink display="Hagerstown" location="Hagerstown, USA!A1" ref="C37"/>
    <hyperlink display="Wonthaggi" location="Wonthaggi, AUS!A1" ref="C38"/>
    <hyperlink display="Norlane" location="Norlane, AUS!A1" ref="C39"/>
    <hyperlink display="Falling Waters" location="Falling_Waters, USA!A1" ref="C40"/>
    <hyperlink display="Thringstone" location="Thringstone, UK!A1" ref="C41"/>
    <hyperlink display="Kelmscott" location="Kelmscott, AUS!A1" ref="C42"/>
    <hyperlink display="Meitingen" location="Meitingen, GER!A1" ref="C43"/>
    <hyperlink display="Kingswood" location="Kingswood, UK!A1" ref="C44"/>
    <hyperlink display="Linköping" location="Linköping, SW!A1" ref="C45"/>
    <hyperlink display="Andover" location="Andover, UK!A1" ref="C46"/>
  </hyperlinks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13"/>
    <col customWidth="1" min="2" max="2" width="7.5"/>
    <col customWidth="1" min="3" max="3" width="14.63"/>
    <col customWidth="1" min="4" max="4" width="15.0"/>
    <col customWidth="1" min="5" max="5" width="17.13"/>
    <col customWidth="1" min="6" max="6" width="13.75"/>
    <col customWidth="1" min="7" max="7" width="41.38"/>
    <col customWidth="1" min="8" max="8" width="14.38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17</v>
      </c>
      <c r="D1" s="37" t="s">
        <v>75</v>
      </c>
      <c r="E1" s="2" t="s">
        <v>79</v>
      </c>
      <c r="F1" s="24"/>
      <c r="G1" s="24"/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463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21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31</v>
      </c>
      <c r="G5" s="39">
        <f>F5/52</f>
        <v>0.5961538462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48.5446470622072</v>
      </c>
      <c r="D8" s="43">
        <v>10.8605331051994</v>
      </c>
      <c r="E8" s="43" t="s">
        <v>98</v>
      </c>
      <c r="F8" s="44" t="s">
        <v>161</v>
      </c>
      <c r="G8" s="45" t="s">
        <v>464</v>
      </c>
      <c r="H8" s="46"/>
      <c r="I8" s="11" t="b">
        <v>1</v>
      </c>
      <c r="J8" s="47" t="str">
        <f t="shared" ref="J8:J19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IFERROR(__xludf.DUMMYFUNCTION("""COMPUTED_VALUE"""),3209.0)</f>
        <v>3209</v>
      </c>
      <c r="S8" s="51">
        <v>44357.500494548614</v>
      </c>
    </row>
    <row r="9">
      <c r="A9" s="43">
        <v>1.0</v>
      </c>
      <c r="B9" s="43">
        <v>4.0</v>
      </c>
      <c r="C9" s="43">
        <v>48.5446470620031</v>
      </c>
      <c r="D9" s="43">
        <v>10.8607502087936</v>
      </c>
      <c r="E9" s="43" t="s">
        <v>98</v>
      </c>
      <c r="F9" s="44" t="s">
        <v>101</v>
      </c>
      <c r="G9" s="45" t="s">
        <v>465</v>
      </c>
      <c r="H9" s="46"/>
      <c r="I9" s="11" t="b">
        <v>1</v>
      </c>
      <c r="J9" s="47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IFERROR(__xludf.DUMMYFUNCTION("""COMPUTED_VALUE"""),6204.0)</f>
        <v>6204</v>
      </c>
      <c r="S9" s="51">
        <v>44357.500509826394</v>
      </c>
    </row>
    <row r="10">
      <c r="A10" s="43">
        <v>1.0</v>
      </c>
      <c r="B10" s="43">
        <v>5.0</v>
      </c>
      <c r="C10" s="43">
        <v>48.544647061799</v>
      </c>
      <c r="D10" s="43">
        <v>10.8609673123878</v>
      </c>
      <c r="E10" s="43" t="s">
        <v>103</v>
      </c>
      <c r="F10" s="44" t="s">
        <v>104</v>
      </c>
      <c r="G10" s="45" t="s">
        <v>466</v>
      </c>
      <c r="H10" s="46"/>
      <c r="I10" s="11" t="b">
        <v>1</v>
      </c>
      <c r="J10" s="47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IFERROR(__xludf.DUMMYFUNCTION("""COMPUTED_VALUE"""),4175.0)</f>
        <v>4175</v>
      </c>
      <c r="S10" s="51">
        <v>44357.50058680556</v>
      </c>
    </row>
    <row r="11">
      <c r="A11" s="43">
        <v>1.0</v>
      </c>
      <c r="B11" s="43">
        <v>6.0</v>
      </c>
      <c r="C11" s="43">
        <v>48.5446470615949</v>
      </c>
      <c r="D11" s="43">
        <v>10.861184415982</v>
      </c>
      <c r="E11" s="43" t="s">
        <v>103</v>
      </c>
      <c r="F11" s="44" t="s">
        <v>467</v>
      </c>
      <c r="G11" s="45" t="s">
        <v>468</v>
      </c>
      <c r="H11" s="46"/>
      <c r="I11" s="11" t="b">
        <v>1</v>
      </c>
      <c r="J11" s="47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IFERROR(__xludf.DUMMYFUNCTION("""COMPUTED_VALUE"""),4939.0)</f>
        <v>4939</v>
      </c>
      <c r="S11" s="51">
        <v>44357.50062855324</v>
      </c>
    </row>
    <row r="12">
      <c r="A12" s="43">
        <v>2.0</v>
      </c>
      <c r="B12" s="43">
        <v>2.0</v>
      </c>
      <c r="C12" s="43">
        <v>48.5445033319659</v>
      </c>
      <c r="D12" s="43">
        <v>10.860315984956</v>
      </c>
      <c r="E12" s="43" t="s">
        <v>98</v>
      </c>
      <c r="F12" s="44" t="s">
        <v>110</v>
      </c>
      <c r="G12" s="45" t="s">
        <v>469</v>
      </c>
      <c r="H12" s="44"/>
      <c r="I12" s="11" t="b">
        <v>1</v>
      </c>
      <c r="J12" s="47" t="str">
        <f t="shared" si="1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IFERROR(__xludf.DUMMYFUNCTION("""COMPUTED_VALUE"""),5401.0)</f>
        <v>5401</v>
      </c>
      <c r="S12" s="49"/>
    </row>
    <row r="13">
      <c r="A13" s="43">
        <v>2.0</v>
      </c>
      <c r="B13" s="43">
        <v>3.0</v>
      </c>
      <c r="C13" s="43">
        <v>48.5445033317618</v>
      </c>
      <c r="D13" s="43">
        <v>10.8605330879336</v>
      </c>
      <c r="E13" s="43" t="s">
        <v>98</v>
      </c>
      <c r="F13" s="44" t="s">
        <v>112</v>
      </c>
      <c r="G13" s="45" t="s">
        <v>470</v>
      </c>
      <c r="H13" s="46"/>
      <c r="I13" s="11" t="b">
        <v>1</v>
      </c>
      <c r="J13" s="47" t="str">
        <f t="shared" si="1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IFERROR(__xludf.DUMMYFUNCTION("""COMPUTED_VALUE"""),3685.0)</f>
        <v>3685</v>
      </c>
      <c r="S13" s="49"/>
    </row>
    <row r="14">
      <c r="A14" s="43">
        <v>2.0</v>
      </c>
      <c r="B14" s="43">
        <v>4.0</v>
      </c>
      <c r="C14" s="43">
        <v>48.5445033315577</v>
      </c>
      <c r="D14" s="43">
        <v>10.8607501909111</v>
      </c>
      <c r="E14" s="43" t="s">
        <v>98</v>
      </c>
      <c r="F14" s="44" t="s">
        <v>114</v>
      </c>
      <c r="G14" s="45" t="s">
        <v>471</v>
      </c>
      <c r="H14" s="46"/>
      <c r="I14" s="11" t="b">
        <v>1</v>
      </c>
      <c r="J14" s="47" t="str">
        <f t="shared" si="1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IFERROR(__xludf.DUMMYFUNCTION("""COMPUTED_VALUE"""),14246.0)</f>
        <v>14246</v>
      </c>
      <c r="S14" s="49"/>
    </row>
    <row r="15">
      <c r="A15" s="43">
        <v>2.0</v>
      </c>
      <c r="B15" s="43">
        <v>5.0</v>
      </c>
      <c r="C15" s="43">
        <v>48.5445033313536</v>
      </c>
      <c r="D15" s="43">
        <v>10.8609672938887</v>
      </c>
      <c r="E15" s="43" t="s">
        <v>103</v>
      </c>
      <c r="F15" s="44" t="s">
        <v>116</v>
      </c>
      <c r="G15" s="45" t="s">
        <v>472</v>
      </c>
      <c r="H15" s="46"/>
      <c r="I15" s="11" t="b">
        <v>1</v>
      </c>
      <c r="J15" s="47" t="str">
        <f t="shared" si="1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IFERROR(__xludf.DUMMYFUNCTION("""COMPUTED_VALUE"""),5462.0)</f>
        <v>5462</v>
      </c>
      <c r="S15" s="49"/>
    </row>
    <row r="16">
      <c r="A16" s="43">
        <v>2.0</v>
      </c>
      <c r="B16" s="43">
        <v>6.0</v>
      </c>
      <c r="C16" s="43">
        <v>48.5445033311495</v>
      </c>
      <c r="D16" s="43">
        <v>10.8611843968662</v>
      </c>
      <c r="E16" s="43" t="s">
        <v>98</v>
      </c>
      <c r="F16" s="44" t="s">
        <v>118</v>
      </c>
      <c r="G16" s="52" t="s">
        <v>473</v>
      </c>
      <c r="H16" s="46"/>
      <c r="I16" s="11" t="b">
        <v>1</v>
      </c>
      <c r="J16" s="47" t="str">
        <f t="shared" si="1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IFERROR(__xludf.DUMMYFUNCTION("""COMPUTED_VALUE"""),"rita85gto")</f>
        <v>rita85gto</v>
      </c>
      <c r="R16" s="49">
        <f>IFERROR(__xludf.DUMMYFUNCTION("""COMPUTED_VALUE"""),3804.0)</f>
        <v>3804</v>
      </c>
      <c r="S16" s="49"/>
    </row>
    <row r="17">
      <c r="A17" s="43">
        <v>2.0</v>
      </c>
      <c r="B17" s="43">
        <v>7.0</v>
      </c>
      <c r="C17" s="43">
        <v>48.5445033309454</v>
      </c>
      <c r="D17" s="43">
        <v>10.8614014998438</v>
      </c>
      <c r="E17" s="43" t="s">
        <v>98</v>
      </c>
      <c r="F17" s="44" t="s">
        <v>120</v>
      </c>
      <c r="G17" s="45" t="s">
        <v>474</v>
      </c>
      <c r="H17" s="46"/>
      <c r="I17" s="11" t="b">
        <v>1</v>
      </c>
      <c r="J17" s="47" t="str">
        <f t="shared" si="1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IFERROR(__xludf.DUMMYFUNCTION("""COMPUTED_VALUE"""),"xrayneex")</f>
        <v>xrayneex</v>
      </c>
      <c r="R17" s="49">
        <f>IFERROR(__xludf.DUMMYFUNCTION("""COMPUTED_VALUE"""),2571.0)</f>
        <v>2571</v>
      </c>
      <c r="S17" s="49"/>
    </row>
    <row r="18">
      <c r="A18" s="43">
        <v>3.0</v>
      </c>
      <c r="B18" s="43">
        <v>1.0</v>
      </c>
      <c r="C18" s="43">
        <v>48.5443596017245</v>
      </c>
      <c r="D18" s="43">
        <v>10.86009886595</v>
      </c>
      <c r="E18" s="43" t="s">
        <v>98</v>
      </c>
      <c r="F18" s="44" t="s">
        <v>130</v>
      </c>
      <c r="G18" s="45" t="s">
        <v>475</v>
      </c>
      <c r="H18" s="46"/>
      <c r="I18" s="11" t="b">
        <v>1</v>
      </c>
      <c r="J18" s="47" t="str">
        <f t="shared" si="1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IFERROR(__xludf.DUMMYFUNCTION("""COMPUTED_VALUE"""),"lupo6")</f>
        <v>lupo6</v>
      </c>
      <c r="R18" s="49">
        <f>IFERROR(__xludf.DUMMYFUNCTION("""COMPUTED_VALUE"""),6823.0)</f>
        <v>6823</v>
      </c>
      <c r="S18" s="49"/>
    </row>
    <row r="19">
      <c r="A19" s="43">
        <v>3.0</v>
      </c>
      <c r="B19" s="43">
        <v>2.0</v>
      </c>
      <c r="C19" s="43">
        <v>48.5443596015204</v>
      </c>
      <c r="D19" s="43">
        <v>10.860315968311</v>
      </c>
      <c r="E19" s="43" t="s">
        <v>98</v>
      </c>
      <c r="F19" s="44" t="s">
        <v>132</v>
      </c>
      <c r="G19" s="45" t="s">
        <v>476</v>
      </c>
      <c r="H19" s="46"/>
      <c r="I19" s="11" t="b">
        <v>1</v>
      </c>
      <c r="J19" s="47" t="str">
        <f t="shared" si="1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IFERROR(__xludf.DUMMYFUNCTION("""COMPUTED_VALUE"""),"crscousins")</f>
        <v>crscousins</v>
      </c>
      <c r="R19" s="49">
        <f>IFERROR(__xludf.DUMMYFUNCTION("""COMPUTED_VALUE"""),7366.0)</f>
        <v>7366</v>
      </c>
      <c r="S19" s="49"/>
    </row>
    <row r="20">
      <c r="A20" s="43">
        <v>3.0</v>
      </c>
      <c r="B20" s="43">
        <v>3.0</v>
      </c>
      <c r="C20" s="43">
        <v>48.5443596013164</v>
      </c>
      <c r="D20" s="43">
        <v>10.860533070672</v>
      </c>
      <c r="E20" s="43" t="s">
        <v>98</v>
      </c>
      <c r="F20" s="44" t="s">
        <v>99</v>
      </c>
      <c r="G20" s="52" t="s">
        <v>477</v>
      </c>
      <c r="H20" s="46"/>
      <c r="I20" s="11" t="b">
        <v>1</v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IFERROR(__xludf.DUMMYFUNCTION("""COMPUTED_VALUE"""),"raunas")</f>
        <v>raunas</v>
      </c>
      <c r="R20" s="49">
        <f>IFERROR(__xludf.DUMMYFUNCTION("""COMPUTED_VALUE"""),12415.0)</f>
        <v>12415</v>
      </c>
      <c r="S20" s="51">
        <v>44698.60797253472</v>
      </c>
    </row>
    <row r="21">
      <c r="A21" s="43">
        <v>3.0</v>
      </c>
      <c r="B21" s="43">
        <v>4.0</v>
      </c>
      <c r="C21" s="43">
        <v>48.5443596011123</v>
      </c>
      <c r="D21" s="43">
        <v>10.8607501730331</v>
      </c>
      <c r="E21" s="43" t="s">
        <v>98</v>
      </c>
      <c r="F21" s="44" t="s">
        <v>151</v>
      </c>
      <c r="G21" s="52" t="s">
        <v>478</v>
      </c>
      <c r="H21" s="46"/>
      <c r="I21" s="11" t="b">
        <v>1</v>
      </c>
      <c r="J21" s="47" t="str">
        <f t="shared" ref="J21:J28" si="3">if(I21=true,"",S21)</f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IFERROR(__xludf.DUMMYFUNCTION("""COMPUTED_VALUE"""),"res2100")</f>
        <v>res2100</v>
      </c>
      <c r="R21" s="49">
        <f>IFERROR(__xludf.DUMMYFUNCTION("""COMPUTED_VALUE"""),879.0)</f>
        <v>879</v>
      </c>
      <c r="S21" s="49"/>
    </row>
    <row r="22">
      <c r="A22" s="43">
        <v>3.0</v>
      </c>
      <c r="B22" s="43">
        <v>5.0</v>
      </c>
      <c r="C22" s="43">
        <v>48.5443596009082</v>
      </c>
      <c r="D22" s="43">
        <v>10.8609672753941</v>
      </c>
      <c r="E22" s="43" t="s">
        <v>98</v>
      </c>
      <c r="F22" s="44" t="s">
        <v>155</v>
      </c>
      <c r="G22" s="52" t="s">
        <v>479</v>
      </c>
      <c r="H22" s="46"/>
      <c r="I22" s="11" t="b">
        <v>1</v>
      </c>
      <c r="J22" s="47" t="str">
        <f t="shared" si="3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IFERROR(__xludf.DUMMYFUNCTION("""COMPUTED_VALUE"""),"Ellesche")</f>
        <v>Ellesche</v>
      </c>
      <c r="R22" s="49">
        <f>IFERROR(__xludf.DUMMYFUNCTION("""COMPUTED_VALUE"""),834.0)</f>
        <v>834</v>
      </c>
      <c r="S22" s="49"/>
    </row>
    <row r="23">
      <c r="A23" s="43">
        <v>3.0</v>
      </c>
      <c r="B23" s="43">
        <v>6.0</v>
      </c>
      <c r="C23" s="43">
        <v>48.5443596007041</v>
      </c>
      <c r="D23" s="43">
        <v>10.8611843777551</v>
      </c>
      <c r="E23" s="43" t="s">
        <v>98</v>
      </c>
      <c r="F23" s="44" t="s">
        <v>122</v>
      </c>
      <c r="G23" s="45" t="s">
        <v>480</v>
      </c>
      <c r="H23" s="46"/>
      <c r="I23" s="11" t="b">
        <v>1</v>
      </c>
      <c r="J23" s="47" t="str">
        <f t="shared" si="3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IFERROR(__xludf.DUMMYFUNCTION("""COMPUTED_VALUE"""),"Drazoria")</f>
        <v>Drazoria</v>
      </c>
      <c r="R23" s="49">
        <f>IFERROR(__xludf.DUMMYFUNCTION("""COMPUTED_VALUE"""),1602.0)</f>
        <v>1602</v>
      </c>
      <c r="S23" s="51">
        <v>44368.41589684028</v>
      </c>
    </row>
    <row r="24">
      <c r="A24" s="43">
        <v>3.0</v>
      </c>
      <c r="B24" s="43">
        <v>7.0</v>
      </c>
      <c r="C24" s="43">
        <v>48.5443596005</v>
      </c>
      <c r="D24" s="43">
        <v>10.8614014801162</v>
      </c>
      <c r="E24" s="43" t="s">
        <v>98</v>
      </c>
      <c r="F24" s="44" t="s">
        <v>124</v>
      </c>
      <c r="G24" s="45" t="s">
        <v>481</v>
      </c>
      <c r="H24" s="46"/>
      <c r="I24" s="11" t="b">
        <v>1</v>
      </c>
      <c r="J24" s="47" t="str">
        <f t="shared" si="3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IFERROR(__xludf.DUMMYFUNCTION("""COMPUTED_VALUE"""),"Tinake1309")</f>
        <v>Tinake1309</v>
      </c>
      <c r="R24" s="49">
        <f>IFERROR(__xludf.DUMMYFUNCTION("""COMPUTED_VALUE"""),1663.0)</f>
        <v>1663</v>
      </c>
      <c r="S24" s="49"/>
    </row>
    <row r="25">
      <c r="A25" s="43">
        <v>3.0</v>
      </c>
      <c r="B25" s="43">
        <v>8.0</v>
      </c>
      <c r="C25" s="43">
        <v>48.5443596002959</v>
      </c>
      <c r="D25" s="43">
        <v>10.8616185824772</v>
      </c>
      <c r="E25" s="43" t="s">
        <v>98</v>
      </c>
      <c r="F25" s="44" t="s">
        <v>126</v>
      </c>
      <c r="G25" s="45" t="s">
        <v>482</v>
      </c>
      <c r="H25" s="46"/>
      <c r="I25" s="11" t="b">
        <v>1</v>
      </c>
      <c r="J25" s="47" t="str">
        <f t="shared" si="3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IFERROR(__xludf.DUMMYFUNCTION("""COMPUTED_VALUE"""),"Berg14")</f>
        <v>Berg14</v>
      </c>
      <c r="R25" s="49">
        <f>IFERROR(__xludf.DUMMYFUNCTION("""COMPUTED_VALUE"""),1510.0)</f>
        <v>1510</v>
      </c>
      <c r="S25" s="49"/>
    </row>
    <row r="26">
      <c r="A26" s="43">
        <v>4.0</v>
      </c>
      <c r="B26" s="43">
        <v>1.0</v>
      </c>
      <c r="C26" s="43">
        <v>48.5442158712791</v>
      </c>
      <c r="D26" s="43">
        <v>10.8600988499192</v>
      </c>
      <c r="E26" s="43" t="s">
        <v>98</v>
      </c>
      <c r="F26" s="44" t="s">
        <v>128</v>
      </c>
      <c r="G26" s="45" t="s">
        <v>483</v>
      </c>
      <c r="H26" s="46"/>
      <c r="I26" s="11" t="b">
        <v>1</v>
      </c>
      <c r="J26" s="47" t="str">
        <f t="shared" si="3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IFERROR(__xludf.DUMMYFUNCTION("""COMPUTED_VALUE"""),"Niks13")</f>
        <v>Niks13</v>
      </c>
      <c r="R26" s="49">
        <f>IFERROR(__xludf.DUMMYFUNCTION("""COMPUTED_VALUE"""),1524.0)</f>
        <v>1524</v>
      </c>
      <c r="S26" s="49"/>
    </row>
    <row r="27">
      <c r="A27" s="43">
        <v>4.0</v>
      </c>
      <c r="B27" s="43">
        <v>2.0</v>
      </c>
      <c r="C27" s="43">
        <v>48.544215871075</v>
      </c>
      <c r="D27" s="43">
        <v>10.8603159516637</v>
      </c>
      <c r="E27" s="43" t="s">
        <v>103</v>
      </c>
      <c r="F27" s="44" t="s">
        <v>136</v>
      </c>
      <c r="G27" s="45" t="s">
        <v>484</v>
      </c>
      <c r="H27" s="46"/>
      <c r="I27" s="11" t="b">
        <v>1</v>
      </c>
      <c r="J27" s="47" t="str">
        <f t="shared" si="3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IFERROR(__xludf.DUMMYFUNCTION("""COMPUTED_VALUE"""),"OdinsFiRe")</f>
        <v>OdinsFiRe</v>
      </c>
      <c r="R27" s="49">
        <f>IFERROR(__xludf.DUMMYFUNCTION("""COMPUTED_VALUE"""),2182.0)</f>
        <v>2182</v>
      </c>
      <c r="S27" s="49"/>
    </row>
    <row r="28">
      <c r="A28" s="43">
        <v>4.0</v>
      </c>
      <c r="B28" s="43">
        <v>3.0</v>
      </c>
      <c r="C28" s="43">
        <v>48.5442158708709</v>
      </c>
      <c r="D28" s="43">
        <v>10.8605330534082</v>
      </c>
      <c r="E28" s="43" t="s">
        <v>98</v>
      </c>
      <c r="F28" s="44" t="s">
        <v>108</v>
      </c>
      <c r="G28" s="45" t="s">
        <v>485</v>
      </c>
      <c r="H28" s="46"/>
      <c r="I28" s="11" t="b">
        <v>1</v>
      </c>
      <c r="J28" s="47" t="str">
        <f t="shared" si="3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IFERROR(__xludf.DUMMYFUNCTION("""COMPUTED_VALUE"""),"Bungle")</f>
        <v>Bungle</v>
      </c>
      <c r="R28" s="49">
        <f>IFERROR(__xludf.DUMMYFUNCTION("""COMPUTED_VALUE"""),10929.0)</f>
        <v>10929</v>
      </c>
      <c r="S28" s="49"/>
    </row>
    <row r="29">
      <c r="A29" s="43">
        <v>4.0</v>
      </c>
      <c r="B29" s="43">
        <v>4.0</v>
      </c>
      <c r="C29" s="43">
        <v>48.5442158706668</v>
      </c>
      <c r="D29" s="43">
        <v>10.8607501551528</v>
      </c>
      <c r="E29" s="43" t="s">
        <v>98</v>
      </c>
      <c r="F29" s="44" t="s">
        <v>486</v>
      </c>
      <c r="G29" s="45" t="s">
        <v>487</v>
      </c>
      <c r="H29" s="46"/>
      <c r="I29" s="11" t="b">
        <v>1</v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IFERROR(__xludf.DUMMYFUNCTION("""COMPUTED_VALUE"""),"lupinchen")</f>
        <v>lupinchen</v>
      </c>
      <c r="R29" s="49">
        <f>IFERROR(__xludf.DUMMYFUNCTION("""COMPUTED_VALUE"""),1903.0)</f>
        <v>1903</v>
      </c>
      <c r="S29" s="51">
        <v>44357.50068305555</v>
      </c>
    </row>
    <row r="30">
      <c r="A30" s="43">
        <v>4.0</v>
      </c>
      <c r="B30" s="43">
        <v>5.0</v>
      </c>
      <c r="C30" s="43">
        <v>48.5442158704627</v>
      </c>
      <c r="D30" s="43">
        <v>10.8609672568973</v>
      </c>
      <c r="E30" s="43" t="s">
        <v>98</v>
      </c>
      <c r="F30" s="44" t="s">
        <v>138</v>
      </c>
      <c r="G30" s="45" t="s">
        <v>488</v>
      </c>
      <c r="H30" s="46"/>
      <c r="I30" s="11" t="b">
        <v>1</v>
      </c>
      <c r="J30" s="47" t="str">
        <f t="shared" ref="J30:J31" si="4">if(I30=true,"",S30)</f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IFERROR(__xludf.DUMMYFUNCTION("""COMPUTED_VALUE"""),"Anetzet")</f>
        <v>Anetzet</v>
      </c>
      <c r="R30" s="49">
        <f>IFERROR(__xludf.DUMMYFUNCTION("""COMPUTED_VALUE"""),3912.0)</f>
        <v>3912</v>
      </c>
      <c r="S30" s="49"/>
    </row>
    <row r="31">
      <c r="A31" s="43">
        <v>4.0</v>
      </c>
      <c r="B31" s="43">
        <v>6.0</v>
      </c>
      <c r="C31" s="43">
        <v>48.5442158702586</v>
      </c>
      <c r="D31" s="43">
        <v>10.8611843586418</v>
      </c>
      <c r="E31" s="43" t="s">
        <v>103</v>
      </c>
      <c r="F31" s="44" t="s">
        <v>178</v>
      </c>
      <c r="G31" s="45" t="s">
        <v>489</v>
      </c>
      <c r="H31" s="46"/>
      <c r="I31" s="11" t="b">
        <v>1</v>
      </c>
      <c r="J31" s="47" t="str">
        <f t="shared" si="4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IFERROR(__xludf.DUMMYFUNCTION("""COMPUTED_VALUE"""),"lison55")</f>
        <v>lison55</v>
      </c>
      <c r="R31" s="49">
        <f>IFERROR(__xludf.DUMMYFUNCTION("""COMPUTED_VALUE"""),15741.0)</f>
        <v>15741</v>
      </c>
      <c r="S31" s="49"/>
    </row>
    <row r="32">
      <c r="A32" s="55">
        <v>4.0</v>
      </c>
      <c r="B32" s="55">
        <v>7.0</v>
      </c>
      <c r="C32" s="55">
        <v>48.5442158700546</v>
      </c>
      <c r="D32" s="55">
        <v>10.8614014603863</v>
      </c>
      <c r="E32" s="55" t="s">
        <v>98</v>
      </c>
      <c r="F32" s="44"/>
      <c r="G32" s="46"/>
      <c r="H32" s="46"/>
      <c r="I32" s="47" t="b">
        <v>0</v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2"/>
        <v>0</v>
      </c>
      <c r="N32" s="49" t="str">
        <f>IFERROR(__xludf.DUMMYFUNCTION("split(G32,""/"")"),"#VALUE!")</f>
        <v>#VALUE!</v>
      </c>
      <c r="O32" s="50"/>
      <c r="P32" s="49"/>
      <c r="Q32" s="49"/>
      <c r="R32" s="49"/>
      <c r="S32" s="51">
        <v>44934.67341990741</v>
      </c>
    </row>
    <row r="33">
      <c r="A33" s="55">
        <v>4.0</v>
      </c>
      <c r="B33" s="55">
        <v>8.0</v>
      </c>
      <c r="C33" s="55">
        <v>48.5442158698505</v>
      </c>
      <c r="D33" s="55">
        <v>10.8616185621308</v>
      </c>
      <c r="E33" s="55" t="s">
        <v>98</v>
      </c>
      <c r="F33" s="46"/>
      <c r="G33" s="46"/>
      <c r="H33" s="46"/>
      <c r="I33" s="47" t="b">
        <v>0</v>
      </c>
      <c r="J33" s="47" t="str">
        <f t="shared" ref="J33:J57" si="5">if(I33=true,"",S33)</f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2"/>
        <v>0</v>
      </c>
      <c r="N33" s="49" t="str">
        <f>IFERROR(__xludf.DUMMYFUNCTION("split(G33,""/"")"),"#VALUE!")</f>
        <v>#VALUE!</v>
      </c>
      <c r="O33" s="50"/>
      <c r="P33" s="49"/>
      <c r="Q33" s="49"/>
      <c r="R33" s="49"/>
      <c r="S33" s="49"/>
    </row>
    <row r="34">
      <c r="A34" s="55">
        <v>5.0</v>
      </c>
      <c r="B34" s="55">
        <v>1.0</v>
      </c>
      <c r="C34" s="55">
        <v>48.5440721408337</v>
      </c>
      <c r="D34" s="55">
        <v>10.8600988338896</v>
      </c>
      <c r="E34" s="55" t="s">
        <v>103</v>
      </c>
      <c r="F34" s="46"/>
      <c r="G34" s="46"/>
      <c r="H34" s="46"/>
      <c r="I34" s="47" t="b">
        <v>0</v>
      </c>
      <c r="J34" s="47" t="str">
        <f t="shared" si="5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2"/>
        <v>0</v>
      </c>
      <c r="N34" s="49" t="str">
        <f>IFERROR(__xludf.DUMMYFUNCTION("split(G34,""/"")"),"#VALUE!")</f>
        <v>#VALUE!</v>
      </c>
      <c r="O34" s="50"/>
      <c r="P34" s="49"/>
      <c r="Q34" s="49"/>
      <c r="R34" s="49"/>
      <c r="S34" s="49"/>
    </row>
    <row r="35">
      <c r="A35" s="43">
        <v>5.0</v>
      </c>
      <c r="B35" s="43">
        <v>2.0</v>
      </c>
      <c r="C35" s="43">
        <v>48.5440721406296</v>
      </c>
      <c r="D35" s="43">
        <v>10.8603159350176</v>
      </c>
      <c r="E35" s="43" t="s">
        <v>98</v>
      </c>
      <c r="F35" s="44" t="s">
        <v>141</v>
      </c>
      <c r="G35" s="45" t="s">
        <v>490</v>
      </c>
      <c r="H35" s="46"/>
      <c r="I35" s="11" t="b">
        <v>1</v>
      </c>
      <c r="J35" s="47" t="str">
        <f t="shared" si="5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IFERROR(__xludf.DUMMYFUNCTION("""COMPUTED_VALUE"""),3727.0)</f>
        <v>3727</v>
      </c>
      <c r="S35" s="49"/>
    </row>
    <row r="36">
      <c r="A36" s="55">
        <v>5.0</v>
      </c>
      <c r="B36" s="55">
        <v>3.0</v>
      </c>
      <c r="C36" s="55">
        <v>48.5440721404255</v>
      </c>
      <c r="D36" s="55">
        <v>10.8605330361456</v>
      </c>
      <c r="E36" s="55" t="s">
        <v>103</v>
      </c>
      <c r="F36" s="46"/>
      <c r="G36" s="46"/>
      <c r="H36" s="46"/>
      <c r="I36" s="47" t="b">
        <v>0</v>
      </c>
      <c r="J36" s="47" t="str">
        <f t="shared" si="5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2"/>
        <v>0</v>
      </c>
      <c r="N36" s="49" t="str">
        <f>IFERROR(__xludf.DUMMYFUNCTION("split(G36,""/"")"),"#VALUE!")</f>
        <v>#VALUE!</v>
      </c>
      <c r="O36" s="50"/>
      <c r="P36" s="49"/>
      <c r="Q36" s="49"/>
      <c r="R36" s="49"/>
      <c r="S36" s="49"/>
    </row>
    <row r="37">
      <c r="A37" s="55">
        <v>5.0</v>
      </c>
      <c r="B37" s="55">
        <v>4.0</v>
      </c>
      <c r="C37" s="55">
        <v>48.5440721402214</v>
      </c>
      <c r="D37" s="55">
        <v>10.8607501372736</v>
      </c>
      <c r="E37" s="55" t="s">
        <v>98</v>
      </c>
      <c r="F37" s="46"/>
      <c r="G37" s="46"/>
      <c r="H37" s="46"/>
      <c r="I37" s="47" t="b">
        <v>0</v>
      </c>
      <c r="J37" s="47" t="str">
        <f t="shared" si="5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2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55">
        <v>5.0</v>
      </c>
      <c r="B38" s="55">
        <v>5.0</v>
      </c>
      <c r="C38" s="55">
        <v>48.5440721400173</v>
      </c>
      <c r="D38" s="55">
        <v>10.8609672384016</v>
      </c>
      <c r="E38" s="55" t="s">
        <v>98</v>
      </c>
      <c r="F38" s="46"/>
      <c r="G38" s="46"/>
      <c r="H38" s="46"/>
      <c r="I38" s="47" t="b">
        <v>0</v>
      </c>
      <c r="J38" s="47" t="str">
        <f t="shared" si="5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2"/>
        <v>0</v>
      </c>
      <c r="N38" s="49" t="str">
        <f>IFERROR(__xludf.DUMMYFUNCTION("split(G38,""/"")"),"#VALUE!")</f>
        <v>#VALUE!</v>
      </c>
      <c r="O38" s="50"/>
      <c r="P38" s="49"/>
      <c r="Q38" s="49"/>
      <c r="R38" s="49"/>
      <c r="S38" s="49"/>
    </row>
    <row r="39">
      <c r="A39" s="55">
        <v>5.0</v>
      </c>
      <c r="B39" s="55">
        <v>6.0</v>
      </c>
      <c r="C39" s="55">
        <v>48.5440721398132</v>
      </c>
      <c r="D39" s="55">
        <v>10.8611843395295</v>
      </c>
      <c r="E39" s="55" t="s">
        <v>98</v>
      </c>
      <c r="F39" s="46"/>
      <c r="G39" s="46"/>
      <c r="H39" s="46"/>
      <c r="I39" s="47" t="b">
        <v>0</v>
      </c>
      <c r="J39" s="47" t="str">
        <f t="shared" si="5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2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49"/>
    </row>
    <row r="40">
      <c r="A40" s="55">
        <v>5.0</v>
      </c>
      <c r="B40" s="55">
        <v>7.0</v>
      </c>
      <c r="C40" s="55">
        <v>48.5440721396091</v>
      </c>
      <c r="D40" s="55">
        <v>10.8614014406575</v>
      </c>
      <c r="E40" s="55" t="s">
        <v>98</v>
      </c>
      <c r="F40" s="46"/>
      <c r="G40" s="46"/>
      <c r="H40" s="46"/>
      <c r="I40" s="47" t="b">
        <v>0</v>
      </c>
      <c r="J40" s="47" t="str">
        <f t="shared" si="5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2"/>
        <v>0</v>
      </c>
      <c r="N40" s="49" t="str">
        <f>IFERROR(__xludf.DUMMYFUNCTION("split(G40,""/"")"),"#VALUE!")</f>
        <v>#VALUE!</v>
      </c>
      <c r="O40" s="50"/>
      <c r="P40" s="49"/>
      <c r="Q40" s="49"/>
      <c r="R40" s="49"/>
      <c r="S40" s="49"/>
    </row>
    <row r="41">
      <c r="A41" s="55">
        <v>5.0</v>
      </c>
      <c r="B41" s="55">
        <v>8.0</v>
      </c>
      <c r="C41" s="55">
        <v>48.544072139405</v>
      </c>
      <c r="D41" s="55">
        <v>10.8616185417855</v>
      </c>
      <c r="E41" s="55" t="s">
        <v>98</v>
      </c>
      <c r="F41" s="46"/>
      <c r="G41" s="46"/>
      <c r="H41" s="46"/>
      <c r="I41" s="47" t="b">
        <v>0</v>
      </c>
      <c r="J41" s="47" t="str">
        <f t="shared" si="5"/>
        <v/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2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49"/>
    </row>
    <row r="42">
      <c r="A42" s="43">
        <v>6.0</v>
      </c>
      <c r="B42" s="43">
        <v>1.0</v>
      </c>
      <c r="C42" s="43">
        <v>48.5439284103882</v>
      </c>
      <c r="D42" s="43">
        <v>10.86009881786</v>
      </c>
      <c r="E42" s="43" t="s">
        <v>98</v>
      </c>
      <c r="F42" s="44" t="s">
        <v>149</v>
      </c>
      <c r="G42" s="45" t="s">
        <v>491</v>
      </c>
      <c r="H42" s="46"/>
      <c r="I42" s="11" t="b">
        <v>1</v>
      </c>
      <c r="J42" s="47" t="str">
        <f t="shared" si="5"/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IFERROR(__xludf.DUMMYFUNCTION("""COMPUTED_VALUE"""),7256.0)</f>
        <v>7256</v>
      </c>
      <c r="S42" s="49"/>
    </row>
    <row r="43">
      <c r="A43" s="55">
        <v>6.0</v>
      </c>
      <c r="B43" s="55">
        <v>2.0</v>
      </c>
      <c r="C43" s="55">
        <v>48.5439284101841</v>
      </c>
      <c r="D43" s="55">
        <v>10.8603159183714</v>
      </c>
      <c r="E43" s="55" t="s">
        <v>98</v>
      </c>
      <c r="F43" s="46"/>
      <c r="G43" s="46"/>
      <c r="H43" s="46"/>
      <c r="I43" s="47" t="b">
        <v>0</v>
      </c>
      <c r="J43" s="47" t="str">
        <f t="shared" si="5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2"/>
        <v>0</v>
      </c>
      <c r="N43" s="49" t="str">
        <f>IFERROR(__xludf.DUMMYFUNCTION("split(G43,""/"")"),"#VALUE!")</f>
        <v>#VALUE!</v>
      </c>
      <c r="O43" s="50"/>
      <c r="P43" s="49"/>
      <c r="Q43" s="49"/>
      <c r="R43" s="49"/>
      <c r="S43" s="49"/>
    </row>
    <row r="44">
      <c r="A44" s="55">
        <v>6.0</v>
      </c>
      <c r="B44" s="55">
        <v>3.0</v>
      </c>
      <c r="C44" s="55">
        <v>48.5439284099801</v>
      </c>
      <c r="D44" s="55">
        <v>10.8605330188829</v>
      </c>
      <c r="E44" s="55" t="s">
        <v>103</v>
      </c>
      <c r="F44" s="46"/>
      <c r="G44" s="46"/>
      <c r="H44" s="46"/>
      <c r="I44" s="47" t="b">
        <v>0</v>
      </c>
      <c r="J44" s="47" t="str">
        <f t="shared" si="5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2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43">
        <v>6.0</v>
      </c>
      <c r="B45" s="43">
        <v>4.0</v>
      </c>
      <c r="C45" s="43">
        <v>48.543928409776</v>
      </c>
      <c r="D45" s="43">
        <v>10.8607501193944</v>
      </c>
      <c r="E45" s="43" t="s">
        <v>98</v>
      </c>
      <c r="F45" s="44" t="s">
        <v>80</v>
      </c>
      <c r="G45" s="45" t="s">
        <v>492</v>
      </c>
      <c r="H45" s="46"/>
      <c r="I45" s="11" t="b">
        <v>1</v>
      </c>
      <c r="J45" s="47" t="str">
        <f t="shared" si="5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IFERROR(__xludf.DUMMYFUNCTION("""COMPUTED_VALUE"""),"Derlame")</f>
        <v>Derlame</v>
      </c>
      <c r="R45" s="49">
        <f>IFERROR(__xludf.DUMMYFUNCTION("""COMPUTED_VALUE"""),21210.0)</f>
        <v>21210</v>
      </c>
      <c r="S45" s="49"/>
    </row>
    <row r="46">
      <c r="A46" s="55">
        <v>6.0</v>
      </c>
      <c r="B46" s="55">
        <v>5.0</v>
      </c>
      <c r="C46" s="55">
        <v>48.5439284095719</v>
      </c>
      <c r="D46" s="55">
        <v>10.8609672199058</v>
      </c>
      <c r="E46" s="55" t="s">
        <v>98</v>
      </c>
      <c r="F46" s="44"/>
      <c r="G46" s="46"/>
      <c r="H46" s="46"/>
      <c r="I46" s="47" t="b">
        <v>0</v>
      </c>
      <c r="J46" s="47" t="str">
        <f t="shared" si="5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2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55">
        <v>48.5439284093678</v>
      </c>
      <c r="D47" s="55">
        <v>10.8611843204173</v>
      </c>
      <c r="E47" s="55" t="s">
        <v>103</v>
      </c>
      <c r="F47" s="46"/>
      <c r="G47" s="46"/>
      <c r="H47" s="46"/>
      <c r="I47" s="11" t="b">
        <v>0</v>
      </c>
      <c r="J47" s="47" t="str">
        <f t="shared" si="5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2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48.5439284091637</v>
      </c>
      <c r="D48" s="43">
        <v>10.8614014209288</v>
      </c>
      <c r="E48" s="43" t="s">
        <v>98</v>
      </c>
      <c r="F48" s="44" t="s">
        <v>145</v>
      </c>
      <c r="G48" s="45" t="s">
        <v>493</v>
      </c>
      <c r="H48" s="46"/>
      <c r="I48" s="11" t="b">
        <v>1</v>
      </c>
      <c r="J48" s="47" t="str">
        <f t="shared" si="5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IFERROR(__xludf.DUMMYFUNCTION("""COMPUTED_VALUE"""),5785.0)</f>
        <v>5785</v>
      </c>
      <c r="S48" s="51">
        <v>44357.500785717595</v>
      </c>
    </row>
    <row r="49">
      <c r="A49" s="43">
        <v>6.0</v>
      </c>
      <c r="B49" s="43">
        <v>8.0</v>
      </c>
      <c r="C49" s="43">
        <v>48.5439284089596</v>
      </c>
      <c r="D49" s="43">
        <v>10.8616185214402</v>
      </c>
      <c r="E49" s="43" t="s">
        <v>98</v>
      </c>
      <c r="F49" s="44" t="s">
        <v>147</v>
      </c>
      <c r="G49" s="52" t="s">
        <v>494</v>
      </c>
      <c r="H49" s="46"/>
      <c r="I49" s="11" t="b">
        <v>1</v>
      </c>
      <c r="J49" s="47" t="str">
        <f t="shared" si="5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IFERROR(__xludf.DUMMYFUNCTION("""COMPUTED_VALUE"""),13721.0)</f>
        <v>13721</v>
      </c>
      <c r="S49" s="51">
        <v>44357.50092681713</v>
      </c>
    </row>
    <row r="50">
      <c r="A50" s="55">
        <v>7.0</v>
      </c>
      <c r="B50" s="55">
        <v>2.0</v>
      </c>
      <c r="C50" s="55">
        <v>48.5437846797389</v>
      </c>
      <c r="D50" s="55">
        <v>10.8603159017253</v>
      </c>
      <c r="E50" s="55" t="s">
        <v>103</v>
      </c>
      <c r="F50" s="46"/>
      <c r="G50" s="46"/>
      <c r="H50" s="46"/>
      <c r="I50" s="47" t="b">
        <v>0</v>
      </c>
      <c r="J50" s="47" t="str">
        <f t="shared" si="5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2"/>
        <v>0</v>
      </c>
      <c r="N50" s="49" t="str">
        <f>IFERROR(__xludf.DUMMYFUNCTION("split(G50,""/"")"),"#VALUE!")</f>
        <v>#VALUE!</v>
      </c>
      <c r="O50" s="57"/>
      <c r="P50" s="49"/>
      <c r="Q50" s="49"/>
      <c r="R50" s="49"/>
      <c r="S50" s="49"/>
    </row>
    <row r="51">
      <c r="A51" s="55">
        <v>7.0</v>
      </c>
      <c r="B51" s="55">
        <v>3.0</v>
      </c>
      <c r="C51" s="55">
        <v>48.5437846795348</v>
      </c>
      <c r="D51" s="55">
        <v>10.8605330016202</v>
      </c>
      <c r="E51" s="55" t="s">
        <v>98</v>
      </c>
      <c r="F51" s="46"/>
      <c r="G51" s="46"/>
      <c r="H51" s="46"/>
      <c r="I51" s="47" t="b">
        <v>0</v>
      </c>
      <c r="J51" s="47" t="str">
        <f t="shared" si="5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2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55">
        <v>48.5437846793307</v>
      </c>
      <c r="D52" s="55">
        <v>10.8607501015152</v>
      </c>
      <c r="E52" s="55" t="s">
        <v>98</v>
      </c>
      <c r="F52" s="44"/>
      <c r="G52" s="46"/>
      <c r="H52" s="46"/>
      <c r="I52" s="47" t="b">
        <v>0</v>
      </c>
      <c r="J52" s="47" t="str">
        <f t="shared" si="5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2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55">
        <v>48.5437846791266</v>
      </c>
      <c r="D53" s="55">
        <v>10.8609672014101</v>
      </c>
      <c r="E53" s="55" t="s">
        <v>98</v>
      </c>
      <c r="F53" s="46"/>
      <c r="G53" s="46"/>
      <c r="H53" s="46"/>
      <c r="I53" s="11" t="b">
        <v>0</v>
      </c>
      <c r="J53" s="47" t="str">
        <f t="shared" si="5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2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55">
        <v>48.5437846789226</v>
      </c>
      <c r="D54" s="55">
        <v>10.8611843013051</v>
      </c>
      <c r="E54" s="55" t="s">
        <v>98</v>
      </c>
      <c r="F54" s="46"/>
      <c r="G54" s="46"/>
      <c r="H54" s="46"/>
      <c r="I54" s="47" t="b">
        <v>0</v>
      </c>
      <c r="J54" s="47" t="str">
        <f t="shared" si="5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2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48.5437846787185</v>
      </c>
      <c r="D55" s="43">
        <v>10.8614014012</v>
      </c>
      <c r="E55" s="43" t="s">
        <v>98</v>
      </c>
      <c r="F55" s="44" t="s">
        <v>153</v>
      </c>
      <c r="G55" s="45" t="s">
        <v>495</v>
      </c>
      <c r="H55" s="46"/>
      <c r="I55" s="11" t="b">
        <v>1</v>
      </c>
      <c r="J55" s="47" t="str">
        <f t="shared" si="5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IFERROR(__xludf.DUMMYFUNCTION("""COMPUTED_VALUE"""),24559.0)</f>
        <v>24559</v>
      </c>
      <c r="S55" s="49"/>
    </row>
    <row r="56">
      <c r="A56" s="55">
        <v>8.0</v>
      </c>
      <c r="B56" s="55">
        <v>3.0</v>
      </c>
      <c r="C56" s="55">
        <v>48.5436409490894</v>
      </c>
      <c r="D56" s="55">
        <v>10.8605329843576</v>
      </c>
      <c r="E56" s="55" t="s">
        <v>98</v>
      </c>
      <c r="F56" s="44"/>
      <c r="G56" s="46"/>
      <c r="H56" s="46"/>
      <c r="I56" s="47" t="b">
        <v>0</v>
      </c>
      <c r="J56" s="47" t="str">
        <f t="shared" si="5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2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55">
        <v>8.0</v>
      </c>
      <c r="B57" s="55">
        <v>4.0</v>
      </c>
      <c r="C57" s="55">
        <v>48.5436409488853</v>
      </c>
      <c r="D57" s="55">
        <v>10.860750083636</v>
      </c>
      <c r="E57" s="55" t="s">
        <v>103</v>
      </c>
      <c r="F57" s="46"/>
      <c r="G57" s="46"/>
      <c r="H57" s="46"/>
      <c r="I57" s="47" t="b">
        <v>0</v>
      </c>
      <c r="J57" s="47" t="str">
        <f t="shared" si="5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2"/>
        <v>0</v>
      </c>
      <c r="N57" s="49" t="str">
        <f>IFERROR(__xludf.DUMMYFUNCTION("split(G57,""/"")"),"#VALUE!")</f>
        <v>#VALUE!</v>
      </c>
      <c r="O57" s="50"/>
      <c r="P57" s="49"/>
      <c r="Q57" s="49"/>
      <c r="R57" s="49"/>
      <c r="S57" s="49"/>
    </row>
    <row r="58">
      <c r="A58" s="55">
        <v>8.0</v>
      </c>
      <c r="B58" s="55">
        <v>5.0</v>
      </c>
      <c r="C58" s="55">
        <v>48.5436409486812</v>
      </c>
      <c r="D58" s="55">
        <v>10.8609671829144</v>
      </c>
      <c r="E58" s="55" t="s">
        <v>103</v>
      </c>
      <c r="F58" s="44"/>
      <c r="G58" s="56"/>
      <c r="H58" s="46"/>
      <c r="I58" s="47" t="b">
        <v>0</v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2"/>
        <v>0</v>
      </c>
      <c r="N58" s="49" t="str">
        <f>IFERROR(__xludf.DUMMYFUNCTION("split(G58,""/"")"),"#VALUE!")</f>
        <v>#VALUE!</v>
      </c>
      <c r="O58" s="57"/>
      <c r="P58" s="49"/>
      <c r="Q58" s="49"/>
      <c r="R58" s="49"/>
      <c r="S58" s="51">
        <v>44698.608121736106</v>
      </c>
    </row>
    <row r="59">
      <c r="A59" s="43">
        <v>8.0</v>
      </c>
      <c r="B59" s="43">
        <v>6.0</v>
      </c>
      <c r="C59" s="43">
        <v>48.5436409484771</v>
      </c>
      <c r="D59" s="43">
        <v>10.8611842821928</v>
      </c>
      <c r="E59" s="43" t="s">
        <v>98</v>
      </c>
      <c r="F59" s="44" t="s">
        <v>157</v>
      </c>
      <c r="G59" s="45" t="s">
        <v>496</v>
      </c>
      <c r="H59" s="46"/>
      <c r="I59" s="11" t="b">
        <v>1</v>
      </c>
      <c r="J59" s="47" t="str">
        <f>if(I59=true,"",S59)</f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IFERROR(__xludf.DUMMYFUNCTION("""COMPUTED_VALUE"""),"barefootguru")</f>
        <v>barefootguru</v>
      </c>
      <c r="R59" s="49">
        <f>IFERROR(__xludf.DUMMYFUNCTION("""COMPUTED_VALUE"""),3697.0)</f>
        <v>3697</v>
      </c>
      <c r="S59" s="49"/>
    </row>
    <row r="61" hidden="1">
      <c r="F61" s="47">
        <f t="shared" ref="F61:G61" si="6">COUNTIF(F8:F59,"")</f>
        <v>21</v>
      </c>
      <c r="G61" s="47">
        <f t="shared" si="6"/>
        <v>21</v>
      </c>
      <c r="I61" s="47">
        <f>COUNTIF(I8:I59,TRUE)</f>
        <v>31</v>
      </c>
    </row>
    <row r="62" hidden="1"/>
    <row r="63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5"/>
    <hyperlink r:id="rId37" ref="O25"/>
    <hyperlink r:id="rId38" ref="G26"/>
    <hyperlink r:id="rId39" ref="O26"/>
    <hyperlink r:id="rId40" ref="G27"/>
    <hyperlink r:id="rId41" ref="O27"/>
    <hyperlink r:id="rId42" ref="G28"/>
    <hyperlink r:id="rId43" ref="O28"/>
    <hyperlink r:id="rId44" ref="G29"/>
    <hyperlink r:id="rId45" ref="O29"/>
    <hyperlink r:id="rId46" ref="G30"/>
    <hyperlink r:id="rId47" ref="O30"/>
    <hyperlink r:id="rId48" ref="G31"/>
    <hyperlink r:id="rId49" ref="O31"/>
    <hyperlink r:id="rId50" ref="O32"/>
    <hyperlink r:id="rId51" ref="O33"/>
    <hyperlink r:id="rId52" ref="O34"/>
    <hyperlink r:id="rId53" ref="G35"/>
    <hyperlink r:id="rId54" ref="O35"/>
    <hyperlink r:id="rId55" ref="O36"/>
    <hyperlink r:id="rId56" ref="O37"/>
    <hyperlink r:id="rId57" ref="O38"/>
    <hyperlink r:id="rId58" ref="O39"/>
    <hyperlink r:id="rId59" ref="O40"/>
    <hyperlink r:id="rId60" ref="O41"/>
    <hyperlink r:id="rId61" ref="G42"/>
    <hyperlink r:id="rId62" ref="O42"/>
    <hyperlink r:id="rId63" ref="O43"/>
    <hyperlink r:id="rId64" ref="O44"/>
    <hyperlink r:id="rId65" ref="G45"/>
    <hyperlink r:id="rId66" ref="O45"/>
    <hyperlink r:id="rId67" ref="O46"/>
    <hyperlink r:id="rId68" ref="O47"/>
    <hyperlink r:id="rId69" ref="G48"/>
    <hyperlink r:id="rId70" ref="O48"/>
    <hyperlink r:id="rId71" ref="G49"/>
    <hyperlink r:id="rId72" ref="O49"/>
    <hyperlink r:id="rId73" ref="O51"/>
    <hyperlink r:id="rId74" ref="O52"/>
    <hyperlink r:id="rId75" ref="O53"/>
    <hyperlink r:id="rId76" ref="O54"/>
    <hyperlink r:id="rId77" ref="G55"/>
    <hyperlink r:id="rId78" ref="O55"/>
    <hyperlink r:id="rId79" ref="O56"/>
    <hyperlink r:id="rId80" ref="O57"/>
    <hyperlink r:id="rId81" ref="G59"/>
    <hyperlink r:id="rId82" ref="O59"/>
  </hyperlinks>
  <drawing r:id="rId83"/>
  <tableParts count="1">
    <tablePart r:id="rId85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75"/>
    <col customWidth="1" min="2" max="2" width="8.75"/>
    <col customWidth="1" min="3" max="4" width="15.25"/>
    <col customWidth="1" min="5" max="5" width="17.38"/>
    <col customWidth="1" min="6" max="6" width="13.88"/>
    <col customWidth="1" min="7" max="7" width="41.88"/>
    <col customWidth="1" min="8" max="8" width="13.7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23</v>
      </c>
      <c r="B1" s="37" t="s">
        <v>65</v>
      </c>
      <c r="D1" s="37"/>
      <c r="E1" s="2" t="s">
        <v>79</v>
      </c>
      <c r="F1" s="24" t="s">
        <v>497</v>
      </c>
      <c r="G1" s="24" t="s">
        <v>62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75">
        <v>44196.3390984838</v>
      </c>
    </row>
    <row r="2">
      <c r="A2" s="2"/>
      <c r="B2" s="2"/>
      <c r="C2" s="2"/>
      <c r="D2" s="2"/>
      <c r="E2" s="2" t="s">
        <v>82</v>
      </c>
      <c r="F2" s="2"/>
      <c r="G2" s="4" t="s">
        <v>498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11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41</v>
      </c>
      <c r="G5" s="39">
        <f>F5/52</f>
        <v>0.7884615385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49.2093927481973</v>
      </c>
      <c r="D8" s="43">
        <v>-122.923000411028</v>
      </c>
      <c r="E8" s="43" t="s">
        <v>98</v>
      </c>
      <c r="F8" s="44" t="s">
        <v>161</v>
      </c>
      <c r="G8" s="45" t="s">
        <v>499</v>
      </c>
      <c r="H8" s="46"/>
      <c r="I8" s="11" t="b">
        <v>1</v>
      </c>
      <c r="J8" s="47" t="str">
        <f t="shared" ref="J8:J12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IFERROR(__xludf.DUMMYFUNCTION("""COMPUTED_VALUE"""),3547.0)</f>
        <v>3547</v>
      </c>
      <c r="S8" s="51">
        <v>44258.639450428236</v>
      </c>
    </row>
    <row r="9">
      <c r="A9" s="43">
        <v>1.0</v>
      </c>
      <c r="B9" s="43">
        <v>4.0</v>
      </c>
      <c r="C9" s="43">
        <v>49.2093927479884</v>
      </c>
      <c r="D9" s="43">
        <v>-122.922780403044</v>
      </c>
      <c r="E9" s="43" t="s">
        <v>98</v>
      </c>
      <c r="F9" s="44" t="s">
        <v>101</v>
      </c>
      <c r="G9" s="45" t="s">
        <v>500</v>
      </c>
      <c r="H9" s="46"/>
      <c r="I9" s="11" t="b">
        <v>1</v>
      </c>
      <c r="J9" s="47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IFERROR(__xludf.DUMMYFUNCTION("""COMPUTED_VALUE"""),4471.0)</f>
        <v>4471</v>
      </c>
      <c r="S9" s="51">
        <v>44258.63946111111</v>
      </c>
    </row>
    <row r="10">
      <c r="A10" s="43">
        <v>1.0</v>
      </c>
      <c r="B10" s="43">
        <v>5.0</v>
      </c>
      <c r="C10" s="43">
        <v>49.2093927477795</v>
      </c>
      <c r="D10" s="43">
        <v>-122.92256039506</v>
      </c>
      <c r="E10" s="43" t="s">
        <v>103</v>
      </c>
      <c r="F10" s="44" t="s">
        <v>106</v>
      </c>
      <c r="G10" s="45" t="s">
        <v>501</v>
      </c>
      <c r="H10" s="46"/>
      <c r="I10" s="11" t="b">
        <v>1</v>
      </c>
      <c r="J10" s="47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IFERROR(__xludf.DUMMYFUNCTION("""COMPUTED_VALUE"""),"EmileP68")</f>
        <v>EmileP68</v>
      </c>
      <c r="R10" s="49">
        <f>IFERROR(__xludf.DUMMYFUNCTION("""COMPUTED_VALUE"""),3357.0)</f>
        <v>3357</v>
      </c>
      <c r="S10" s="51">
        <v>44258.639504872684</v>
      </c>
    </row>
    <row r="11">
      <c r="A11" s="43">
        <v>1.0</v>
      </c>
      <c r="B11" s="43">
        <v>6.0</v>
      </c>
      <c r="C11" s="43">
        <v>49.2093927475706</v>
      </c>
      <c r="D11" s="43">
        <v>-122.922340387076</v>
      </c>
      <c r="E11" s="43" t="s">
        <v>103</v>
      </c>
      <c r="F11" s="44" t="s">
        <v>323</v>
      </c>
      <c r="G11" s="45" t="s">
        <v>502</v>
      </c>
      <c r="H11" s="46"/>
      <c r="I11" s="11" t="b">
        <v>1</v>
      </c>
      <c r="J11" s="47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IFERROR(__xludf.DUMMYFUNCTION("""COMPUTED_VALUE"""),"PawPatrolThomas")</f>
        <v>PawPatrolThomas</v>
      </c>
      <c r="R11" s="49">
        <f>IFERROR(__xludf.DUMMYFUNCTION("""COMPUTED_VALUE"""),2887.0)</f>
        <v>2887</v>
      </c>
      <c r="S11" s="51">
        <v>44258.63956005787</v>
      </c>
    </row>
    <row r="12">
      <c r="A12" s="43">
        <v>2.0</v>
      </c>
      <c r="B12" s="43">
        <v>2.0</v>
      </c>
      <c r="C12" s="43">
        <v>49.2092490179608</v>
      </c>
      <c r="D12" s="43">
        <v>-122.923220436282</v>
      </c>
      <c r="E12" s="43" t="s">
        <v>98</v>
      </c>
      <c r="F12" s="44" t="s">
        <v>120</v>
      </c>
      <c r="G12" s="45" t="s">
        <v>503</v>
      </c>
      <c r="H12" s="44"/>
      <c r="I12" s="11" t="b">
        <v>1</v>
      </c>
      <c r="J12" s="47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IFERROR(__xludf.DUMMYFUNCTION("""COMPUTED_VALUE"""),"xrayneex")</f>
        <v>xrayneex</v>
      </c>
      <c r="R12" s="49">
        <f>IFERROR(__xludf.DUMMYFUNCTION("""COMPUTED_VALUE"""),2138.0)</f>
        <v>2138</v>
      </c>
      <c r="S12" s="49"/>
    </row>
    <row r="13">
      <c r="A13" s="43">
        <v>2.0</v>
      </c>
      <c r="B13" s="43">
        <v>3.0</v>
      </c>
      <c r="C13" s="43">
        <v>49.2092490177519</v>
      </c>
      <c r="D13" s="43">
        <v>-122.923000428937</v>
      </c>
      <c r="E13" s="43" t="s">
        <v>98</v>
      </c>
      <c r="F13" s="44" t="s">
        <v>99</v>
      </c>
      <c r="G13" s="45" t="s">
        <v>504</v>
      </c>
      <c r="H13" s="46"/>
      <c r="I13" s="11" t="b">
        <v>1</v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IFERROR(__xludf.DUMMYFUNCTION("""COMPUTED_VALUE"""),"raunas")</f>
        <v>raunas</v>
      </c>
      <c r="R13" s="49">
        <f>IFERROR(__xludf.DUMMYFUNCTION("""COMPUTED_VALUE"""),12414.0)</f>
        <v>12414</v>
      </c>
      <c r="S13" s="51">
        <v>44258.639926689815</v>
      </c>
    </row>
    <row r="14">
      <c r="A14" s="43">
        <v>2.0</v>
      </c>
      <c r="B14" s="43">
        <v>4.0</v>
      </c>
      <c r="C14" s="43">
        <v>49.2092490175429</v>
      </c>
      <c r="D14" s="43">
        <v>-122.922780421593</v>
      </c>
      <c r="E14" s="43" t="s">
        <v>98</v>
      </c>
      <c r="F14" s="44" t="s">
        <v>157</v>
      </c>
      <c r="G14" s="45" t="s">
        <v>505</v>
      </c>
      <c r="H14" s="46"/>
      <c r="I14" s="11" t="b">
        <v>1</v>
      </c>
      <c r="J14" s="47" t="str">
        <f t="shared" ref="J14:J28" si="3">if(I14=true,"",S14)</f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IFERROR(__xludf.DUMMYFUNCTION("""COMPUTED_VALUE"""),"barefootguru")</f>
        <v>barefootguru</v>
      </c>
      <c r="R14" s="49">
        <f>IFERROR(__xludf.DUMMYFUNCTION("""COMPUTED_VALUE"""),3321.0)</f>
        <v>3321</v>
      </c>
      <c r="S14" s="49"/>
    </row>
    <row r="15">
      <c r="A15" s="43">
        <v>2.0</v>
      </c>
      <c r="B15" s="43">
        <v>5.0</v>
      </c>
      <c r="C15" s="43">
        <v>49.209249017334</v>
      </c>
      <c r="D15" s="43">
        <v>-122.922560414248</v>
      </c>
      <c r="E15" s="43" t="s">
        <v>103</v>
      </c>
      <c r="F15" s="44" t="s">
        <v>190</v>
      </c>
      <c r="G15" s="52" t="s">
        <v>506</v>
      </c>
      <c r="H15" s="46"/>
      <c r="I15" s="11" t="b">
        <v>1</v>
      </c>
      <c r="J15" s="47" t="str">
        <f t="shared" si="3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IFERROR(__xludf.DUMMYFUNCTION("""COMPUTED_VALUE"""),"GroteSufferd")</f>
        <v>GroteSufferd</v>
      </c>
      <c r="R15" s="49">
        <f>IFERROR(__xludf.DUMMYFUNCTION("""COMPUTED_VALUE"""),653.0)</f>
        <v>653</v>
      </c>
      <c r="S15" s="49"/>
    </row>
    <row r="16">
      <c r="A16" s="43">
        <v>2.0</v>
      </c>
      <c r="B16" s="43">
        <v>6.0</v>
      </c>
      <c r="C16" s="43">
        <v>49.2092490171251</v>
      </c>
      <c r="D16" s="43">
        <v>-122.922340406904</v>
      </c>
      <c r="E16" s="43" t="s">
        <v>98</v>
      </c>
      <c r="F16" s="44" t="s">
        <v>114</v>
      </c>
      <c r="G16" s="52" t="s">
        <v>507</v>
      </c>
      <c r="H16" s="44"/>
      <c r="I16" s="11" t="b">
        <v>1</v>
      </c>
      <c r="J16" s="47" t="str">
        <f t="shared" si="3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IFERROR(__xludf.DUMMYFUNCTION("""COMPUTED_VALUE"""),"J1Huisman")</f>
        <v>J1Huisman</v>
      </c>
      <c r="R16" s="49">
        <f>IFERROR(__xludf.DUMMYFUNCTION("""COMPUTED_VALUE"""),11218.0)</f>
        <v>11218</v>
      </c>
      <c r="S16" s="49"/>
    </row>
    <row r="17">
      <c r="A17" s="43">
        <v>2.0</v>
      </c>
      <c r="B17" s="43">
        <v>7.0</v>
      </c>
      <c r="C17" s="43">
        <v>49.2092490169161</v>
      </c>
      <c r="D17" s="43">
        <v>-122.922120399559</v>
      </c>
      <c r="E17" s="43" t="s">
        <v>98</v>
      </c>
      <c r="F17" s="44" t="s">
        <v>169</v>
      </c>
      <c r="G17" s="45" t="s">
        <v>508</v>
      </c>
      <c r="H17" s="44"/>
      <c r="I17" s="11" t="b">
        <v>1</v>
      </c>
      <c r="J17" s="47" t="str">
        <f t="shared" si="3"/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IFERROR(__xludf.DUMMYFUNCTION("""COMPUTED_VALUE"""),"Pinkeltje")</f>
        <v>Pinkeltje</v>
      </c>
      <c r="R17" s="49">
        <f>IFERROR(__xludf.DUMMYFUNCTION("""COMPUTED_VALUE"""),1928.0)</f>
        <v>1928</v>
      </c>
      <c r="S17" s="49"/>
    </row>
    <row r="18">
      <c r="A18" s="43">
        <v>3.0</v>
      </c>
      <c r="B18" s="43">
        <v>1.0</v>
      </c>
      <c r="C18" s="43">
        <v>49.2091052877243</v>
      </c>
      <c r="D18" s="43">
        <v>-122.923440460255</v>
      </c>
      <c r="E18" s="43" t="s">
        <v>98</v>
      </c>
      <c r="F18" s="44" t="s">
        <v>80</v>
      </c>
      <c r="G18" s="45" t="s">
        <v>509</v>
      </c>
      <c r="H18" s="46"/>
      <c r="I18" s="11" t="b">
        <v>1</v>
      </c>
      <c r="J18" s="47" t="str">
        <f t="shared" si="3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IFERROR(__xludf.DUMMYFUNCTION("""COMPUTED_VALUE"""),"Derlame")</f>
        <v>Derlame</v>
      </c>
      <c r="R18" s="49">
        <f>IFERROR(__xludf.DUMMYFUNCTION("""COMPUTED_VALUE"""),16221.0)</f>
        <v>16221</v>
      </c>
      <c r="S18" s="49"/>
    </row>
    <row r="19">
      <c r="A19" s="43">
        <v>3.0</v>
      </c>
      <c r="B19" s="43">
        <v>2.0</v>
      </c>
      <c r="C19" s="43">
        <v>49.2091052875153</v>
      </c>
      <c r="D19" s="43">
        <v>-122.92322045355</v>
      </c>
      <c r="E19" s="43" t="s">
        <v>98</v>
      </c>
      <c r="F19" s="44" t="s">
        <v>122</v>
      </c>
      <c r="G19" s="45" t="s">
        <v>510</v>
      </c>
      <c r="H19" s="46"/>
      <c r="I19" s="11" t="b">
        <v>1</v>
      </c>
      <c r="J19" s="47" t="str">
        <f t="shared" si="3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IFERROR(__xludf.DUMMYFUNCTION("""COMPUTED_VALUE"""),"Drazoria")</f>
        <v>Drazoria</v>
      </c>
      <c r="R19" s="49">
        <f>IFERROR(__xludf.DUMMYFUNCTION("""COMPUTED_VALUE"""),1532.0)</f>
        <v>1532</v>
      </c>
      <c r="S19" s="51">
        <v>44259.48903914352</v>
      </c>
    </row>
    <row r="20">
      <c r="A20" s="43">
        <v>3.0</v>
      </c>
      <c r="B20" s="43">
        <v>3.0</v>
      </c>
      <c r="C20" s="43">
        <v>49.2091052873064</v>
      </c>
      <c r="D20" s="43">
        <v>-122.923000446845</v>
      </c>
      <c r="E20" s="43" t="s">
        <v>98</v>
      </c>
      <c r="F20" s="44" t="s">
        <v>124</v>
      </c>
      <c r="G20" s="45" t="s">
        <v>511</v>
      </c>
      <c r="H20" s="46"/>
      <c r="I20" s="11" t="b">
        <v>1</v>
      </c>
      <c r="J20" s="47" t="str">
        <f t="shared" si="3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IFERROR(__xludf.DUMMYFUNCTION("""COMPUTED_VALUE"""),"Tinake1309")</f>
        <v>Tinake1309</v>
      </c>
      <c r="R20" s="49">
        <f>IFERROR(__xludf.DUMMYFUNCTION("""COMPUTED_VALUE"""),1533.0)</f>
        <v>1533</v>
      </c>
      <c r="S20" s="51">
        <v>44259.48912813657</v>
      </c>
    </row>
    <row r="21">
      <c r="A21" s="43">
        <v>3.0</v>
      </c>
      <c r="B21" s="43">
        <v>4.0</v>
      </c>
      <c r="C21" s="43">
        <v>49.2091052870975</v>
      </c>
      <c r="D21" s="43">
        <v>-122.92278044014</v>
      </c>
      <c r="E21" s="43" t="s">
        <v>98</v>
      </c>
      <c r="F21" s="44" t="s">
        <v>126</v>
      </c>
      <c r="G21" s="45" t="s">
        <v>512</v>
      </c>
      <c r="H21" s="46"/>
      <c r="I21" s="11" t="b">
        <v>1</v>
      </c>
      <c r="J21" s="47" t="str">
        <f t="shared" si="3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IFERROR(__xludf.DUMMYFUNCTION("""COMPUTED_VALUE"""),"Berg14")</f>
        <v>Berg14</v>
      </c>
      <c r="R21" s="49">
        <f>IFERROR(__xludf.DUMMYFUNCTION("""COMPUTED_VALUE"""),1316.0)</f>
        <v>1316</v>
      </c>
      <c r="S21" s="51">
        <v>44259.48921584491</v>
      </c>
    </row>
    <row r="22">
      <c r="A22" s="43">
        <v>3.0</v>
      </c>
      <c r="B22" s="43">
        <v>5.0</v>
      </c>
      <c r="C22" s="43">
        <v>49.2091052868886</v>
      </c>
      <c r="D22" s="43">
        <v>-122.922560433435</v>
      </c>
      <c r="E22" s="43" t="s">
        <v>98</v>
      </c>
      <c r="F22" s="44" t="s">
        <v>128</v>
      </c>
      <c r="G22" s="45" t="s">
        <v>513</v>
      </c>
      <c r="H22" s="46"/>
      <c r="I22" s="11" t="b">
        <v>1</v>
      </c>
      <c r="J22" s="47" t="str">
        <f t="shared" si="3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IFERROR(__xludf.DUMMYFUNCTION("""COMPUTED_VALUE"""),"Niks13")</f>
        <v>Niks13</v>
      </c>
      <c r="R22" s="49">
        <f>IFERROR(__xludf.DUMMYFUNCTION("""COMPUTED_VALUE"""),1355.0)</f>
        <v>1355</v>
      </c>
      <c r="S22" s="51">
        <v>44259.48929493055</v>
      </c>
    </row>
    <row r="23">
      <c r="A23" s="43">
        <v>3.0</v>
      </c>
      <c r="B23" s="43">
        <v>6.0</v>
      </c>
      <c r="C23" s="43">
        <v>49.2091052866796</v>
      </c>
      <c r="D23" s="43">
        <v>-122.922340426731</v>
      </c>
      <c r="E23" s="43" t="s">
        <v>98</v>
      </c>
      <c r="F23" s="44" t="s">
        <v>116</v>
      </c>
      <c r="G23" s="45" t="s">
        <v>514</v>
      </c>
      <c r="H23" s="46"/>
      <c r="I23" s="11" t="b">
        <v>1</v>
      </c>
      <c r="J23" s="47" t="str">
        <f t="shared" si="3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IFERROR(__xludf.DUMMYFUNCTION("""COMPUTED_VALUE"""),"fsafranek")</f>
        <v>fsafranek</v>
      </c>
      <c r="R23" s="49">
        <f>IFERROR(__xludf.DUMMYFUNCTION("""COMPUTED_VALUE"""),5159.0)</f>
        <v>5159</v>
      </c>
      <c r="S23" s="49"/>
    </row>
    <row r="24">
      <c r="A24" s="43">
        <v>3.0</v>
      </c>
      <c r="B24" s="43">
        <v>7.0</v>
      </c>
      <c r="C24" s="43">
        <v>49.2091052864707</v>
      </c>
      <c r="D24" s="43">
        <v>-122.922120420026</v>
      </c>
      <c r="E24" s="43" t="s">
        <v>98</v>
      </c>
      <c r="F24" s="44" t="s">
        <v>112</v>
      </c>
      <c r="G24" s="52" t="s">
        <v>515</v>
      </c>
      <c r="H24" s="46"/>
      <c r="I24" s="11" t="b">
        <v>1</v>
      </c>
      <c r="J24" s="47" t="str">
        <f t="shared" si="3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IFERROR(__xludf.DUMMYFUNCTION("""COMPUTED_VALUE"""),"ArtofEco")</f>
        <v>ArtofEco</v>
      </c>
      <c r="R24" s="49">
        <f>IFERROR(__xludf.DUMMYFUNCTION("""COMPUTED_VALUE"""),3347.0)</f>
        <v>3347</v>
      </c>
      <c r="S24" s="49"/>
    </row>
    <row r="25">
      <c r="A25" s="43">
        <v>3.0</v>
      </c>
      <c r="B25" s="43">
        <v>8.0</v>
      </c>
      <c r="C25" s="43">
        <v>49.2091052862618</v>
      </c>
      <c r="D25" s="43">
        <v>-122.921900413321</v>
      </c>
      <c r="E25" s="43" t="s">
        <v>98</v>
      </c>
      <c r="F25" s="44" t="s">
        <v>110</v>
      </c>
      <c r="G25" s="52" t="s">
        <v>516</v>
      </c>
      <c r="H25" s="46"/>
      <c r="I25" s="11" t="b">
        <v>1</v>
      </c>
      <c r="J25" s="47" t="str">
        <f t="shared" si="3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IFERROR(__xludf.DUMMYFUNCTION("""COMPUTED_VALUE"""),"BrotherWilliam")</f>
        <v>BrotherWilliam</v>
      </c>
      <c r="R25" s="49">
        <f>IFERROR(__xludf.DUMMYFUNCTION("""COMPUTED_VALUE"""),4545.0)</f>
        <v>4545</v>
      </c>
      <c r="S25" s="49"/>
    </row>
    <row r="26">
      <c r="A26" s="43">
        <v>4.0</v>
      </c>
      <c r="B26" s="43">
        <v>1.0</v>
      </c>
      <c r="C26" s="43">
        <v>49.2089615572788</v>
      </c>
      <c r="D26" s="43">
        <v>-122.923440476884</v>
      </c>
      <c r="E26" s="43" t="s">
        <v>98</v>
      </c>
      <c r="F26" s="44" t="s">
        <v>517</v>
      </c>
      <c r="G26" s="45" t="s">
        <v>518</v>
      </c>
      <c r="H26" s="46"/>
      <c r="I26" s="11" t="b">
        <v>1</v>
      </c>
      <c r="J26" s="47" t="str">
        <f t="shared" si="3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IFERROR(__xludf.DUMMYFUNCTION("""COMPUTED_VALUE"""),"WetCoaster")</f>
        <v>WetCoaster</v>
      </c>
      <c r="R26" s="49">
        <f>IFERROR(__xludf.DUMMYFUNCTION("""COMPUTED_VALUE"""),4087.0)</f>
        <v>4087</v>
      </c>
      <c r="S26" s="49"/>
    </row>
    <row r="27">
      <c r="A27" s="43">
        <v>4.0</v>
      </c>
      <c r="B27" s="43">
        <v>2.0</v>
      </c>
      <c r="C27" s="43">
        <v>49.2089615570699</v>
      </c>
      <c r="D27" s="43">
        <v>-122.923220470819</v>
      </c>
      <c r="E27" s="43" t="s">
        <v>103</v>
      </c>
      <c r="F27" s="44" t="s">
        <v>519</v>
      </c>
      <c r="G27" s="52" t="s">
        <v>520</v>
      </c>
      <c r="H27" s="46"/>
      <c r="I27" s="11" t="b">
        <v>1</v>
      </c>
      <c r="J27" s="47" t="str">
        <f t="shared" si="3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IFERROR(__xludf.DUMMYFUNCTION("""COMPUTED_VALUE"""),"dQuest")</f>
        <v>dQuest</v>
      </c>
      <c r="R27" s="49">
        <f>IFERROR(__xludf.DUMMYFUNCTION("""COMPUTED_VALUE"""),6379.0)</f>
        <v>6379</v>
      </c>
      <c r="S27" s="49"/>
    </row>
    <row r="28">
      <c r="A28" s="43">
        <v>4.0</v>
      </c>
      <c r="B28" s="43">
        <v>3.0</v>
      </c>
      <c r="C28" s="43">
        <v>49.208961556861</v>
      </c>
      <c r="D28" s="43">
        <v>-122.923000464754</v>
      </c>
      <c r="E28" s="43" t="s">
        <v>98</v>
      </c>
      <c r="F28" s="44" t="s">
        <v>130</v>
      </c>
      <c r="G28" s="45" t="s">
        <v>521</v>
      </c>
      <c r="H28" s="46"/>
      <c r="I28" s="11" t="b">
        <v>1</v>
      </c>
      <c r="J28" s="47" t="str">
        <f t="shared" si="3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IFERROR(__xludf.DUMMYFUNCTION("""COMPUTED_VALUE"""),"lupo6")</f>
        <v>lupo6</v>
      </c>
      <c r="R28" s="49">
        <f>IFERROR(__xludf.DUMMYFUNCTION("""COMPUTED_VALUE"""),6968.0)</f>
        <v>6968</v>
      </c>
      <c r="S28" s="49"/>
    </row>
    <row r="29">
      <c r="A29" s="43">
        <v>4.0</v>
      </c>
      <c r="B29" s="43">
        <v>4.0</v>
      </c>
      <c r="C29" s="43">
        <v>49.2089615566521</v>
      </c>
      <c r="D29" s="43">
        <v>-122.922780458688</v>
      </c>
      <c r="E29" s="43" t="s">
        <v>98</v>
      </c>
      <c r="F29" s="44" t="s">
        <v>138</v>
      </c>
      <c r="G29" s="45" t="s">
        <v>522</v>
      </c>
      <c r="H29" s="46"/>
      <c r="I29" s="11" t="b">
        <v>1</v>
      </c>
      <c r="J29" s="53"/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IFERROR(__xludf.DUMMYFUNCTION("""COMPUTED_VALUE"""),3921.0)</f>
        <v>3921</v>
      </c>
      <c r="S29" s="49"/>
    </row>
    <row r="30">
      <c r="A30" s="43">
        <v>4.0</v>
      </c>
      <c r="B30" s="43">
        <v>5.0</v>
      </c>
      <c r="C30" s="43">
        <v>49.2089615564431</v>
      </c>
      <c r="D30" s="43">
        <v>-122.922560452623</v>
      </c>
      <c r="E30" s="43" t="s">
        <v>98</v>
      </c>
      <c r="F30" s="44" t="s">
        <v>132</v>
      </c>
      <c r="G30" s="45" t="s">
        <v>523</v>
      </c>
      <c r="H30" s="46"/>
      <c r="I30" s="11" t="b">
        <v>1</v>
      </c>
      <c r="J30" s="47" t="str">
        <f t="shared" ref="J30:J36" si="4">if(I30=true,"",S30)</f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IFERROR(__xludf.DUMMYFUNCTION("""COMPUTED_VALUE"""),"crscousins")</f>
        <v>crscousins</v>
      </c>
      <c r="R30" s="49">
        <f>IFERROR(__xludf.DUMMYFUNCTION("""COMPUTED_VALUE"""),7429.0)</f>
        <v>7429</v>
      </c>
      <c r="S30" s="49"/>
    </row>
    <row r="31">
      <c r="A31" s="43">
        <v>4.0</v>
      </c>
      <c r="B31" s="43">
        <v>6.0</v>
      </c>
      <c r="C31" s="43">
        <v>49.2089615562342</v>
      </c>
      <c r="D31" s="43">
        <v>-122.922340446558</v>
      </c>
      <c r="E31" s="43" t="s">
        <v>103</v>
      </c>
      <c r="F31" s="44" t="s">
        <v>178</v>
      </c>
      <c r="G31" s="45" t="s">
        <v>524</v>
      </c>
      <c r="H31" s="46"/>
      <c r="I31" s="11" t="b">
        <v>1</v>
      </c>
      <c r="J31" s="47" t="str">
        <f t="shared" si="4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IFERROR(__xludf.DUMMYFUNCTION("""COMPUTED_VALUE"""),"lison55")</f>
        <v>lison55</v>
      </c>
      <c r="R31" s="49">
        <f>IFERROR(__xludf.DUMMYFUNCTION("""COMPUTED_VALUE"""),6321.0)</f>
        <v>6321</v>
      </c>
      <c r="S31" s="49"/>
    </row>
    <row r="32">
      <c r="A32" s="43">
        <v>4.0</v>
      </c>
      <c r="B32" s="43">
        <v>7.0</v>
      </c>
      <c r="C32" s="43">
        <v>49.2089615560253</v>
      </c>
      <c r="D32" s="43">
        <v>-122.922120440492</v>
      </c>
      <c r="E32" s="43" t="s">
        <v>98</v>
      </c>
      <c r="F32" s="44" t="s">
        <v>151</v>
      </c>
      <c r="G32" s="52" t="s">
        <v>525</v>
      </c>
      <c r="H32" s="46"/>
      <c r="I32" s="11" t="b">
        <v>1</v>
      </c>
      <c r="J32" s="47" t="str">
        <f t="shared" si="4"/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IFERROR(__xludf.DUMMYFUNCTION("""COMPUTED_VALUE"""),"res2100")</f>
        <v>res2100</v>
      </c>
      <c r="R32" s="49">
        <f>IFERROR(__xludf.DUMMYFUNCTION("""COMPUTED_VALUE"""),808.0)</f>
        <v>808</v>
      </c>
      <c r="S32" s="49"/>
    </row>
    <row r="33">
      <c r="A33" s="43">
        <v>4.0</v>
      </c>
      <c r="B33" s="43">
        <v>8.0</v>
      </c>
      <c r="C33" s="43">
        <v>49.2089615558164</v>
      </c>
      <c r="D33" s="43">
        <v>-122.921900434427</v>
      </c>
      <c r="E33" s="43" t="s">
        <v>98</v>
      </c>
      <c r="F33" s="44" t="s">
        <v>155</v>
      </c>
      <c r="G33" s="52" t="s">
        <v>526</v>
      </c>
      <c r="H33" s="46"/>
      <c r="I33" s="11" t="b">
        <v>1</v>
      </c>
      <c r="J33" s="47" t="str">
        <f t="shared" si="4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IFERROR(__xludf.DUMMYFUNCTION("""COMPUTED_VALUE"""),"Ellesche")</f>
        <v>Ellesche</v>
      </c>
      <c r="R33" s="49">
        <f>IFERROR(__xludf.DUMMYFUNCTION("""COMPUTED_VALUE"""),788.0)</f>
        <v>788</v>
      </c>
      <c r="S33" s="49"/>
    </row>
    <row r="34">
      <c r="A34" s="43">
        <v>5.0</v>
      </c>
      <c r="B34" s="43">
        <v>1.0</v>
      </c>
      <c r="C34" s="43">
        <v>49.2088178268334</v>
      </c>
      <c r="D34" s="43">
        <v>-122.923440493514</v>
      </c>
      <c r="E34" s="43" t="s">
        <v>103</v>
      </c>
      <c r="F34" s="44" t="s">
        <v>527</v>
      </c>
      <c r="G34" s="45" t="s">
        <v>528</v>
      </c>
      <c r="H34" s="46"/>
      <c r="I34" s="11" t="b">
        <v>1</v>
      </c>
      <c r="J34" s="47" t="str">
        <f t="shared" si="4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IFERROR(__xludf.DUMMYFUNCTION("""COMPUTED_VALUE"""),"pinlight")</f>
        <v>pinlight</v>
      </c>
      <c r="R34" s="49">
        <f>IFERROR(__xludf.DUMMYFUNCTION("""COMPUTED_VALUE"""),236.0)</f>
        <v>236</v>
      </c>
      <c r="S34" s="49"/>
    </row>
    <row r="35">
      <c r="A35" s="43">
        <v>5.0</v>
      </c>
      <c r="B35" s="43">
        <v>2.0</v>
      </c>
      <c r="C35" s="43">
        <v>49.2088178266245</v>
      </c>
      <c r="D35" s="43">
        <v>-122.923220488088</v>
      </c>
      <c r="E35" s="43" t="s">
        <v>98</v>
      </c>
      <c r="F35" s="44" t="s">
        <v>141</v>
      </c>
      <c r="G35" s="52" t="s">
        <v>529</v>
      </c>
      <c r="H35" s="46"/>
      <c r="I35" s="11" t="b">
        <v>1</v>
      </c>
      <c r="J35" s="47" t="str">
        <f t="shared" si="4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IFERROR(__xludf.DUMMYFUNCTION("""COMPUTED_VALUE"""),2792.0)</f>
        <v>2792</v>
      </c>
      <c r="S35" s="51">
        <v>44258.64018108796</v>
      </c>
    </row>
    <row r="36">
      <c r="A36" s="43">
        <v>5.0</v>
      </c>
      <c r="B36" s="43">
        <v>3.0</v>
      </c>
      <c r="C36" s="43">
        <v>49.2088178264156</v>
      </c>
      <c r="D36" s="43">
        <v>-122.923000482662</v>
      </c>
      <c r="E36" s="43" t="s">
        <v>103</v>
      </c>
      <c r="F36" s="44" t="s">
        <v>120</v>
      </c>
      <c r="G36" s="45" t="s">
        <v>530</v>
      </c>
      <c r="H36" s="46"/>
      <c r="I36" s="11" t="b">
        <v>1</v>
      </c>
      <c r="J36" s="47" t="str">
        <f t="shared" si="4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IFERROR(__xludf.DUMMYFUNCTION("""COMPUTED_VALUE"""),"xrayneex")</f>
        <v>xrayneex</v>
      </c>
      <c r="R36" s="49">
        <f>IFERROR(__xludf.DUMMYFUNCTION("""COMPUTED_VALUE"""),2137.0)</f>
        <v>2137</v>
      </c>
      <c r="S36" s="49"/>
    </row>
    <row r="37">
      <c r="A37" s="43">
        <v>5.0</v>
      </c>
      <c r="B37" s="43">
        <v>4.0</v>
      </c>
      <c r="C37" s="43">
        <v>49.2088178262066</v>
      </c>
      <c r="D37" s="43">
        <v>-122.922780477236</v>
      </c>
      <c r="E37" s="43" t="s">
        <v>98</v>
      </c>
      <c r="F37" s="44" t="s">
        <v>108</v>
      </c>
      <c r="G37" s="52" t="s">
        <v>531</v>
      </c>
      <c r="H37" s="46"/>
      <c r="I37" s="11" t="b">
        <v>1</v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IFERROR(__xludf.DUMMYFUNCTION("""COMPUTED_VALUE"""),"Bungle")</f>
        <v>Bungle</v>
      </c>
      <c r="R37" s="49">
        <f>IFERROR(__xludf.DUMMYFUNCTION("""COMPUTED_VALUE"""),10931.0)</f>
        <v>10931</v>
      </c>
      <c r="S37" s="51">
        <v>44698.608382210645</v>
      </c>
    </row>
    <row r="38">
      <c r="A38" s="43">
        <v>5.0</v>
      </c>
      <c r="B38" s="43">
        <v>5.0</v>
      </c>
      <c r="C38" s="43">
        <v>49.2088178259977</v>
      </c>
      <c r="D38" s="43">
        <v>-122.922560471811</v>
      </c>
      <c r="E38" s="43" t="s">
        <v>98</v>
      </c>
      <c r="F38" s="44" t="s">
        <v>532</v>
      </c>
      <c r="G38" s="45" t="s">
        <v>533</v>
      </c>
      <c r="H38" s="46"/>
      <c r="I38" s="11" t="b">
        <v>1</v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IFERROR(__xludf.DUMMYFUNCTION("""COMPUTED_VALUE"""),"MeanderingMonkeys")</f>
        <v>MeanderingMonkeys</v>
      </c>
      <c r="R38" s="49">
        <f>IFERROR(__xludf.DUMMYFUNCTION("""COMPUTED_VALUE"""),22530.0)</f>
        <v>22530</v>
      </c>
      <c r="S38" s="49"/>
    </row>
    <row r="39">
      <c r="A39" s="43">
        <v>5.0</v>
      </c>
      <c r="B39" s="43">
        <v>6.0</v>
      </c>
      <c r="C39" s="43">
        <v>49.2088178257888</v>
      </c>
      <c r="D39" s="43">
        <v>-122.922340466385</v>
      </c>
      <c r="E39" s="43" t="s">
        <v>98</v>
      </c>
      <c r="F39" s="44" t="s">
        <v>534</v>
      </c>
      <c r="G39" s="45" t="s">
        <v>535</v>
      </c>
      <c r="H39" s="46"/>
      <c r="I39" s="11" t="b">
        <v>1</v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IFERROR(__xludf.DUMMYFUNCTION("""COMPUTED_VALUE"""),"Girlteddy5")</f>
        <v>Girlteddy5</v>
      </c>
      <c r="R39" s="49">
        <f>IFERROR(__xludf.DUMMYFUNCTION("""COMPUTED_VALUE"""),35.0)</f>
        <v>35</v>
      </c>
      <c r="S39" s="49"/>
    </row>
    <row r="40">
      <c r="A40" s="43">
        <v>5.0</v>
      </c>
      <c r="B40" s="43">
        <v>7.0</v>
      </c>
      <c r="C40" s="43">
        <v>49.2088178255799</v>
      </c>
      <c r="D40" s="43">
        <v>-122.922120460959</v>
      </c>
      <c r="E40" s="43" t="s">
        <v>98</v>
      </c>
      <c r="F40" s="44" t="s">
        <v>136</v>
      </c>
      <c r="G40" s="45" t="s">
        <v>536</v>
      </c>
      <c r="H40" s="46"/>
      <c r="I40" s="11" t="b">
        <v>1</v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IFERROR(__xludf.DUMMYFUNCTION("""COMPUTED_VALUE"""),"OdinsFiRe")</f>
        <v>OdinsFiRe</v>
      </c>
      <c r="R40" s="49">
        <f>IFERROR(__xludf.DUMMYFUNCTION("""COMPUTED_VALUE"""),2073.0)</f>
        <v>2073</v>
      </c>
      <c r="S40" s="49"/>
    </row>
    <row r="41">
      <c r="A41" s="43">
        <v>5.0</v>
      </c>
      <c r="B41" s="43">
        <v>8.0</v>
      </c>
      <c r="C41" s="43">
        <v>49.2088178253709</v>
      </c>
      <c r="D41" s="43">
        <v>-122.921900455534</v>
      </c>
      <c r="E41" s="43" t="s">
        <v>98</v>
      </c>
      <c r="F41" s="44" t="s">
        <v>519</v>
      </c>
      <c r="G41" s="52" t="s">
        <v>537</v>
      </c>
      <c r="H41" s="46"/>
      <c r="I41" s="11" t="b">
        <v>1</v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IFERROR(__xludf.DUMMYFUNCTION("""COMPUTED_VALUE"""),"dQuest")</f>
        <v>dQuest</v>
      </c>
      <c r="R41" s="49">
        <f>IFERROR(__xludf.DUMMYFUNCTION("""COMPUTED_VALUE"""),6378.0)</f>
        <v>6378</v>
      </c>
      <c r="S41" s="49"/>
    </row>
    <row r="42">
      <c r="A42" s="43">
        <v>6.0</v>
      </c>
      <c r="B42" s="43">
        <v>1.0</v>
      </c>
      <c r="C42" s="43">
        <v>49.208674096388</v>
      </c>
      <c r="D42" s="43">
        <v>-122.923440510143</v>
      </c>
      <c r="E42" s="43" t="s">
        <v>98</v>
      </c>
      <c r="F42" s="44" t="s">
        <v>149</v>
      </c>
      <c r="G42" s="45" t="s">
        <v>538</v>
      </c>
      <c r="H42" s="46"/>
      <c r="I42" s="11" t="b">
        <v>1</v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IFERROR(__xludf.DUMMYFUNCTION("""COMPUTED_VALUE"""),5324.0)</f>
        <v>5324</v>
      </c>
      <c r="S42" s="49"/>
    </row>
    <row r="43">
      <c r="A43" s="43">
        <v>6.0</v>
      </c>
      <c r="B43" s="43">
        <v>2.0</v>
      </c>
      <c r="C43" s="43">
        <v>49.2086740961791</v>
      </c>
      <c r="D43" s="43">
        <v>-122.923220505356</v>
      </c>
      <c r="E43" s="43" t="s">
        <v>98</v>
      </c>
      <c r="F43" s="44" t="s">
        <v>118</v>
      </c>
      <c r="G43" s="45" t="s">
        <v>539</v>
      </c>
      <c r="H43" s="44" t="s">
        <v>203</v>
      </c>
      <c r="I43" s="11" t="b">
        <v>1</v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IFERROR(__xludf.DUMMYFUNCTION("""COMPUTED_VALUE"""),"rita85gto")</f>
        <v>rita85gto</v>
      </c>
      <c r="R43" s="49">
        <f>IFERROR(__xludf.DUMMYFUNCTION("""COMPUTED_VALUE"""),5139.0)</f>
        <v>5139</v>
      </c>
      <c r="S43" s="49"/>
    </row>
    <row r="44">
      <c r="A44" s="55">
        <v>6.0</v>
      </c>
      <c r="B44" s="55">
        <v>3.0</v>
      </c>
      <c r="C44" s="55">
        <v>49.2086740959702</v>
      </c>
      <c r="D44" s="55">
        <v>-122.92300050057</v>
      </c>
      <c r="E44" s="55" t="s">
        <v>103</v>
      </c>
      <c r="F44" s="46"/>
      <c r="G44" s="46"/>
      <c r="H44" s="46"/>
      <c r="I44" s="47" t="b">
        <v>0</v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55">
        <v>49.2086740957612</v>
      </c>
      <c r="D45" s="55">
        <v>-122.922780495784</v>
      </c>
      <c r="E45" s="55" t="s">
        <v>98</v>
      </c>
      <c r="F45" s="46"/>
      <c r="G45" s="46"/>
      <c r="H45" s="46"/>
      <c r="I45" s="47" t="b">
        <v>0</v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55">
        <v>49.2086740955523</v>
      </c>
      <c r="D46" s="55">
        <v>-122.922560490998</v>
      </c>
      <c r="E46" s="55" t="s">
        <v>98</v>
      </c>
      <c r="F46" s="44"/>
      <c r="G46" s="46"/>
      <c r="H46" s="46"/>
      <c r="I46" s="47" t="b">
        <v>0</v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55">
        <v>49.2086740953434</v>
      </c>
      <c r="D47" s="55">
        <v>-122.922340486212</v>
      </c>
      <c r="E47" s="55" t="s">
        <v>103</v>
      </c>
      <c r="F47" s="46"/>
      <c r="G47" s="46"/>
      <c r="H47" s="46"/>
      <c r="I47" s="11" t="b">
        <v>0</v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49.2086740951345</v>
      </c>
      <c r="D48" s="43">
        <v>-122.922120481426</v>
      </c>
      <c r="E48" s="43" t="s">
        <v>98</v>
      </c>
      <c r="F48" s="44" t="s">
        <v>145</v>
      </c>
      <c r="G48" s="45" t="s">
        <v>540</v>
      </c>
      <c r="H48" s="46"/>
      <c r="I48" s="11" t="b">
        <v>1</v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IFERROR(__xludf.DUMMYFUNCTION("""COMPUTED_VALUE"""),5226.0)</f>
        <v>5226</v>
      </c>
      <c r="S48" s="51">
        <v>44258.639715833335</v>
      </c>
    </row>
    <row r="49">
      <c r="A49" s="43">
        <v>6.0</v>
      </c>
      <c r="B49" s="43">
        <v>8.0</v>
      </c>
      <c r="C49" s="43">
        <v>49.2086740949256</v>
      </c>
      <c r="D49" s="43">
        <v>-122.92190047664</v>
      </c>
      <c r="E49" s="43" t="s">
        <v>98</v>
      </c>
      <c r="F49" s="44" t="s">
        <v>147</v>
      </c>
      <c r="G49" s="52" t="s">
        <v>541</v>
      </c>
      <c r="H49" s="46"/>
      <c r="I49" s="11" t="b">
        <v>1</v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IFERROR(__xludf.DUMMYFUNCTION("""COMPUTED_VALUE"""),9186.0)</f>
        <v>9186</v>
      </c>
      <c r="S49" s="51">
        <v>44258.63976262731</v>
      </c>
    </row>
    <row r="50">
      <c r="A50" s="55">
        <v>7.0</v>
      </c>
      <c r="B50" s="55">
        <v>2.0</v>
      </c>
      <c r="C50" s="55">
        <v>49.2085303657336</v>
      </c>
      <c r="D50" s="55">
        <v>-122.923220522625</v>
      </c>
      <c r="E50" s="55" t="s">
        <v>103</v>
      </c>
      <c r="F50" s="46"/>
      <c r="G50" s="46"/>
      <c r="H50" s="46"/>
      <c r="I50" s="47" t="b">
        <v>0</v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0</v>
      </c>
      <c r="N50" s="49" t="str">
        <f>IFERROR(__xludf.DUMMYFUNCTION("split(G50,""/"")"),"#VALUE!")</f>
        <v>#VALUE!</v>
      </c>
      <c r="O50" s="57"/>
      <c r="P50" s="49"/>
      <c r="Q50" s="49"/>
      <c r="R50" s="49"/>
      <c r="S50" s="49"/>
    </row>
    <row r="51">
      <c r="A51" s="55">
        <v>7.0</v>
      </c>
      <c r="B51" s="55">
        <v>3.0</v>
      </c>
      <c r="C51" s="55">
        <v>49.2085303655246</v>
      </c>
      <c r="D51" s="55">
        <v>-122.923000518478</v>
      </c>
      <c r="E51" s="55" t="s">
        <v>98</v>
      </c>
      <c r="F51" s="46"/>
      <c r="G51" s="46"/>
      <c r="H51" s="46"/>
      <c r="I51" s="47" t="b">
        <v>0</v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55">
        <v>49.2085303653157</v>
      </c>
      <c r="D52" s="55">
        <v>-122.922780514332</v>
      </c>
      <c r="E52" s="55" t="s">
        <v>98</v>
      </c>
      <c r="F52" s="44"/>
      <c r="G52" s="46"/>
      <c r="H52" s="46"/>
      <c r="I52" s="47" t="b">
        <v>0</v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55">
        <v>49.2085303651068</v>
      </c>
      <c r="D53" s="55">
        <v>-122.922560510185</v>
      </c>
      <c r="E53" s="55" t="s">
        <v>98</v>
      </c>
      <c r="F53" s="46"/>
      <c r="G53" s="46"/>
      <c r="H53" s="46"/>
      <c r="I53" s="11" t="b">
        <v>0</v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55">
        <v>49.2085303648979</v>
      </c>
      <c r="D54" s="55">
        <v>-122.922340506038</v>
      </c>
      <c r="E54" s="55" t="s">
        <v>98</v>
      </c>
      <c r="F54" s="46"/>
      <c r="G54" s="46"/>
      <c r="H54" s="46"/>
      <c r="I54" s="47" t="b">
        <v>0</v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49.208530364689</v>
      </c>
      <c r="D55" s="43">
        <v>-122.922120501892</v>
      </c>
      <c r="E55" s="43" t="s">
        <v>98</v>
      </c>
      <c r="F55" s="44" t="s">
        <v>153</v>
      </c>
      <c r="G55" s="45" t="s">
        <v>542</v>
      </c>
      <c r="H55" s="46"/>
      <c r="I55" s="11" t="b">
        <v>1</v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IFERROR(__xludf.DUMMYFUNCTION("""COMPUTED_VALUE"""),22627.0)</f>
        <v>22627</v>
      </c>
      <c r="S55" s="49"/>
    </row>
    <row r="56">
      <c r="A56" s="55">
        <v>8.0</v>
      </c>
      <c r="B56" s="55">
        <v>3.0</v>
      </c>
      <c r="C56" s="55">
        <v>49.2083866350793</v>
      </c>
      <c r="D56" s="55">
        <v>-122.923000536386</v>
      </c>
      <c r="E56" s="55" t="s">
        <v>98</v>
      </c>
      <c r="F56" s="46"/>
      <c r="G56" s="46"/>
      <c r="H56" s="46"/>
      <c r="I56" s="47" t="b">
        <v>0</v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55">
        <v>8.0</v>
      </c>
      <c r="B57" s="55">
        <v>4.0</v>
      </c>
      <c r="C57" s="55">
        <v>49.2083866348704</v>
      </c>
      <c r="D57" s="55">
        <v>-122.922780532879</v>
      </c>
      <c r="E57" s="55" t="s">
        <v>103</v>
      </c>
      <c r="F57" s="44"/>
      <c r="G57" s="56"/>
      <c r="H57" s="46"/>
      <c r="I57" s="47" t="b">
        <v>0</v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0</v>
      </c>
      <c r="N57" s="49" t="str">
        <f>IFERROR(__xludf.DUMMYFUNCTION("split(G57,""/"")"),"#VALUE!")</f>
        <v>#VALUE!</v>
      </c>
      <c r="O57" s="57"/>
      <c r="P57" s="49"/>
      <c r="Q57" s="49"/>
      <c r="R57" s="49"/>
      <c r="S57" s="51">
        <v>44698.60852040509</v>
      </c>
    </row>
    <row r="58">
      <c r="A58" s="43">
        <v>8.0</v>
      </c>
      <c r="B58" s="43">
        <v>5.0</v>
      </c>
      <c r="C58" s="43">
        <v>49.2083866346615</v>
      </c>
      <c r="D58" s="43">
        <v>-122.922560529372</v>
      </c>
      <c r="E58" s="43" t="s">
        <v>103</v>
      </c>
      <c r="F58" s="44" t="s">
        <v>519</v>
      </c>
      <c r="G58" s="52" t="s">
        <v>543</v>
      </c>
      <c r="H58" s="46"/>
      <c r="I58" s="11" t="b">
        <v>1</v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IFERROR(__xludf.DUMMYFUNCTION("""COMPUTED_VALUE"""),"dQuest")</f>
        <v>dQuest</v>
      </c>
      <c r="R58" s="49">
        <f>IFERROR(__xludf.DUMMYFUNCTION("""COMPUTED_VALUE"""),6372.0)</f>
        <v>6372</v>
      </c>
      <c r="S58" s="49"/>
    </row>
    <row r="59">
      <c r="A59" s="43">
        <v>8.0</v>
      </c>
      <c r="B59" s="43">
        <v>6.0</v>
      </c>
      <c r="C59" s="43">
        <v>49.2083866344525</v>
      </c>
      <c r="D59" s="43">
        <v>-122.922340525865</v>
      </c>
      <c r="E59" s="43" t="s">
        <v>98</v>
      </c>
      <c r="F59" s="44" t="s">
        <v>544</v>
      </c>
      <c r="G59" s="52" t="s">
        <v>545</v>
      </c>
      <c r="H59" s="46"/>
      <c r="I59" s="11" t="b">
        <v>1</v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IFERROR(__xludf.DUMMYFUNCTION("""COMPUTED_VALUE"""),"PcLocator")</f>
        <v>PcLocator</v>
      </c>
      <c r="R59" s="49">
        <f>IFERROR(__xludf.DUMMYFUNCTION("""COMPUTED_VALUE"""),4256.0)</f>
        <v>4256</v>
      </c>
      <c r="S59" s="49"/>
    </row>
    <row r="61" hidden="1">
      <c r="F61" s="47">
        <f t="shared" ref="F61:G61" si="5">COUNTIF(F8:F59,"")</f>
        <v>11</v>
      </c>
      <c r="G61" s="47">
        <f t="shared" si="5"/>
        <v>11</v>
      </c>
      <c r="I61" s="47">
        <f>COUNTIF(I8:I59,TRUE)</f>
        <v>41</v>
      </c>
    </row>
    <row r="62" hidden="1"/>
    <row r="63" hidden="1"/>
    <row r="64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5"/>
    <hyperlink r:id="rId37" ref="O25"/>
    <hyperlink r:id="rId38" ref="G26"/>
    <hyperlink r:id="rId39" ref="O26"/>
    <hyperlink r:id="rId40" ref="G27"/>
    <hyperlink r:id="rId41" ref="O27"/>
    <hyperlink r:id="rId42" ref="G28"/>
    <hyperlink r:id="rId43" ref="O28"/>
    <hyperlink r:id="rId44" ref="G29"/>
    <hyperlink r:id="rId45" ref="O29"/>
    <hyperlink r:id="rId46" ref="G30"/>
    <hyperlink r:id="rId47" ref="O30"/>
    <hyperlink r:id="rId48" ref="G31"/>
    <hyperlink r:id="rId49" ref="O31"/>
    <hyperlink r:id="rId50" ref="G32"/>
    <hyperlink r:id="rId51" ref="O32"/>
    <hyperlink r:id="rId52" ref="G33"/>
    <hyperlink r:id="rId53" ref="O33"/>
    <hyperlink r:id="rId54" ref="G34"/>
    <hyperlink r:id="rId55" ref="O34"/>
    <hyperlink r:id="rId56" ref="G35"/>
    <hyperlink r:id="rId57" ref="O35"/>
    <hyperlink r:id="rId58" ref="G36"/>
    <hyperlink r:id="rId59" ref="O36"/>
    <hyperlink r:id="rId60" ref="G37"/>
    <hyperlink r:id="rId61" ref="O37"/>
    <hyperlink r:id="rId62" ref="G38"/>
    <hyperlink r:id="rId63" ref="O38"/>
    <hyperlink r:id="rId64" ref="G39"/>
    <hyperlink r:id="rId65" ref="O39"/>
    <hyperlink r:id="rId66" ref="G40"/>
    <hyperlink r:id="rId67" ref="O40"/>
    <hyperlink r:id="rId68" ref="G41"/>
    <hyperlink r:id="rId69" ref="O41"/>
    <hyperlink r:id="rId70" ref="G42"/>
    <hyperlink r:id="rId71" ref="O42"/>
    <hyperlink r:id="rId72" ref="G43"/>
    <hyperlink r:id="rId73" ref="O43"/>
    <hyperlink r:id="rId74" ref="O44"/>
    <hyperlink r:id="rId75" ref="O45"/>
    <hyperlink r:id="rId76" ref="O46"/>
    <hyperlink r:id="rId77" ref="O47"/>
    <hyperlink r:id="rId78" ref="G48"/>
    <hyperlink r:id="rId79" ref="O48"/>
    <hyperlink r:id="rId80" ref="G49"/>
    <hyperlink r:id="rId81" ref="O49"/>
    <hyperlink r:id="rId82" ref="O51"/>
    <hyperlink r:id="rId83" ref="O52"/>
    <hyperlink r:id="rId84" ref="O53"/>
    <hyperlink r:id="rId85" ref="O54"/>
    <hyperlink r:id="rId86" ref="G55"/>
    <hyperlink r:id="rId87" ref="O55"/>
    <hyperlink r:id="rId88" ref="O56"/>
    <hyperlink r:id="rId89" ref="G58"/>
    <hyperlink r:id="rId90" ref="O58"/>
    <hyperlink r:id="rId91" ref="G59"/>
    <hyperlink r:id="rId92" ref="O59"/>
  </hyperlinks>
  <drawing r:id="rId93"/>
  <tableParts count="1">
    <tablePart r:id="rId95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25"/>
    <col customWidth="1" min="2" max="2" width="7.63"/>
    <col customWidth="1" min="3" max="3" width="13.75"/>
    <col customWidth="1" min="4" max="4" width="14.13"/>
    <col customWidth="1" min="5" max="5" width="17.38"/>
    <col customWidth="1" min="6" max="6" width="14.5"/>
    <col customWidth="1" min="7" max="7" width="41.63"/>
    <col customWidth="1" min="8" max="8" width="13.7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33</v>
      </c>
      <c r="B1" s="37" t="s">
        <v>69</v>
      </c>
      <c r="D1" s="37"/>
      <c r="E1" s="2" t="s">
        <v>79</v>
      </c>
      <c r="F1" s="24" t="s">
        <v>140</v>
      </c>
      <c r="G1" s="24" t="s">
        <v>62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546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2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14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36</v>
      </c>
      <c r="G5" s="39">
        <f>F5/52</f>
        <v>0.6923076923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-38.07681525772</v>
      </c>
      <c r="D8" s="43">
        <v>144.338727249146</v>
      </c>
      <c r="E8" s="43" t="s">
        <v>98</v>
      </c>
      <c r="F8" s="44" t="s">
        <v>319</v>
      </c>
      <c r="G8" s="45" t="s">
        <v>547</v>
      </c>
      <c r="H8" s="46"/>
      <c r="I8" s="11" t="b">
        <v>1</v>
      </c>
      <c r="J8" s="47" t="str">
        <f t="shared" ref="J8:J29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IFERROR(__xludf.DUMMYFUNCTION("""COMPUTED_VALUE"""),3207.0)</f>
        <v>3207</v>
      </c>
      <c r="S8" s="51">
        <v>44357.49762434028</v>
      </c>
    </row>
    <row r="9">
      <c r="A9" s="43">
        <v>1.0</v>
      </c>
      <c r="B9" s="43">
        <v>4.0</v>
      </c>
      <c r="C9" s="43">
        <v>-38.0768152575788</v>
      </c>
      <c r="D9" s="43">
        <v>144.338909837116</v>
      </c>
      <c r="E9" s="43" t="s">
        <v>98</v>
      </c>
      <c r="F9" s="44" t="s">
        <v>101</v>
      </c>
      <c r="G9" s="45" t="s">
        <v>548</v>
      </c>
      <c r="H9" s="46"/>
      <c r="I9" s="11" t="b">
        <v>1</v>
      </c>
      <c r="J9" s="47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IFERROR(__xludf.DUMMYFUNCTION("""COMPUTED_VALUE"""),6188.0)</f>
        <v>6188</v>
      </c>
      <c r="S9" s="51">
        <v>44357.49765934028</v>
      </c>
    </row>
    <row r="10">
      <c r="A10" s="43">
        <v>1.0</v>
      </c>
      <c r="B10" s="43">
        <v>5.0</v>
      </c>
      <c r="C10" s="43">
        <v>-38.0768152574376</v>
      </c>
      <c r="D10" s="43">
        <v>144.339092425086</v>
      </c>
      <c r="E10" s="43" t="s">
        <v>103</v>
      </c>
      <c r="F10" s="44" t="s">
        <v>219</v>
      </c>
      <c r="G10" s="45" t="s">
        <v>549</v>
      </c>
      <c r="H10" s="46"/>
      <c r="I10" s="11" t="b">
        <v>1</v>
      </c>
      <c r="J10" s="47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IFERROR(__xludf.DUMMYFUNCTION("""COMPUTED_VALUE"""),4057.0)</f>
        <v>4057</v>
      </c>
      <c r="S10" s="51">
        <v>44357.49771589121</v>
      </c>
    </row>
    <row r="11">
      <c r="A11" s="43">
        <v>1.0</v>
      </c>
      <c r="B11" s="43">
        <v>6.0</v>
      </c>
      <c r="C11" s="43">
        <v>-38.0768152572963</v>
      </c>
      <c r="D11" s="43">
        <v>144.339275013055</v>
      </c>
      <c r="E11" s="43" t="s">
        <v>103</v>
      </c>
      <c r="F11" s="44" t="s">
        <v>217</v>
      </c>
      <c r="G11" s="45" t="s">
        <v>550</v>
      </c>
      <c r="H11" s="46"/>
      <c r="I11" s="11" t="b">
        <v>1</v>
      </c>
      <c r="J11" s="47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IFERROR(__xludf.DUMMYFUNCTION("""COMPUTED_VALUE"""),4931.0)</f>
        <v>4931</v>
      </c>
      <c r="S11" s="51">
        <v>44357.49774584491</v>
      </c>
    </row>
    <row r="12">
      <c r="A12" s="43">
        <v>2.0</v>
      </c>
      <c r="B12" s="43">
        <v>2.0</v>
      </c>
      <c r="C12" s="43">
        <v>-38.0769589883067</v>
      </c>
      <c r="D12" s="43">
        <v>144.338544670865</v>
      </c>
      <c r="E12" s="43" t="s">
        <v>98</v>
      </c>
      <c r="F12" s="44" t="s">
        <v>110</v>
      </c>
      <c r="G12" s="45" t="s">
        <v>551</v>
      </c>
      <c r="H12" s="44"/>
      <c r="I12" s="11" t="b">
        <v>1</v>
      </c>
      <c r="J12" s="47" t="str">
        <f t="shared" si="1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IFERROR(__xludf.DUMMYFUNCTION("""COMPUTED_VALUE"""),5399.0)</f>
        <v>5399</v>
      </c>
      <c r="S12" s="49"/>
    </row>
    <row r="13">
      <c r="A13" s="43">
        <v>2.0</v>
      </c>
      <c r="B13" s="43">
        <v>3.0</v>
      </c>
      <c r="C13" s="43">
        <v>-38.0769589881655</v>
      </c>
      <c r="D13" s="43">
        <v>144.338727259194</v>
      </c>
      <c r="E13" s="43" t="s">
        <v>98</v>
      </c>
      <c r="F13" s="44" t="s">
        <v>112</v>
      </c>
      <c r="G13" s="45" t="s">
        <v>552</v>
      </c>
      <c r="H13" s="46"/>
      <c r="I13" s="11" t="b">
        <v>1</v>
      </c>
      <c r="J13" s="47" t="str">
        <f t="shared" si="1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IFERROR(__xludf.DUMMYFUNCTION("""COMPUTED_VALUE"""),3658.0)</f>
        <v>3658</v>
      </c>
      <c r="S13" s="49"/>
    </row>
    <row r="14">
      <c r="A14" s="43">
        <v>2.0</v>
      </c>
      <c r="B14" s="43">
        <v>4.0</v>
      </c>
      <c r="C14" s="43">
        <v>-38.0769589880243</v>
      </c>
      <c r="D14" s="43">
        <v>144.338909847522</v>
      </c>
      <c r="E14" s="43" t="s">
        <v>98</v>
      </c>
      <c r="F14" s="44" t="s">
        <v>553</v>
      </c>
      <c r="G14" s="45" t="s">
        <v>554</v>
      </c>
      <c r="H14" s="46"/>
      <c r="I14" s="11" t="b">
        <v>1</v>
      </c>
      <c r="J14" s="47" t="str">
        <f t="shared" si="1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IFERROR(__xludf.DUMMYFUNCTION("""COMPUTED_VALUE"""),14279.0)</f>
        <v>14279</v>
      </c>
      <c r="S14" s="49"/>
    </row>
    <row r="15">
      <c r="A15" s="43">
        <v>2.0</v>
      </c>
      <c r="B15" s="43">
        <v>5.0</v>
      </c>
      <c r="C15" s="43">
        <v>-38.076958987883</v>
      </c>
      <c r="D15" s="43">
        <v>144.339092435851</v>
      </c>
      <c r="E15" s="43" t="s">
        <v>103</v>
      </c>
      <c r="F15" s="44" t="s">
        <v>116</v>
      </c>
      <c r="G15" s="45" t="s">
        <v>555</v>
      </c>
      <c r="H15" s="46"/>
      <c r="I15" s="11" t="b">
        <v>1</v>
      </c>
      <c r="J15" s="47" t="str">
        <f t="shared" si="1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IFERROR(__xludf.DUMMYFUNCTION("""COMPUTED_VALUE"""),5375.0)</f>
        <v>5375</v>
      </c>
      <c r="S15" s="49"/>
    </row>
    <row r="16">
      <c r="A16" s="43">
        <v>2.0</v>
      </c>
      <c r="B16" s="43">
        <v>6.0</v>
      </c>
      <c r="C16" s="43">
        <v>-38.0769589877418</v>
      </c>
      <c r="D16" s="43">
        <v>144.339275024179</v>
      </c>
      <c r="E16" s="43" t="s">
        <v>98</v>
      </c>
      <c r="F16" s="44" t="s">
        <v>120</v>
      </c>
      <c r="G16" s="45" t="s">
        <v>556</v>
      </c>
      <c r="H16" s="46"/>
      <c r="I16" s="11" t="b">
        <v>1</v>
      </c>
      <c r="J16" s="47" t="str">
        <f t="shared" si="1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IFERROR(__xludf.DUMMYFUNCTION("""COMPUTED_VALUE"""),"xrayneex")</f>
        <v>xrayneex</v>
      </c>
      <c r="R16" s="49">
        <f>IFERROR(__xludf.DUMMYFUNCTION("""COMPUTED_VALUE"""),2536.0)</f>
        <v>2536</v>
      </c>
      <c r="S16" s="49"/>
    </row>
    <row r="17">
      <c r="A17" s="43">
        <v>2.0</v>
      </c>
      <c r="B17" s="43">
        <v>7.0</v>
      </c>
      <c r="C17" s="43">
        <v>-38.0769589876006</v>
      </c>
      <c r="D17" s="43">
        <v>144.339457612508</v>
      </c>
      <c r="E17" s="43" t="s">
        <v>98</v>
      </c>
      <c r="F17" s="44" t="s">
        <v>130</v>
      </c>
      <c r="G17" s="45" t="s">
        <v>557</v>
      </c>
      <c r="H17" s="46"/>
      <c r="I17" s="11" t="b">
        <v>1</v>
      </c>
      <c r="J17" s="47" t="str">
        <f t="shared" si="1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IFERROR(__xludf.DUMMYFUNCTION("""COMPUTED_VALUE"""),"lupo6")</f>
        <v>lupo6</v>
      </c>
      <c r="R17" s="49">
        <f>IFERROR(__xludf.DUMMYFUNCTION("""COMPUTED_VALUE"""),6877.0)</f>
        <v>6877</v>
      </c>
      <c r="S17" s="49"/>
    </row>
    <row r="18">
      <c r="A18" s="43">
        <v>3.0</v>
      </c>
      <c r="B18" s="43">
        <v>1.0</v>
      </c>
      <c r="C18" s="43">
        <v>-38.0771027188934</v>
      </c>
      <c r="D18" s="43">
        <v>144.338362091867</v>
      </c>
      <c r="E18" s="43" t="s">
        <v>98</v>
      </c>
      <c r="F18" s="44" t="s">
        <v>558</v>
      </c>
      <c r="G18" s="52" t="s">
        <v>559</v>
      </c>
      <c r="H18" s="46"/>
      <c r="I18" s="11" t="b">
        <v>1</v>
      </c>
      <c r="J18" s="47" t="str">
        <f t="shared" si="1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IFERROR(__xludf.DUMMYFUNCTION("""COMPUTED_VALUE"""),"ddtsnorton")</f>
        <v>ddtsnorton</v>
      </c>
      <c r="R18" s="49">
        <f>IFERROR(__xludf.DUMMYFUNCTION("""COMPUTED_VALUE"""),11384.0)</f>
        <v>11384</v>
      </c>
      <c r="S18" s="49"/>
    </row>
    <row r="19">
      <c r="A19" s="43">
        <v>3.0</v>
      </c>
      <c r="B19" s="43">
        <v>2.0</v>
      </c>
      <c r="C19" s="43">
        <v>-38.0771027187522</v>
      </c>
      <c r="D19" s="43">
        <v>144.338544680554</v>
      </c>
      <c r="E19" s="43" t="s">
        <v>98</v>
      </c>
      <c r="F19" s="44" t="s">
        <v>155</v>
      </c>
      <c r="G19" s="52" t="s">
        <v>560</v>
      </c>
      <c r="H19" s="46"/>
      <c r="I19" s="11" t="b">
        <v>1</v>
      </c>
      <c r="J19" s="47" t="str">
        <f t="shared" si="1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IFERROR(__xludf.DUMMYFUNCTION("""COMPUTED_VALUE"""),"Ellesche")</f>
        <v>Ellesche</v>
      </c>
      <c r="R19" s="49">
        <f>IFERROR(__xludf.DUMMYFUNCTION("""COMPUTED_VALUE"""),802.0)</f>
        <v>802</v>
      </c>
      <c r="S19" s="49"/>
    </row>
    <row r="20">
      <c r="A20" s="43">
        <v>3.0</v>
      </c>
      <c r="B20" s="43">
        <v>3.0</v>
      </c>
      <c r="C20" s="43">
        <v>-38.077102718611</v>
      </c>
      <c r="D20" s="43">
        <v>144.338727269242</v>
      </c>
      <c r="E20" s="43" t="s">
        <v>98</v>
      </c>
      <c r="F20" s="44" t="s">
        <v>151</v>
      </c>
      <c r="G20" s="52" t="s">
        <v>561</v>
      </c>
      <c r="H20" s="46"/>
      <c r="I20" s="11" t="b">
        <v>1</v>
      </c>
      <c r="J20" s="47" t="str">
        <f t="shared" si="1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IFERROR(__xludf.DUMMYFUNCTION("""COMPUTED_VALUE"""),"res2100")</f>
        <v>res2100</v>
      </c>
      <c r="R20" s="49">
        <f>IFERROR(__xludf.DUMMYFUNCTION("""COMPUTED_VALUE"""),878.0)</f>
        <v>878</v>
      </c>
      <c r="S20" s="49"/>
    </row>
    <row r="21">
      <c r="A21" s="43">
        <v>3.0</v>
      </c>
      <c r="B21" s="43">
        <v>4.0</v>
      </c>
      <c r="C21" s="43">
        <v>-38.0771027184697</v>
      </c>
      <c r="D21" s="43">
        <v>144.338909857929</v>
      </c>
      <c r="E21" s="43" t="s">
        <v>98</v>
      </c>
      <c r="F21" s="44" t="s">
        <v>122</v>
      </c>
      <c r="G21" s="45" t="s">
        <v>562</v>
      </c>
      <c r="H21" s="46"/>
      <c r="I21" s="11" t="b">
        <v>1</v>
      </c>
      <c r="J21" s="47" t="str">
        <f t="shared" si="1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IFERROR(__xludf.DUMMYFUNCTION("""COMPUTED_VALUE"""),"Drazoria")</f>
        <v>Drazoria</v>
      </c>
      <c r="R21" s="49">
        <f>IFERROR(__xludf.DUMMYFUNCTION("""COMPUTED_VALUE"""),1586.0)</f>
        <v>1586</v>
      </c>
      <c r="S21" s="51">
        <v>44368.41582444444</v>
      </c>
    </row>
    <row r="22">
      <c r="A22" s="43">
        <v>3.0</v>
      </c>
      <c r="B22" s="43">
        <v>5.0</v>
      </c>
      <c r="C22" s="43">
        <v>-38.0771027183285</v>
      </c>
      <c r="D22" s="43">
        <v>144.339092446617</v>
      </c>
      <c r="E22" s="43" t="s">
        <v>98</v>
      </c>
      <c r="F22" s="44" t="s">
        <v>124</v>
      </c>
      <c r="G22" s="45" t="s">
        <v>563</v>
      </c>
      <c r="H22" s="46"/>
      <c r="I22" s="11" t="b">
        <v>1</v>
      </c>
      <c r="J22" s="47" t="str">
        <f t="shared" si="1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IFERROR(__xludf.DUMMYFUNCTION("""COMPUTED_VALUE"""),"Tinake1309")</f>
        <v>Tinake1309</v>
      </c>
      <c r="R22" s="49">
        <f>IFERROR(__xludf.DUMMYFUNCTION("""COMPUTED_VALUE"""),1664.0)</f>
        <v>1664</v>
      </c>
      <c r="S22" s="51">
        <v>44370.127610358795</v>
      </c>
    </row>
    <row r="23">
      <c r="A23" s="43">
        <v>3.0</v>
      </c>
      <c r="B23" s="43">
        <v>6.0</v>
      </c>
      <c r="C23" s="43">
        <v>-38.0771027181872</v>
      </c>
      <c r="D23" s="43">
        <v>144.339275035304</v>
      </c>
      <c r="E23" s="43" t="s">
        <v>98</v>
      </c>
      <c r="F23" s="44" t="s">
        <v>126</v>
      </c>
      <c r="G23" s="45" t="s">
        <v>564</v>
      </c>
      <c r="H23" s="46"/>
      <c r="I23" s="11" t="b">
        <v>1</v>
      </c>
      <c r="J23" s="47" t="str">
        <f t="shared" si="1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IFERROR(__xludf.DUMMYFUNCTION("""COMPUTED_VALUE"""),"Berg14")</f>
        <v>Berg14</v>
      </c>
      <c r="R23" s="49">
        <f>IFERROR(__xludf.DUMMYFUNCTION("""COMPUTED_VALUE"""),1540.0)</f>
        <v>1540</v>
      </c>
      <c r="S23" s="51">
        <v>44370.12768145833</v>
      </c>
    </row>
    <row r="24">
      <c r="A24" s="43">
        <v>3.0</v>
      </c>
      <c r="B24" s="43">
        <v>7.0</v>
      </c>
      <c r="C24" s="43">
        <v>-38.077102718046</v>
      </c>
      <c r="D24" s="43">
        <v>144.339457623992</v>
      </c>
      <c r="E24" s="43" t="s">
        <v>98</v>
      </c>
      <c r="F24" s="44" t="s">
        <v>128</v>
      </c>
      <c r="G24" s="45" t="s">
        <v>565</v>
      </c>
      <c r="H24" s="46"/>
      <c r="I24" s="11" t="b">
        <v>1</v>
      </c>
      <c r="J24" s="47" t="str">
        <f t="shared" si="1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IFERROR(__xludf.DUMMYFUNCTION("""COMPUTED_VALUE"""),"Niks13")</f>
        <v>Niks13</v>
      </c>
      <c r="R24" s="49">
        <f>IFERROR(__xludf.DUMMYFUNCTION("""COMPUTED_VALUE"""),1525.0)</f>
        <v>1525</v>
      </c>
      <c r="S24" s="51">
        <v>44370.12775237269</v>
      </c>
    </row>
    <row r="25">
      <c r="A25" s="43">
        <v>3.0</v>
      </c>
      <c r="B25" s="43">
        <v>8.0</v>
      </c>
      <c r="C25" s="43">
        <v>-38.0771027179048</v>
      </c>
      <c r="D25" s="43">
        <v>144.339640212679</v>
      </c>
      <c r="E25" s="43" t="s">
        <v>98</v>
      </c>
      <c r="F25" s="44" t="s">
        <v>132</v>
      </c>
      <c r="G25" s="45" t="s">
        <v>566</v>
      </c>
      <c r="H25" s="46"/>
      <c r="I25" s="11" t="b">
        <v>1</v>
      </c>
      <c r="J25" s="47" t="str">
        <f t="shared" si="1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IFERROR(__xludf.DUMMYFUNCTION("""COMPUTED_VALUE"""),"crscousins")</f>
        <v>crscousins</v>
      </c>
      <c r="R25" s="49">
        <f>IFERROR(__xludf.DUMMYFUNCTION("""COMPUTED_VALUE"""),6802.0)</f>
        <v>6802</v>
      </c>
      <c r="S25" s="49"/>
    </row>
    <row r="26">
      <c r="A26" s="43">
        <v>4.0</v>
      </c>
      <c r="B26" s="43">
        <v>1.0</v>
      </c>
      <c r="C26" s="43">
        <v>-38.0772464493386</v>
      </c>
      <c r="D26" s="43">
        <v>144.338362101196</v>
      </c>
      <c r="E26" s="43" t="s">
        <v>98</v>
      </c>
      <c r="F26" s="44" t="s">
        <v>534</v>
      </c>
      <c r="G26" s="45" t="s">
        <v>567</v>
      </c>
      <c r="H26" s="46"/>
      <c r="I26" s="11" t="b">
        <v>1</v>
      </c>
      <c r="J26" s="47" t="str">
        <f t="shared" si="1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IFERROR(__xludf.DUMMYFUNCTION("""COMPUTED_VALUE"""),"Girlteddy5")</f>
        <v>Girlteddy5</v>
      </c>
      <c r="R26" s="49">
        <f>IFERROR(__xludf.DUMMYFUNCTION("""COMPUTED_VALUE"""),31.0)</f>
        <v>31</v>
      </c>
      <c r="S26" s="49"/>
    </row>
    <row r="27">
      <c r="A27" s="43">
        <v>4.0</v>
      </c>
      <c r="B27" s="43">
        <v>2.0</v>
      </c>
      <c r="C27" s="43">
        <v>-38.0772464491974</v>
      </c>
      <c r="D27" s="43">
        <v>144.338544690242</v>
      </c>
      <c r="E27" s="43" t="s">
        <v>103</v>
      </c>
      <c r="F27" s="44" t="s">
        <v>136</v>
      </c>
      <c r="G27" s="45" t="s">
        <v>568</v>
      </c>
      <c r="H27" s="46"/>
      <c r="I27" s="11" t="b">
        <v>1</v>
      </c>
      <c r="J27" s="47" t="str">
        <f t="shared" si="1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IFERROR(__xludf.DUMMYFUNCTION("""COMPUTED_VALUE"""),"OdinsFiRe")</f>
        <v>OdinsFiRe</v>
      </c>
      <c r="R27" s="49">
        <f>IFERROR(__xludf.DUMMYFUNCTION("""COMPUTED_VALUE"""),2067.0)</f>
        <v>2067</v>
      </c>
      <c r="S27" s="49"/>
    </row>
    <row r="28">
      <c r="A28" s="43">
        <v>4.0</v>
      </c>
      <c r="B28" s="43">
        <v>3.0</v>
      </c>
      <c r="C28" s="43">
        <v>-38.0772464490561</v>
      </c>
      <c r="D28" s="43">
        <v>144.338727279288</v>
      </c>
      <c r="E28" s="43" t="s">
        <v>98</v>
      </c>
      <c r="F28" s="44" t="s">
        <v>99</v>
      </c>
      <c r="G28" s="45" t="s">
        <v>569</v>
      </c>
      <c r="H28" s="46"/>
      <c r="I28" s="11" t="b">
        <v>1</v>
      </c>
      <c r="J28" s="47" t="str">
        <f t="shared" si="1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IFERROR(__xludf.DUMMYFUNCTION("""COMPUTED_VALUE"""),"raunas")</f>
        <v>raunas</v>
      </c>
      <c r="R28" s="49">
        <f>IFERROR(__xludf.DUMMYFUNCTION("""COMPUTED_VALUE"""),12347.0)</f>
        <v>12347</v>
      </c>
      <c r="S28" s="49"/>
    </row>
    <row r="29">
      <c r="A29" s="43">
        <v>4.0</v>
      </c>
      <c r="B29" s="43">
        <v>4.0</v>
      </c>
      <c r="C29" s="43">
        <v>-38.0772464489149</v>
      </c>
      <c r="D29" s="43">
        <v>144.338909868334</v>
      </c>
      <c r="E29" s="43" t="s">
        <v>98</v>
      </c>
      <c r="F29" s="44" t="s">
        <v>138</v>
      </c>
      <c r="G29" s="45" t="s">
        <v>570</v>
      </c>
      <c r="H29" s="46"/>
      <c r="I29" s="11" t="b">
        <v>1</v>
      </c>
      <c r="J29" s="47" t="str">
        <f t="shared" si="1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IFERROR(__xludf.DUMMYFUNCTION("""COMPUTED_VALUE"""),4607.0)</f>
        <v>4607</v>
      </c>
      <c r="S29" s="49"/>
    </row>
    <row r="30">
      <c r="A30" s="43">
        <v>4.0</v>
      </c>
      <c r="B30" s="43">
        <v>5.0</v>
      </c>
      <c r="C30" s="43">
        <v>-38.0772464487737</v>
      </c>
      <c r="D30" s="43">
        <v>144.339092457381</v>
      </c>
      <c r="E30" s="43" t="s">
        <v>98</v>
      </c>
      <c r="F30" s="44" t="s">
        <v>108</v>
      </c>
      <c r="G30" s="45" t="s">
        <v>571</v>
      </c>
      <c r="H30" s="46"/>
      <c r="I30" s="11" t="b">
        <v>1</v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IFERROR(__xludf.DUMMYFUNCTION("""COMPUTED_VALUE"""),"Bungle")</f>
        <v>Bungle</v>
      </c>
      <c r="R30" s="49">
        <f>IFERROR(__xludf.DUMMYFUNCTION("""COMPUTED_VALUE"""),10932.0)</f>
        <v>10932</v>
      </c>
      <c r="S30" s="51">
        <v>44749.249741747684</v>
      </c>
    </row>
    <row r="31">
      <c r="A31" s="43">
        <v>4.0</v>
      </c>
      <c r="B31" s="43">
        <v>6.0</v>
      </c>
      <c r="C31" s="43">
        <v>-38.0772464486324</v>
      </c>
      <c r="D31" s="43">
        <v>144.339275046427</v>
      </c>
      <c r="E31" s="43" t="s">
        <v>103</v>
      </c>
      <c r="F31" s="44" t="s">
        <v>572</v>
      </c>
      <c r="G31" s="68" t="s">
        <v>573</v>
      </c>
      <c r="H31" s="46"/>
      <c r="I31" s="11" t="b">
        <v>1</v>
      </c>
      <c r="J31" s="47" t="str">
        <f t="shared" ref="J31:J56" si="3">if(I31=true,"",S31)</f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IFERROR(__xludf.DUMMYFUNCTION("""COMPUTED_VALUE"""),"23speds")</f>
        <v>23speds</v>
      </c>
      <c r="R31" s="49">
        <f>IFERROR(__xludf.DUMMYFUNCTION("""COMPUTED_VALUE"""),11054.0)</f>
        <v>11054</v>
      </c>
      <c r="S31" s="49"/>
    </row>
    <row r="32">
      <c r="A32" s="43">
        <v>4.0</v>
      </c>
      <c r="B32" s="43">
        <v>7.0</v>
      </c>
      <c r="C32" s="43">
        <v>-38.0772464484912</v>
      </c>
      <c r="D32" s="43">
        <v>144.339457635473</v>
      </c>
      <c r="E32" s="43" t="s">
        <v>98</v>
      </c>
      <c r="F32" s="44" t="s">
        <v>118</v>
      </c>
      <c r="G32" s="45" t="s">
        <v>574</v>
      </c>
      <c r="H32" s="44" t="s">
        <v>203</v>
      </c>
      <c r="I32" s="11" t="b">
        <v>1</v>
      </c>
      <c r="J32" s="47" t="str">
        <f t="shared" si="3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IFERROR(__xludf.DUMMYFUNCTION("""COMPUTED_VALUE"""),"rita85gto")</f>
        <v>rita85gto</v>
      </c>
      <c r="R32" s="49">
        <f>IFERROR(__xludf.DUMMYFUNCTION("""COMPUTED_VALUE"""),5142.0)</f>
        <v>5142</v>
      </c>
      <c r="S32" s="49"/>
    </row>
    <row r="33">
      <c r="A33" s="55">
        <v>4.0</v>
      </c>
      <c r="B33" s="55">
        <v>8.0</v>
      </c>
      <c r="C33" s="11">
        <v>-38.0772464483499</v>
      </c>
      <c r="D33" s="11">
        <v>144.33964022452</v>
      </c>
      <c r="E33" s="55" t="s">
        <v>98</v>
      </c>
      <c r="F33" s="46"/>
      <c r="G33" s="46"/>
      <c r="H33" s="46"/>
      <c r="I33" s="47" t="b">
        <v>0</v>
      </c>
      <c r="J33" s="47" t="str">
        <f t="shared" si="3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2"/>
        <v>0</v>
      </c>
      <c r="N33" s="49" t="str">
        <f>IFERROR(__xludf.DUMMYFUNCTION("split(G33,""/"")"),"#VALUE!")</f>
        <v>#VALUE!</v>
      </c>
      <c r="O33" s="50"/>
      <c r="P33" s="49"/>
      <c r="Q33" s="49"/>
      <c r="R33" s="49"/>
      <c r="S33" s="49"/>
    </row>
    <row r="34">
      <c r="A34" s="43">
        <v>5.0</v>
      </c>
      <c r="B34" s="43">
        <v>1.0</v>
      </c>
      <c r="C34" s="43">
        <v>-38.0773901797841</v>
      </c>
      <c r="D34" s="43">
        <v>144.338362110527</v>
      </c>
      <c r="E34" s="43" t="s">
        <v>103</v>
      </c>
      <c r="F34" s="44" t="s">
        <v>575</v>
      </c>
      <c r="G34" s="45" t="s">
        <v>576</v>
      </c>
      <c r="H34" s="46"/>
      <c r="I34" s="11" t="b">
        <v>1</v>
      </c>
      <c r="J34" s="47" t="str">
        <f t="shared" si="3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IFERROR(__xludf.DUMMYFUNCTION("""COMPUTED_VALUE"""),"skyfox")</f>
        <v>skyfox</v>
      </c>
      <c r="R34" s="49">
        <f>IFERROR(__xludf.DUMMYFUNCTION("""COMPUTED_VALUE"""),14439.0)</f>
        <v>14439</v>
      </c>
      <c r="S34" s="49"/>
    </row>
    <row r="35">
      <c r="A35" s="43">
        <v>5.0</v>
      </c>
      <c r="B35" s="43">
        <v>2.0</v>
      </c>
      <c r="C35" s="43">
        <v>-38.0773901796428</v>
      </c>
      <c r="D35" s="43">
        <v>144.338544699932</v>
      </c>
      <c r="E35" s="43" t="s">
        <v>98</v>
      </c>
      <c r="F35" s="44" t="s">
        <v>141</v>
      </c>
      <c r="G35" s="52" t="s">
        <v>577</v>
      </c>
      <c r="H35" s="46"/>
      <c r="I35" s="11" t="b">
        <v>1</v>
      </c>
      <c r="J35" s="47" t="str">
        <f t="shared" si="3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IFERROR(__xludf.DUMMYFUNCTION("""COMPUTED_VALUE"""),3726.0)</f>
        <v>3726</v>
      </c>
      <c r="S35" s="49"/>
    </row>
    <row r="36">
      <c r="A36" s="55">
        <v>5.0</v>
      </c>
      <c r="B36" s="55">
        <v>3.0</v>
      </c>
      <c r="C36" s="11">
        <v>-38.0773901795016</v>
      </c>
      <c r="D36" s="11">
        <v>144.338727289337</v>
      </c>
      <c r="E36" s="55" t="s">
        <v>103</v>
      </c>
      <c r="F36" s="44" t="s">
        <v>140</v>
      </c>
      <c r="G36" s="45" t="s">
        <v>578</v>
      </c>
      <c r="H36" s="46"/>
      <c r="I36" s="47" t="b">
        <v>0</v>
      </c>
      <c r="J36" s="47" t="str">
        <f t="shared" si="3"/>
        <v/>
      </c>
      <c r="K36" s="48" t="str">
        <f>IFERROR(__xludf.DUMMYFUNCTION("IF(M36=1,IFERROR(TRIM(IMPORTXML(G36, ""//p[@class='status-date']"")), ""Not deployed""),"""")"),"Deployed")</f>
        <v>Deployed</v>
      </c>
      <c r="L36" s="48"/>
      <c r="M36" s="48">
        <f t="shared" si="2"/>
        <v>1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IFERROR(__xludf.DUMMYFUNCTION("""COMPUTED_VALUE"""),"Fossillady")</f>
        <v>Fossillady</v>
      </c>
      <c r="R36" s="49">
        <f>IFERROR(__xludf.DUMMYFUNCTION("""COMPUTED_VALUE"""),5359.0)</f>
        <v>5359</v>
      </c>
      <c r="S36" s="49"/>
    </row>
    <row r="37">
      <c r="A37" s="43">
        <v>5.0</v>
      </c>
      <c r="B37" s="43">
        <v>4.0</v>
      </c>
      <c r="C37" s="43">
        <v>-38.0773901793603</v>
      </c>
      <c r="D37" s="43">
        <v>144.338909878743</v>
      </c>
      <c r="E37" s="43" t="s">
        <v>98</v>
      </c>
      <c r="F37" s="44" t="s">
        <v>575</v>
      </c>
      <c r="G37" s="45" t="s">
        <v>579</v>
      </c>
      <c r="H37" s="46"/>
      <c r="I37" s="11" t="b">
        <v>1</v>
      </c>
      <c r="J37" s="47" t="str">
        <f t="shared" si="3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IFERROR(__xludf.DUMMYFUNCTION("""COMPUTED_VALUE"""),"skyfox")</f>
        <v>skyfox</v>
      </c>
      <c r="R37" s="49">
        <f>IFERROR(__xludf.DUMMYFUNCTION("""COMPUTED_VALUE"""),14455.0)</f>
        <v>14455</v>
      </c>
      <c r="S37" s="49"/>
    </row>
    <row r="38">
      <c r="A38" s="55">
        <v>5.0</v>
      </c>
      <c r="B38" s="55">
        <v>5.0</v>
      </c>
      <c r="C38" s="11">
        <v>-38.0773901792191</v>
      </c>
      <c r="D38" s="11">
        <v>144.339092468148</v>
      </c>
      <c r="E38" s="55" t="s">
        <v>98</v>
      </c>
      <c r="F38" s="46"/>
      <c r="G38" s="46"/>
      <c r="H38" s="46"/>
      <c r="I38" s="47" t="b">
        <v>0</v>
      </c>
      <c r="J38" s="47" t="str">
        <f t="shared" si="3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2"/>
        <v>0</v>
      </c>
      <c r="N38" s="49" t="str">
        <f>IFERROR(__xludf.DUMMYFUNCTION("split(G38,""/"")"),"#VALUE!")</f>
        <v>#VALUE!</v>
      </c>
      <c r="O38" s="50"/>
      <c r="P38" s="49"/>
      <c r="Q38" s="49"/>
      <c r="R38" s="49"/>
      <c r="S38" s="49"/>
    </row>
    <row r="39">
      <c r="A39" s="55">
        <v>5.0</v>
      </c>
      <c r="B39" s="55">
        <v>6.0</v>
      </c>
      <c r="C39" s="11">
        <v>-38.0773901790778</v>
      </c>
      <c r="D39" s="11">
        <v>144.339275057553</v>
      </c>
      <c r="E39" s="55" t="s">
        <v>98</v>
      </c>
      <c r="F39" s="46"/>
      <c r="G39" s="46"/>
      <c r="H39" s="46"/>
      <c r="I39" s="47" t="b">
        <v>0</v>
      </c>
      <c r="J39" s="47" t="str">
        <f t="shared" si="3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2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49"/>
    </row>
    <row r="40">
      <c r="A40" s="43">
        <v>5.0</v>
      </c>
      <c r="B40" s="43">
        <v>7.0</v>
      </c>
      <c r="C40" s="43">
        <v>-38.0773901789366</v>
      </c>
      <c r="D40" s="43">
        <v>144.339457646958</v>
      </c>
      <c r="E40" s="43" t="s">
        <v>98</v>
      </c>
      <c r="F40" s="44" t="s">
        <v>575</v>
      </c>
      <c r="G40" s="45" t="s">
        <v>580</v>
      </c>
      <c r="H40" s="46"/>
      <c r="I40" s="11" t="b">
        <v>1</v>
      </c>
      <c r="J40" s="47" t="str">
        <f t="shared" si="3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IFERROR(__xludf.DUMMYFUNCTION("""COMPUTED_VALUE"""),"skyfox")</f>
        <v>skyfox</v>
      </c>
      <c r="R40" s="49">
        <f>IFERROR(__xludf.DUMMYFUNCTION("""COMPUTED_VALUE"""),14456.0)</f>
        <v>14456</v>
      </c>
      <c r="S40" s="49"/>
    </row>
    <row r="41">
      <c r="A41" s="55">
        <v>5.0</v>
      </c>
      <c r="B41" s="55">
        <v>8.0</v>
      </c>
      <c r="C41" s="11">
        <v>-38.0773901787954</v>
      </c>
      <c r="D41" s="11">
        <v>144.339640236363</v>
      </c>
      <c r="E41" s="55" t="s">
        <v>98</v>
      </c>
      <c r="F41" s="46"/>
      <c r="G41" s="46"/>
      <c r="H41" s="46"/>
      <c r="I41" s="47" t="b">
        <v>0</v>
      </c>
      <c r="J41" s="47" t="str">
        <f t="shared" si="3"/>
        <v/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2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49"/>
    </row>
    <row r="42">
      <c r="A42" s="43">
        <v>6.0</v>
      </c>
      <c r="B42" s="43">
        <v>1.0</v>
      </c>
      <c r="C42" s="43">
        <v>-38.0775339102295</v>
      </c>
      <c r="D42" s="43">
        <v>144.338362119856</v>
      </c>
      <c r="E42" s="43" t="s">
        <v>98</v>
      </c>
      <c r="F42" s="44" t="s">
        <v>149</v>
      </c>
      <c r="G42" s="45" t="s">
        <v>581</v>
      </c>
      <c r="H42" s="46"/>
      <c r="I42" s="11" t="b">
        <v>1</v>
      </c>
      <c r="J42" s="47" t="str">
        <f t="shared" si="3"/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IFERROR(__xludf.DUMMYFUNCTION("""COMPUTED_VALUE"""),7257.0)</f>
        <v>7257</v>
      </c>
      <c r="S42" s="49"/>
    </row>
    <row r="43">
      <c r="A43" s="43">
        <v>6.0</v>
      </c>
      <c r="B43" s="43">
        <v>2.0</v>
      </c>
      <c r="C43" s="43">
        <v>-38.0775339100883</v>
      </c>
      <c r="D43" s="43">
        <v>144.33854470962</v>
      </c>
      <c r="E43" s="43" t="s">
        <v>98</v>
      </c>
      <c r="F43" s="44" t="s">
        <v>178</v>
      </c>
      <c r="G43" s="45" t="s">
        <v>582</v>
      </c>
      <c r="H43" s="46"/>
      <c r="I43" s="11" t="b">
        <v>1</v>
      </c>
      <c r="J43" s="47" t="str">
        <f t="shared" si="3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IFERROR(__xludf.DUMMYFUNCTION("""COMPUTED_VALUE"""),"lison55")</f>
        <v>lison55</v>
      </c>
      <c r="R43" s="49">
        <f>IFERROR(__xludf.DUMMYFUNCTION("""COMPUTED_VALUE"""),19404.0)</f>
        <v>19404</v>
      </c>
      <c r="S43" s="49"/>
    </row>
    <row r="44">
      <c r="A44" s="55">
        <v>6.0</v>
      </c>
      <c r="B44" s="55">
        <v>3.0</v>
      </c>
      <c r="C44" s="11">
        <v>-38.077533909947</v>
      </c>
      <c r="D44" s="11">
        <v>144.338727299384</v>
      </c>
      <c r="E44" s="55" t="s">
        <v>103</v>
      </c>
      <c r="F44" s="46"/>
      <c r="G44" s="46"/>
      <c r="H44" s="46"/>
      <c r="I44" s="47" t="b">
        <v>0</v>
      </c>
      <c r="J44" s="47" t="str">
        <f t="shared" si="3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2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11">
        <v>-38.0775339098058</v>
      </c>
      <c r="D45" s="11">
        <v>144.338909889148</v>
      </c>
      <c r="E45" s="55" t="s">
        <v>98</v>
      </c>
      <c r="F45" s="46"/>
      <c r="G45" s="46"/>
      <c r="H45" s="46"/>
      <c r="I45" s="47" t="b">
        <v>0</v>
      </c>
      <c r="J45" s="47" t="str">
        <f t="shared" si="3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2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11">
        <v>-38.0775339096645</v>
      </c>
      <c r="D46" s="11">
        <v>144.339092478912</v>
      </c>
      <c r="E46" s="55" t="s">
        <v>98</v>
      </c>
      <c r="F46" s="44"/>
      <c r="G46" s="46"/>
      <c r="H46" s="46"/>
      <c r="I46" s="47" t="b">
        <v>0</v>
      </c>
      <c r="J46" s="47" t="str">
        <f t="shared" si="3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2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11">
        <v>-38.0775339095233</v>
      </c>
      <c r="D47" s="11">
        <v>144.339275068676</v>
      </c>
      <c r="E47" s="55" t="s">
        <v>103</v>
      </c>
      <c r="F47" s="46"/>
      <c r="G47" s="46"/>
      <c r="H47" s="46"/>
      <c r="I47" s="11" t="b">
        <v>0</v>
      </c>
      <c r="J47" s="47" t="str">
        <f t="shared" si="3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2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-38.0775339093821</v>
      </c>
      <c r="D48" s="43">
        <v>144.33945765844</v>
      </c>
      <c r="E48" s="43" t="s">
        <v>98</v>
      </c>
      <c r="F48" s="44" t="s">
        <v>145</v>
      </c>
      <c r="G48" s="45" t="s">
        <v>583</v>
      </c>
      <c r="H48" s="46"/>
      <c r="I48" s="11" t="b">
        <v>1</v>
      </c>
      <c r="J48" s="47" t="str">
        <f t="shared" si="3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IFERROR(__xludf.DUMMYFUNCTION("""COMPUTED_VALUE"""),5972.0)</f>
        <v>5972</v>
      </c>
      <c r="S48" s="51">
        <v>44357.497529224536</v>
      </c>
    </row>
    <row r="49">
      <c r="A49" s="43">
        <v>6.0</v>
      </c>
      <c r="B49" s="43">
        <v>8.0</v>
      </c>
      <c r="C49" s="43">
        <v>-38.0775339092408</v>
      </c>
      <c r="D49" s="43">
        <v>144.339640248204</v>
      </c>
      <c r="E49" s="43" t="s">
        <v>98</v>
      </c>
      <c r="F49" s="44" t="s">
        <v>147</v>
      </c>
      <c r="G49" s="52" t="s">
        <v>584</v>
      </c>
      <c r="H49" s="46"/>
      <c r="I49" s="11" t="b">
        <v>1</v>
      </c>
      <c r="J49" s="47" t="str">
        <f t="shared" si="3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IFERROR(__xludf.DUMMYFUNCTION("""COMPUTED_VALUE"""),13728.0)</f>
        <v>13728</v>
      </c>
      <c r="S49" s="51">
        <v>44357.49750268519</v>
      </c>
    </row>
    <row r="50">
      <c r="A50" s="55">
        <v>7.0</v>
      </c>
      <c r="B50" s="55">
        <v>2.0</v>
      </c>
      <c r="C50" s="11">
        <v>-38.0776776405337</v>
      </c>
      <c r="D50" s="11">
        <v>144.33854471931</v>
      </c>
      <c r="E50" s="55" t="s">
        <v>103</v>
      </c>
      <c r="F50" s="46"/>
      <c r="G50" s="46"/>
      <c r="H50" s="46"/>
      <c r="I50" s="47" t="b">
        <v>0</v>
      </c>
      <c r="J50" s="47" t="str">
        <f t="shared" si="3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2"/>
        <v>0</v>
      </c>
      <c r="N50" s="49" t="str">
        <f>IFERROR(__xludf.DUMMYFUNCTION("split(G50,""/"")"),"#VALUE!")</f>
        <v>#VALUE!</v>
      </c>
      <c r="O50" s="57"/>
      <c r="P50" s="49"/>
      <c r="Q50" s="49"/>
      <c r="R50" s="49"/>
      <c r="S50" s="49"/>
    </row>
    <row r="51">
      <c r="A51" s="55">
        <v>7.0</v>
      </c>
      <c r="B51" s="55">
        <v>3.0</v>
      </c>
      <c r="C51" s="11">
        <v>-38.0776776403925</v>
      </c>
      <c r="D51" s="11">
        <v>144.338727309433</v>
      </c>
      <c r="E51" s="55" t="s">
        <v>98</v>
      </c>
      <c r="F51" s="46"/>
      <c r="G51" s="46"/>
      <c r="H51" s="46"/>
      <c r="I51" s="47" t="b">
        <v>0</v>
      </c>
      <c r="J51" s="47" t="str">
        <f t="shared" si="3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2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11">
        <v>-38.0776776402512</v>
      </c>
      <c r="D52" s="11">
        <v>144.338909899556</v>
      </c>
      <c r="E52" s="55" t="s">
        <v>98</v>
      </c>
      <c r="F52" s="44"/>
      <c r="G52" s="46"/>
      <c r="H52" s="46"/>
      <c r="I52" s="47" t="b">
        <v>0</v>
      </c>
      <c r="J52" s="47" t="str">
        <f t="shared" si="3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2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11">
        <v>-38.07767764011</v>
      </c>
      <c r="D53" s="11">
        <v>144.339092489679</v>
      </c>
      <c r="E53" s="55" t="s">
        <v>98</v>
      </c>
      <c r="F53" s="46"/>
      <c r="G53" s="46"/>
      <c r="H53" s="46"/>
      <c r="I53" s="11" t="b">
        <v>0</v>
      </c>
      <c r="J53" s="47" t="str">
        <f t="shared" si="3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2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11">
        <v>-38.0776776399688</v>
      </c>
      <c r="D54" s="11">
        <v>144.339275079802</v>
      </c>
      <c r="E54" s="55" t="s">
        <v>98</v>
      </c>
      <c r="F54" s="46"/>
      <c r="G54" s="46"/>
      <c r="H54" s="46"/>
      <c r="I54" s="47" t="b">
        <v>0</v>
      </c>
      <c r="J54" s="47" t="str">
        <f t="shared" si="3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2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-38.0776776398275</v>
      </c>
      <c r="D55" s="43">
        <v>144.339457669925</v>
      </c>
      <c r="E55" s="43" t="s">
        <v>98</v>
      </c>
      <c r="F55" s="44" t="s">
        <v>153</v>
      </c>
      <c r="G55" s="45" t="s">
        <v>585</v>
      </c>
      <c r="H55" s="46"/>
      <c r="I55" s="11" t="b">
        <v>1</v>
      </c>
      <c r="J55" s="47" t="str">
        <f t="shared" si="3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IFERROR(__xludf.DUMMYFUNCTION("""COMPUTED_VALUE"""),24564.0)</f>
        <v>24564</v>
      </c>
      <c r="S55" s="49"/>
    </row>
    <row r="56">
      <c r="A56" s="43">
        <v>8.0</v>
      </c>
      <c r="B56" s="43">
        <v>3.0</v>
      </c>
      <c r="C56" s="43">
        <v>-38.0778213708379</v>
      </c>
      <c r="D56" s="43">
        <v>144.338727319481</v>
      </c>
      <c r="E56" s="43" t="s">
        <v>98</v>
      </c>
      <c r="F56" s="44" t="s">
        <v>575</v>
      </c>
      <c r="G56" s="45" t="s">
        <v>586</v>
      </c>
      <c r="H56" s="46"/>
      <c r="I56" s="11" t="b">
        <v>1</v>
      </c>
      <c r="J56" s="47" t="str">
        <f t="shared" si="3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IFERROR(__xludf.DUMMYFUNCTION("""COMPUTED_VALUE"""),"skyfox")</f>
        <v>skyfox</v>
      </c>
      <c r="R56" s="49">
        <f>IFERROR(__xludf.DUMMYFUNCTION("""COMPUTED_VALUE"""),14469.0)</f>
        <v>14469</v>
      </c>
      <c r="S56" s="49"/>
    </row>
    <row r="57">
      <c r="A57" s="55">
        <v>8.0</v>
      </c>
      <c r="B57" s="55">
        <v>4.0</v>
      </c>
      <c r="C57" s="11">
        <v>-38.0778213706967</v>
      </c>
      <c r="D57" s="11">
        <v>144.338909909963</v>
      </c>
      <c r="E57" s="55" t="s">
        <v>103</v>
      </c>
      <c r="F57" s="44" t="s">
        <v>340</v>
      </c>
      <c r="G57" s="46"/>
      <c r="H57" s="46"/>
      <c r="I57" s="47" t="b">
        <v>0</v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2"/>
        <v>0</v>
      </c>
      <c r="N57" s="49" t="str">
        <f>IFERROR(__xludf.DUMMYFUNCTION("split(G57,""/"")"),"#VALUE!")</f>
        <v>#VALUE!</v>
      </c>
      <c r="O57" s="50"/>
      <c r="P57" s="49"/>
      <c r="Q57" s="49"/>
      <c r="R57" s="49"/>
      <c r="S57" s="51">
        <v>44357.497348923614</v>
      </c>
    </row>
    <row r="58">
      <c r="A58" s="55">
        <v>8.0</v>
      </c>
      <c r="B58" s="55">
        <v>5.0</v>
      </c>
      <c r="C58" s="11">
        <v>-38.0778213705555</v>
      </c>
      <c r="D58" s="11">
        <v>144.339092500445</v>
      </c>
      <c r="E58" s="55" t="s">
        <v>103</v>
      </c>
      <c r="F58" s="46"/>
      <c r="G58" s="46"/>
      <c r="H58" s="46"/>
      <c r="I58" s="47" t="b">
        <v>0</v>
      </c>
      <c r="J58" s="47" t="str">
        <f t="shared" ref="J58:J59" si="4">if(I58=true,"",S58)</f>
        <v/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2"/>
        <v>0</v>
      </c>
      <c r="N58" s="49" t="str">
        <f>IFERROR(__xludf.DUMMYFUNCTION("split(G58,""/"")"),"#VALUE!")</f>
        <v>#VALUE!</v>
      </c>
      <c r="O58" s="50"/>
      <c r="P58" s="49"/>
      <c r="Q58" s="49"/>
      <c r="R58" s="49"/>
      <c r="S58" s="49"/>
    </row>
    <row r="59">
      <c r="A59" s="43">
        <v>8.0</v>
      </c>
      <c r="B59" s="43">
        <v>6.0</v>
      </c>
      <c r="C59" s="43">
        <v>-38.0778213704142</v>
      </c>
      <c r="D59" s="43">
        <v>144.339275090926</v>
      </c>
      <c r="E59" s="43" t="s">
        <v>98</v>
      </c>
      <c r="F59" s="44" t="s">
        <v>157</v>
      </c>
      <c r="G59" s="45" t="s">
        <v>587</v>
      </c>
      <c r="H59" s="46"/>
      <c r="I59" s="11" t="b">
        <v>1</v>
      </c>
      <c r="J59" s="47" t="str">
        <f t="shared" si="4"/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IFERROR(__xludf.DUMMYFUNCTION("""COMPUTED_VALUE"""),"barefootguru")</f>
        <v>barefootguru</v>
      </c>
      <c r="R59" s="49">
        <f>IFERROR(__xludf.DUMMYFUNCTION("""COMPUTED_VALUE"""),3966.0)</f>
        <v>3966</v>
      </c>
      <c r="S59" s="49"/>
    </row>
    <row r="61" hidden="1">
      <c r="F61" s="47">
        <f t="shared" ref="F61:G61" si="5">COUNTIF(F8:F59,"")</f>
        <v>14</v>
      </c>
      <c r="G61" s="47">
        <f t="shared" si="5"/>
        <v>15</v>
      </c>
      <c r="I61" s="47">
        <f>COUNTIF(I8:I59,TRUE)</f>
        <v>36</v>
      </c>
    </row>
    <row r="62" hidden="1"/>
    <row r="63" hidden="1"/>
    <row r="64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5"/>
    <hyperlink r:id="rId37" ref="O25"/>
    <hyperlink r:id="rId38" ref="G26"/>
    <hyperlink r:id="rId39" ref="O26"/>
    <hyperlink r:id="rId40" ref="G27"/>
    <hyperlink r:id="rId41" ref="O27"/>
    <hyperlink r:id="rId42" ref="G28"/>
    <hyperlink r:id="rId43" ref="O28"/>
    <hyperlink r:id="rId44" ref="G29"/>
    <hyperlink r:id="rId45" ref="O29"/>
    <hyperlink r:id="rId46" ref="G30"/>
    <hyperlink r:id="rId47" ref="O30"/>
    <hyperlink r:id="rId48" ref="G31"/>
    <hyperlink r:id="rId49" ref="O31"/>
    <hyperlink r:id="rId50" ref="G32"/>
    <hyperlink r:id="rId51" ref="O32"/>
    <hyperlink r:id="rId52" ref="O33"/>
    <hyperlink r:id="rId53" ref="G34"/>
    <hyperlink r:id="rId54" ref="O34"/>
    <hyperlink r:id="rId55" ref="G35"/>
    <hyperlink r:id="rId56" ref="O35"/>
    <hyperlink r:id="rId57" ref="G36"/>
    <hyperlink r:id="rId58" ref="O36"/>
    <hyperlink r:id="rId59" ref="G37"/>
    <hyperlink r:id="rId60" ref="O37"/>
    <hyperlink r:id="rId61" ref="O38"/>
    <hyperlink r:id="rId62" ref="O39"/>
    <hyperlink r:id="rId63" ref="G40"/>
    <hyperlink r:id="rId64" ref="O40"/>
    <hyperlink r:id="rId65" ref="O41"/>
    <hyperlink r:id="rId66" ref="G42"/>
    <hyperlink r:id="rId67" ref="O42"/>
    <hyperlink r:id="rId68" ref="G43"/>
    <hyperlink r:id="rId69" ref="O43"/>
    <hyperlink r:id="rId70" ref="O44"/>
    <hyperlink r:id="rId71" ref="O45"/>
    <hyperlink r:id="rId72" ref="O46"/>
    <hyperlink r:id="rId73" ref="O47"/>
    <hyperlink r:id="rId74" ref="G48"/>
    <hyperlink r:id="rId75" ref="O48"/>
    <hyperlink r:id="rId76" ref="G49"/>
    <hyperlink r:id="rId77" ref="O49"/>
    <hyperlink r:id="rId78" ref="O51"/>
    <hyperlink r:id="rId79" ref="O52"/>
    <hyperlink r:id="rId80" ref="O53"/>
    <hyperlink r:id="rId81" ref="O54"/>
    <hyperlink r:id="rId82" ref="G55"/>
    <hyperlink r:id="rId83" ref="O55"/>
    <hyperlink r:id="rId84" ref="G56"/>
    <hyperlink r:id="rId85" ref="O56"/>
    <hyperlink r:id="rId86" ref="O57"/>
    <hyperlink r:id="rId87" ref="O58"/>
    <hyperlink r:id="rId88" ref="G59"/>
    <hyperlink r:id="rId89" ref="O59"/>
  </hyperlinks>
  <drawing r:id="rId90"/>
  <tableParts count="1">
    <tablePart r:id="rId92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/>
  </sheetViews>
  <sheetFormatPr customHeight="1" defaultColWidth="12.63" defaultRowHeight="15.75" outlineLevelCol="1"/>
  <cols>
    <col customWidth="1" min="1" max="1" width="7.25"/>
    <col customWidth="1" min="2" max="2" width="6.88"/>
    <col customWidth="1" min="3" max="3" width="13.75"/>
    <col customWidth="1" min="4" max="4" width="14.0"/>
    <col customWidth="1" min="5" max="5" width="16.5"/>
    <col customWidth="1" min="6" max="6" width="13.63"/>
    <col customWidth="1" min="7" max="7" width="42.75"/>
    <col customWidth="1" min="8" max="8" width="15.13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29</v>
      </c>
      <c r="D1" s="37" t="s">
        <v>63</v>
      </c>
      <c r="E1" s="2" t="s">
        <v>79</v>
      </c>
      <c r="F1" s="24" t="s">
        <v>147</v>
      </c>
      <c r="G1" s="24" t="s">
        <v>81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588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1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 t="s">
        <v>589</v>
      </c>
      <c r="C4" s="2"/>
      <c r="D4" s="2"/>
      <c r="E4" s="2" t="s">
        <v>84</v>
      </c>
      <c r="F4" s="2">
        <f>F61</f>
        <v>6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45</v>
      </c>
      <c r="G5" s="39">
        <f>F5/52</f>
        <v>0.8653846154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51.3009884878099</v>
      </c>
      <c r="D8" s="43">
        <v>5.78265347315914</v>
      </c>
      <c r="E8" s="43" t="s">
        <v>98</v>
      </c>
      <c r="F8" s="44" t="s">
        <v>99</v>
      </c>
      <c r="G8" s="45" t="s">
        <v>590</v>
      </c>
      <c r="H8" s="46"/>
      <c r="I8" s="11" t="b">
        <v>1</v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1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IFERROR(__xludf.DUMMYFUNCTION("""COMPUTED_VALUE"""),"raunas")</f>
        <v>raunas</v>
      </c>
      <c r="R8" s="49">
        <f>IFERROR(__xludf.DUMMYFUNCTION("""COMPUTED_VALUE"""),12273.0)</f>
        <v>12273</v>
      </c>
      <c r="S8" s="51">
        <v>44749.24992243055</v>
      </c>
    </row>
    <row r="9">
      <c r="A9" s="43">
        <v>1.0</v>
      </c>
      <c r="B9" s="43">
        <v>4.0</v>
      </c>
      <c r="C9" s="43">
        <v>51.3009884875849</v>
      </c>
      <c r="D9" s="43">
        <v>5.78288335757156</v>
      </c>
      <c r="E9" s="43" t="s">
        <v>98</v>
      </c>
      <c r="F9" s="44" t="s">
        <v>101</v>
      </c>
      <c r="G9" s="45" t="s">
        <v>591</v>
      </c>
      <c r="H9" s="46"/>
      <c r="I9" s="11" t="b">
        <v>1</v>
      </c>
      <c r="J9" s="47" t="str">
        <f t="shared" ref="J9:J16" si="2">if(I9=true,"",S9)</f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1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IFERROR(__xludf.DUMMYFUNCTION("""COMPUTED_VALUE"""),6187.0)</f>
        <v>6187</v>
      </c>
      <c r="S9" s="51">
        <v>44357.55927262732</v>
      </c>
    </row>
    <row r="10">
      <c r="A10" s="43">
        <v>1.0</v>
      </c>
      <c r="B10" s="43">
        <v>5.0</v>
      </c>
      <c r="C10" s="43">
        <v>51.3009884873598</v>
      </c>
      <c r="D10" s="43">
        <v>5.78311324198398</v>
      </c>
      <c r="E10" s="43" t="s">
        <v>103</v>
      </c>
      <c r="F10" s="44" t="s">
        <v>592</v>
      </c>
      <c r="G10" s="45" t="s">
        <v>593</v>
      </c>
      <c r="H10" s="46"/>
      <c r="I10" s="11" t="b">
        <v>1</v>
      </c>
      <c r="J10" s="47" t="str">
        <f t="shared" si="2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1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IFERROR(__xludf.DUMMYFUNCTION("""COMPUTED_VALUE"""),"EmileP68")</f>
        <v>EmileP68</v>
      </c>
      <c r="R10" s="49">
        <f>IFERROR(__xludf.DUMMYFUNCTION("""COMPUTED_VALUE"""),5007.0)</f>
        <v>5007</v>
      </c>
      <c r="S10" s="51">
        <v>44357.55937459491</v>
      </c>
    </row>
    <row r="11">
      <c r="A11" s="43">
        <v>1.0</v>
      </c>
      <c r="B11" s="43">
        <v>6.0</v>
      </c>
      <c r="C11" s="43">
        <v>51.3009884871348</v>
      </c>
      <c r="D11" s="43">
        <v>5.7833431263964</v>
      </c>
      <c r="E11" s="43" t="s">
        <v>103</v>
      </c>
      <c r="F11" s="44" t="s">
        <v>104</v>
      </c>
      <c r="G11" s="45" t="s">
        <v>594</v>
      </c>
      <c r="H11" s="46"/>
      <c r="I11" s="11" t="b">
        <v>1</v>
      </c>
      <c r="J11" s="47" t="str">
        <f t="shared" si="2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1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IFERROR(__xludf.DUMMYFUNCTION("""COMPUTED_VALUE"""),"PawPatrolThomas")</f>
        <v>PawPatrolThomas</v>
      </c>
      <c r="R11" s="49">
        <f>IFERROR(__xludf.DUMMYFUNCTION("""COMPUTED_VALUE"""),4108.0)</f>
        <v>4108</v>
      </c>
      <c r="S11" s="51">
        <v>44357.559685706015</v>
      </c>
    </row>
    <row r="12">
      <c r="A12" s="43">
        <v>2.0</v>
      </c>
      <c r="B12" s="43">
        <v>2.0</v>
      </c>
      <c r="C12" s="43">
        <v>51.3008447575894</v>
      </c>
      <c r="D12" s="43">
        <v>5.78242356931184</v>
      </c>
      <c r="E12" s="43" t="s">
        <v>98</v>
      </c>
      <c r="F12" s="44" t="s">
        <v>110</v>
      </c>
      <c r="G12" s="45" t="s">
        <v>595</v>
      </c>
      <c r="H12" s="44"/>
      <c r="I12" s="11" t="b">
        <v>1</v>
      </c>
      <c r="J12" s="47" t="str">
        <f t="shared" si="2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1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IFERROR(__xludf.DUMMYFUNCTION("""COMPUTED_VALUE"""),5430.0)</f>
        <v>5430</v>
      </c>
      <c r="S12" s="49"/>
    </row>
    <row r="13">
      <c r="A13" s="43">
        <v>2.0</v>
      </c>
      <c r="B13" s="43">
        <v>3.0</v>
      </c>
      <c r="C13" s="43">
        <v>51.3008447573644</v>
      </c>
      <c r="D13" s="43">
        <v>5.78265345300451</v>
      </c>
      <c r="E13" s="43" t="s">
        <v>98</v>
      </c>
      <c r="F13" s="44" t="s">
        <v>112</v>
      </c>
      <c r="G13" s="45" t="s">
        <v>596</v>
      </c>
      <c r="H13" s="46"/>
      <c r="I13" s="11" t="b">
        <v>1</v>
      </c>
      <c r="J13" s="47" t="str">
        <f t="shared" si="2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1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IFERROR(__xludf.DUMMYFUNCTION("""COMPUTED_VALUE"""),3660.0)</f>
        <v>3660</v>
      </c>
      <c r="S13" s="49"/>
    </row>
    <row r="14">
      <c r="A14" s="43">
        <v>2.0</v>
      </c>
      <c r="B14" s="43">
        <v>4.0</v>
      </c>
      <c r="C14" s="43">
        <v>51.3008447571394</v>
      </c>
      <c r="D14" s="43">
        <v>5.78288333669718</v>
      </c>
      <c r="E14" s="43" t="s">
        <v>98</v>
      </c>
      <c r="F14" s="44" t="s">
        <v>114</v>
      </c>
      <c r="G14" s="45" t="s">
        <v>597</v>
      </c>
      <c r="H14" s="46"/>
      <c r="I14" s="11" t="b">
        <v>1</v>
      </c>
      <c r="J14" s="47" t="str">
        <f t="shared" si="2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1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IFERROR(__xludf.DUMMYFUNCTION("""COMPUTED_VALUE"""),13072.0)</f>
        <v>13072</v>
      </c>
      <c r="S14" s="49"/>
    </row>
    <row r="15">
      <c r="A15" s="43">
        <v>2.0</v>
      </c>
      <c r="B15" s="43">
        <v>5.0</v>
      </c>
      <c r="C15" s="43">
        <v>51.3008447569143</v>
      </c>
      <c r="D15" s="43">
        <v>5.78311322038985</v>
      </c>
      <c r="E15" s="43" t="s">
        <v>103</v>
      </c>
      <c r="F15" s="44" t="s">
        <v>116</v>
      </c>
      <c r="G15" s="45" t="s">
        <v>598</v>
      </c>
      <c r="H15" s="46"/>
      <c r="I15" s="11" t="b">
        <v>1</v>
      </c>
      <c r="J15" s="47" t="str">
        <f t="shared" si="2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1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IFERROR(__xludf.DUMMYFUNCTION("""COMPUTED_VALUE"""),5483.0)</f>
        <v>5483</v>
      </c>
      <c r="S15" s="49"/>
    </row>
    <row r="16">
      <c r="A16" s="43">
        <v>2.0</v>
      </c>
      <c r="B16" s="43">
        <v>6.0</v>
      </c>
      <c r="C16" s="43">
        <v>51.3008447566893</v>
      </c>
      <c r="D16" s="43">
        <v>5.78334310408251</v>
      </c>
      <c r="E16" s="43" t="s">
        <v>98</v>
      </c>
      <c r="F16" s="44" t="s">
        <v>120</v>
      </c>
      <c r="G16" s="45" t="s">
        <v>599</v>
      </c>
      <c r="H16" s="46"/>
      <c r="I16" s="11" t="b">
        <v>1</v>
      </c>
      <c r="J16" s="47" t="str">
        <f t="shared" si="2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1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IFERROR(__xludf.DUMMYFUNCTION("""COMPUTED_VALUE"""),"xrayneex")</f>
        <v>xrayneex</v>
      </c>
      <c r="R16" s="49">
        <f>IFERROR(__xludf.DUMMYFUNCTION("""COMPUTED_VALUE"""),2533.0)</f>
        <v>2533</v>
      </c>
      <c r="S16" s="49"/>
    </row>
    <row r="17">
      <c r="A17" s="43">
        <v>2.0</v>
      </c>
      <c r="B17" s="43">
        <v>7.0</v>
      </c>
      <c r="C17" s="43">
        <v>51.3008447564643</v>
      </c>
      <c r="D17" s="43">
        <v>5.78357298777518</v>
      </c>
      <c r="E17" s="43" t="s">
        <v>98</v>
      </c>
      <c r="F17" s="44" t="s">
        <v>122</v>
      </c>
      <c r="G17" s="45" t="s">
        <v>600</v>
      </c>
      <c r="H17" s="46"/>
      <c r="I17" s="11" t="b">
        <v>1</v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1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IFERROR(__xludf.DUMMYFUNCTION("""COMPUTED_VALUE"""),"Drazoria")</f>
        <v>Drazoria</v>
      </c>
      <c r="R17" s="49">
        <f>IFERROR(__xludf.DUMMYFUNCTION("""COMPUTED_VALUE"""),1652.0)</f>
        <v>1652</v>
      </c>
      <c r="S17" s="51">
        <v>44368.4161290162</v>
      </c>
    </row>
    <row r="18">
      <c r="A18" s="43">
        <v>3.0</v>
      </c>
      <c r="B18" s="43">
        <v>1.0</v>
      </c>
      <c r="C18" s="43">
        <v>51.300701027369</v>
      </c>
      <c r="D18" s="43">
        <v>5.78219366690268</v>
      </c>
      <c r="E18" s="43" t="s">
        <v>98</v>
      </c>
      <c r="F18" s="44" t="s">
        <v>124</v>
      </c>
      <c r="G18" s="45" t="s">
        <v>601</v>
      </c>
      <c r="H18" s="46"/>
      <c r="I18" s="11" t="b">
        <v>1</v>
      </c>
      <c r="J18" s="47" t="str">
        <f t="shared" ref="J18:J31" si="3">if(I18=true,"",S18)</f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1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IFERROR(__xludf.DUMMYFUNCTION("""COMPUTED_VALUE"""),"Tinake1309")</f>
        <v>Tinake1309</v>
      </c>
      <c r="R18" s="49">
        <f>IFERROR(__xludf.DUMMYFUNCTION("""COMPUTED_VALUE"""),1667.0)</f>
        <v>1667</v>
      </c>
      <c r="S18" s="49"/>
    </row>
    <row r="19">
      <c r="A19" s="43">
        <v>3.0</v>
      </c>
      <c r="B19" s="43">
        <v>2.0</v>
      </c>
      <c r="C19" s="43">
        <v>51.300701027144</v>
      </c>
      <c r="D19" s="43">
        <v>5.78242354987548</v>
      </c>
      <c r="E19" s="43" t="s">
        <v>98</v>
      </c>
      <c r="F19" s="44" t="s">
        <v>126</v>
      </c>
      <c r="G19" s="45" t="s">
        <v>602</v>
      </c>
      <c r="H19" s="46"/>
      <c r="I19" s="11" t="b">
        <v>1</v>
      </c>
      <c r="J19" s="47" t="str">
        <f t="shared" si="3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1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IFERROR(__xludf.DUMMYFUNCTION("""COMPUTED_VALUE"""),"Berg14")</f>
        <v>Berg14</v>
      </c>
      <c r="R19" s="49">
        <f>IFERROR(__xludf.DUMMYFUNCTION("""COMPUTED_VALUE"""),1574.0)</f>
        <v>1574</v>
      </c>
      <c r="S19" s="49"/>
    </row>
    <row r="20">
      <c r="A20" s="43">
        <v>3.0</v>
      </c>
      <c r="B20" s="43">
        <v>3.0</v>
      </c>
      <c r="C20" s="43">
        <v>51.3007010269189</v>
      </c>
      <c r="D20" s="43">
        <v>5.78265343284829</v>
      </c>
      <c r="E20" s="43" t="s">
        <v>98</v>
      </c>
      <c r="F20" s="44" t="s">
        <v>128</v>
      </c>
      <c r="G20" s="45" t="s">
        <v>603</v>
      </c>
      <c r="H20" s="46"/>
      <c r="I20" s="11" t="b">
        <v>1</v>
      </c>
      <c r="J20" s="47" t="str">
        <f t="shared" si="3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1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IFERROR(__xludf.DUMMYFUNCTION("""COMPUTED_VALUE"""),"Niks13")</f>
        <v>Niks13</v>
      </c>
      <c r="R20" s="49">
        <f>IFERROR(__xludf.DUMMYFUNCTION("""COMPUTED_VALUE"""),1560.0)</f>
        <v>1560</v>
      </c>
      <c r="S20" s="49"/>
    </row>
    <row r="21">
      <c r="A21" s="43">
        <v>3.0</v>
      </c>
      <c r="B21" s="43">
        <v>4.0</v>
      </c>
      <c r="C21" s="43">
        <v>51.3007010266939</v>
      </c>
      <c r="D21" s="43">
        <v>5.78288331582109</v>
      </c>
      <c r="E21" s="43" t="s">
        <v>98</v>
      </c>
      <c r="F21" s="44" t="s">
        <v>130</v>
      </c>
      <c r="G21" s="45" t="s">
        <v>604</v>
      </c>
      <c r="H21" s="46"/>
      <c r="I21" s="11" t="b">
        <v>1</v>
      </c>
      <c r="J21" s="47" t="str">
        <f t="shared" si="3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1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IFERROR(__xludf.DUMMYFUNCTION("""COMPUTED_VALUE"""),"lupo6")</f>
        <v>lupo6</v>
      </c>
      <c r="R21" s="49">
        <f>IFERROR(__xludf.DUMMYFUNCTION("""COMPUTED_VALUE"""),6721.0)</f>
        <v>6721</v>
      </c>
      <c r="S21" s="49"/>
    </row>
    <row r="22">
      <c r="A22" s="43">
        <v>3.0</v>
      </c>
      <c r="B22" s="43">
        <v>5.0</v>
      </c>
      <c r="C22" s="43">
        <v>51.3007010264689</v>
      </c>
      <c r="D22" s="43">
        <v>5.78311319879389</v>
      </c>
      <c r="E22" s="43" t="s">
        <v>98</v>
      </c>
      <c r="F22" s="44" t="s">
        <v>157</v>
      </c>
      <c r="G22" s="45" t="s">
        <v>605</v>
      </c>
      <c r="H22" s="46"/>
      <c r="I22" s="11" t="b">
        <v>1</v>
      </c>
      <c r="J22" s="47" t="str">
        <f t="shared" si="3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1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IFERROR(__xludf.DUMMYFUNCTION("""COMPUTED_VALUE"""),"barefootguru")</f>
        <v>barefootguru</v>
      </c>
      <c r="R22" s="49">
        <f>IFERROR(__xludf.DUMMYFUNCTION("""COMPUTED_VALUE"""),4194.0)</f>
        <v>4194</v>
      </c>
      <c r="S22" s="49"/>
    </row>
    <row r="23">
      <c r="A23" s="43">
        <v>3.0</v>
      </c>
      <c r="B23" s="43">
        <v>6.0</v>
      </c>
      <c r="C23" s="43">
        <v>51.3007010262439</v>
      </c>
      <c r="D23" s="43">
        <v>5.7833430817667</v>
      </c>
      <c r="E23" s="43" t="s">
        <v>98</v>
      </c>
      <c r="F23" s="44" t="s">
        <v>606</v>
      </c>
      <c r="G23" s="45" t="s">
        <v>607</v>
      </c>
      <c r="H23" s="46"/>
      <c r="I23" s="11" t="b">
        <v>1</v>
      </c>
      <c r="J23" s="47" t="str">
        <f t="shared" si="3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1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IFERROR(__xludf.DUMMYFUNCTION("""COMPUTED_VALUE"""),"Arendsoog")</f>
        <v>Arendsoog</v>
      </c>
      <c r="R23" s="49">
        <f>IFERROR(__xludf.DUMMYFUNCTION("""COMPUTED_VALUE"""),8882.0)</f>
        <v>8882</v>
      </c>
      <c r="S23" s="49"/>
    </row>
    <row r="24">
      <c r="A24" s="43">
        <v>3.0</v>
      </c>
      <c r="B24" s="43">
        <v>7.0</v>
      </c>
      <c r="C24" s="43">
        <v>51.3007010260188</v>
      </c>
      <c r="D24" s="43">
        <v>5.7835729647395</v>
      </c>
      <c r="E24" s="43" t="s">
        <v>98</v>
      </c>
      <c r="F24" s="44" t="s">
        <v>608</v>
      </c>
      <c r="G24" s="45" t="s">
        <v>609</v>
      </c>
      <c r="H24" s="46"/>
      <c r="I24" s="11" t="b">
        <v>1</v>
      </c>
      <c r="J24" s="47" t="str">
        <f t="shared" si="3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1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IFERROR(__xludf.DUMMYFUNCTION("""COMPUTED_VALUE"""),"Andrew81")</f>
        <v>Andrew81</v>
      </c>
      <c r="R24" s="49">
        <f>IFERROR(__xludf.DUMMYFUNCTION("""COMPUTED_VALUE"""),1593.0)</f>
        <v>1593</v>
      </c>
      <c r="S24" s="49"/>
    </row>
    <row r="25">
      <c r="A25" s="43">
        <v>3.0</v>
      </c>
      <c r="B25" s="43">
        <v>8.0</v>
      </c>
      <c r="C25" s="43">
        <v>51.3007010257938</v>
      </c>
      <c r="D25" s="43">
        <v>5.7838028477123</v>
      </c>
      <c r="E25" s="43" t="s">
        <v>98</v>
      </c>
      <c r="F25" s="44" t="s">
        <v>610</v>
      </c>
      <c r="G25" s="45" t="s">
        <v>611</v>
      </c>
      <c r="H25" s="46"/>
      <c r="I25" s="11" t="b">
        <v>1</v>
      </c>
      <c r="J25" s="47" t="str">
        <f t="shared" si="3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1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IFERROR(__xludf.DUMMYFUNCTION("""COMPUTED_VALUE"""),"Outlander21")</f>
        <v>Outlander21</v>
      </c>
      <c r="R25" s="49">
        <f>IFERROR(__xludf.DUMMYFUNCTION("""COMPUTED_VALUE"""),121.0)</f>
        <v>121</v>
      </c>
      <c r="S25" s="49"/>
    </row>
    <row r="26">
      <c r="A26" s="43">
        <v>4.0</v>
      </c>
      <c r="B26" s="43">
        <v>1.0</v>
      </c>
      <c r="C26" s="43">
        <v>51.3005572969236</v>
      </c>
      <c r="D26" s="43">
        <v>5.78219364818915</v>
      </c>
      <c r="E26" s="43" t="s">
        <v>98</v>
      </c>
      <c r="F26" s="44" t="s">
        <v>606</v>
      </c>
      <c r="G26" s="45" t="s">
        <v>612</v>
      </c>
      <c r="H26" s="46"/>
      <c r="I26" s="11" t="b">
        <v>1</v>
      </c>
      <c r="J26" s="47" t="str">
        <f t="shared" si="3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1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IFERROR(__xludf.DUMMYFUNCTION("""COMPUTED_VALUE"""),"Arendsoog")</f>
        <v>Arendsoog</v>
      </c>
      <c r="R26" s="49">
        <f>IFERROR(__xludf.DUMMYFUNCTION("""COMPUTED_VALUE"""),8883.0)</f>
        <v>8883</v>
      </c>
      <c r="S26" s="49"/>
    </row>
    <row r="27">
      <c r="A27" s="43">
        <v>4.0</v>
      </c>
      <c r="B27" s="43">
        <v>2.0</v>
      </c>
      <c r="C27" s="43">
        <v>51.3005572966986</v>
      </c>
      <c r="D27" s="43">
        <v>5.7824235304422</v>
      </c>
      <c r="E27" s="43" t="s">
        <v>103</v>
      </c>
      <c r="F27" s="44" t="s">
        <v>613</v>
      </c>
      <c r="G27" s="45" t="s">
        <v>614</v>
      </c>
      <c r="H27" s="46"/>
      <c r="I27" s="11" t="b">
        <v>1</v>
      </c>
      <c r="J27" s="47" t="str">
        <f t="shared" si="3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1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IFERROR(__xludf.DUMMYFUNCTION("""COMPUTED_VALUE"""),"Kastella")</f>
        <v>Kastella</v>
      </c>
      <c r="R27" s="49">
        <f>IFERROR(__xludf.DUMMYFUNCTION("""COMPUTED_VALUE"""),169.0)</f>
        <v>169</v>
      </c>
      <c r="S27" s="49"/>
    </row>
    <row r="28">
      <c r="A28" s="43">
        <v>4.0</v>
      </c>
      <c r="B28" s="43">
        <v>3.0</v>
      </c>
      <c r="C28" s="43">
        <v>51.3005572964735</v>
      </c>
      <c r="D28" s="43">
        <v>5.78265341269514</v>
      </c>
      <c r="E28" s="43" t="s">
        <v>98</v>
      </c>
      <c r="F28" s="44" t="s">
        <v>608</v>
      </c>
      <c r="G28" s="45" t="s">
        <v>615</v>
      </c>
      <c r="H28" s="46"/>
      <c r="I28" s="11" t="b">
        <v>1</v>
      </c>
      <c r="J28" s="47" t="str">
        <f t="shared" si="3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1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IFERROR(__xludf.DUMMYFUNCTION("""COMPUTED_VALUE"""),"Andrew81")</f>
        <v>Andrew81</v>
      </c>
      <c r="R28" s="49">
        <f>IFERROR(__xludf.DUMMYFUNCTION("""COMPUTED_VALUE"""),1600.0)</f>
        <v>1600</v>
      </c>
      <c r="S28" s="49"/>
    </row>
    <row r="29">
      <c r="A29" s="43">
        <v>4.0</v>
      </c>
      <c r="B29" s="43">
        <v>4.0</v>
      </c>
      <c r="C29" s="43">
        <v>51.3005572962485</v>
      </c>
      <c r="D29" s="43">
        <v>5.78288329494807</v>
      </c>
      <c r="E29" s="43" t="s">
        <v>98</v>
      </c>
      <c r="F29" s="44" t="s">
        <v>610</v>
      </c>
      <c r="G29" s="45" t="s">
        <v>616</v>
      </c>
      <c r="H29" s="46"/>
      <c r="I29" s="11" t="b">
        <v>1</v>
      </c>
      <c r="J29" s="47" t="str">
        <f t="shared" si="3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1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IFERROR(__xludf.DUMMYFUNCTION("""COMPUTED_VALUE"""),"Outlander21")</f>
        <v>Outlander21</v>
      </c>
      <c r="R29" s="49">
        <f>IFERROR(__xludf.DUMMYFUNCTION("""COMPUTED_VALUE"""),139.0)</f>
        <v>139</v>
      </c>
      <c r="S29" s="49"/>
    </row>
    <row r="30">
      <c r="A30" s="43">
        <v>4.0</v>
      </c>
      <c r="B30" s="43">
        <v>5.0</v>
      </c>
      <c r="C30" s="43">
        <v>51.3005572960235</v>
      </c>
      <c r="D30" s="43">
        <v>5.78311317720101</v>
      </c>
      <c r="E30" s="43" t="s">
        <v>98</v>
      </c>
      <c r="F30" s="44" t="s">
        <v>613</v>
      </c>
      <c r="G30" s="45" t="s">
        <v>617</v>
      </c>
      <c r="H30" s="46"/>
      <c r="I30" s="11" t="b">
        <v>1</v>
      </c>
      <c r="J30" s="47" t="str">
        <f t="shared" si="3"/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1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IFERROR(__xludf.DUMMYFUNCTION("""COMPUTED_VALUE"""),"Kastella")</f>
        <v>Kastella</v>
      </c>
      <c r="R30" s="49">
        <f>IFERROR(__xludf.DUMMYFUNCTION("""COMPUTED_VALUE"""),181.0)</f>
        <v>181</v>
      </c>
      <c r="S30" s="49"/>
    </row>
    <row r="31">
      <c r="A31" s="43">
        <v>4.0</v>
      </c>
      <c r="B31" s="43">
        <v>6.0</v>
      </c>
      <c r="C31" s="43">
        <v>51.3005572957984</v>
      </c>
      <c r="D31" s="43">
        <v>5.78334305945395</v>
      </c>
      <c r="E31" s="43" t="s">
        <v>103</v>
      </c>
      <c r="F31" s="44" t="s">
        <v>132</v>
      </c>
      <c r="G31" s="45" t="s">
        <v>618</v>
      </c>
      <c r="H31" s="46"/>
      <c r="I31" s="11" t="b">
        <v>1</v>
      </c>
      <c r="J31" s="47" t="str">
        <f t="shared" si="3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1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IFERROR(__xludf.DUMMYFUNCTION("""COMPUTED_VALUE"""),"crscousins")</f>
        <v>crscousins</v>
      </c>
      <c r="R31" s="49">
        <f>IFERROR(__xludf.DUMMYFUNCTION("""COMPUTED_VALUE"""),7576.0)</f>
        <v>7576</v>
      </c>
      <c r="S31" s="49"/>
    </row>
    <row r="32">
      <c r="A32" s="43">
        <v>4.0</v>
      </c>
      <c r="B32" s="43">
        <v>7.0</v>
      </c>
      <c r="C32" s="43">
        <v>51.3005572955734</v>
      </c>
      <c r="D32" s="43">
        <v>5.78357294170689</v>
      </c>
      <c r="E32" s="43" t="s">
        <v>98</v>
      </c>
      <c r="F32" s="44" t="s">
        <v>108</v>
      </c>
      <c r="G32" s="52" t="s">
        <v>619</v>
      </c>
      <c r="H32" s="46"/>
      <c r="I32" s="11" t="b">
        <v>1</v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1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IFERROR(__xludf.DUMMYFUNCTION("""COMPUTED_VALUE"""),"Bungle")</f>
        <v>Bungle</v>
      </c>
      <c r="R32" s="49">
        <f>IFERROR(__xludf.DUMMYFUNCTION("""COMPUTED_VALUE"""),11159.0)</f>
        <v>11159</v>
      </c>
      <c r="S32" s="51">
        <v>44698.60892506945</v>
      </c>
    </row>
    <row r="33">
      <c r="A33" s="43">
        <v>4.0</v>
      </c>
      <c r="B33" s="43">
        <v>8.0</v>
      </c>
      <c r="C33" s="43">
        <v>51.3005572953484</v>
      </c>
      <c r="D33" s="43">
        <v>5.78380282395983</v>
      </c>
      <c r="E33" s="43" t="s">
        <v>98</v>
      </c>
      <c r="F33" s="44" t="s">
        <v>534</v>
      </c>
      <c r="G33" s="45" t="s">
        <v>620</v>
      </c>
      <c r="H33" s="46"/>
      <c r="I33" s="11" t="b">
        <v>1</v>
      </c>
      <c r="J33" s="47" t="str">
        <f t="shared" ref="J33:J40" si="4">if(I33=true,"",S33)</f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1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IFERROR(__xludf.DUMMYFUNCTION("""COMPUTED_VALUE"""),"Girlteddy5")</f>
        <v>Girlteddy5</v>
      </c>
      <c r="R33" s="49">
        <f>IFERROR(__xludf.DUMMYFUNCTION("""COMPUTED_VALUE"""),29.0)</f>
        <v>29</v>
      </c>
      <c r="S33" s="49"/>
    </row>
    <row r="34">
      <c r="A34" s="43">
        <v>5.0</v>
      </c>
      <c r="B34" s="43">
        <v>1.0</v>
      </c>
      <c r="C34" s="43">
        <v>51.3004135664781</v>
      </c>
      <c r="D34" s="43">
        <v>5.78219362947265</v>
      </c>
      <c r="E34" s="43" t="s">
        <v>103</v>
      </c>
      <c r="F34" s="44" t="s">
        <v>621</v>
      </c>
      <c r="G34" s="45" t="s">
        <v>622</v>
      </c>
      <c r="H34" s="46"/>
      <c r="I34" s="11" t="b">
        <v>1</v>
      </c>
      <c r="J34" s="47" t="str">
        <f t="shared" si="4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1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IFERROR(__xludf.DUMMYFUNCTION("""COMPUTED_VALUE"""),"djeagle")</f>
        <v>djeagle</v>
      </c>
      <c r="R34" s="49">
        <f>IFERROR(__xludf.DUMMYFUNCTION("""COMPUTED_VALUE"""),7602.0)</f>
        <v>7602</v>
      </c>
      <c r="S34" s="49"/>
    </row>
    <row r="35">
      <c r="A35" s="43">
        <v>5.0</v>
      </c>
      <c r="B35" s="43">
        <v>2.0</v>
      </c>
      <c r="C35" s="43">
        <v>51.3004135662531</v>
      </c>
      <c r="D35" s="43">
        <v>5.78242351100584</v>
      </c>
      <c r="E35" s="43" t="s">
        <v>98</v>
      </c>
      <c r="F35" s="44" t="s">
        <v>141</v>
      </c>
      <c r="G35" s="45" t="s">
        <v>623</v>
      </c>
      <c r="H35" s="46"/>
      <c r="I35" s="11" t="b">
        <v>1</v>
      </c>
      <c r="J35" s="47" t="str">
        <f t="shared" si="4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1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IFERROR(__xludf.DUMMYFUNCTION("""COMPUTED_VALUE"""),3782.0)</f>
        <v>3782</v>
      </c>
      <c r="S35" s="49"/>
    </row>
    <row r="36">
      <c r="A36" s="43">
        <v>5.0</v>
      </c>
      <c r="B36" s="43">
        <v>3.0</v>
      </c>
      <c r="C36" s="43">
        <v>51.3004135660281</v>
      </c>
      <c r="D36" s="43">
        <v>5.78265339253903</v>
      </c>
      <c r="E36" s="43" t="s">
        <v>103</v>
      </c>
      <c r="F36" s="44" t="s">
        <v>136</v>
      </c>
      <c r="G36" s="45" t="s">
        <v>624</v>
      </c>
      <c r="H36" s="46"/>
      <c r="I36" s="11" t="b">
        <v>1</v>
      </c>
      <c r="J36" s="47" t="str">
        <f t="shared" si="4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1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IFERROR(__xludf.DUMMYFUNCTION("""COMPUTED_VALUE"""),"OdinsFiRe")</f>
        <v>OdinsFiRe</v>
      </c>
      <c r="R36" s="49">
        <f>IFERROR(__xludf.DUMMYFUNCTION("""COMPUTED_VALUE"""),2075.0)</f>
        <v>2075</v>
      </c>
      <c r="S36" s="49"/>
    </row>
    <row r="37">
      <c r="A37" s="43">
        <v>5.0</v>
      </c>
      <c r="B37" s="43">
        <v>4.0</v>
      </c>
      <c r="C37" s="43">
        <v>51.3004135658031</v>
      </c>
      <c r="D37" s="43">
        <v>5.78288327407221</v>
      </c>
      <c r="E37" s="43" t="s">
        <v>98</v>
      </c>
      <c r="F37" s="44" t="s">
        <v>621</v>
      </c>
      <c r="G37" s="52" t="s">
        <v>625</v>
      </c>
      <c r="H37" s="46"/>
      <c r="I37" s="11" t="b">
        <v>1</v>
      </c>
      <c r="J37" s="47" t="str">
        <f t="shared" si="4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1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IFERROR(__xludf.DUMMYFUNCTION("""COMPUTED_VALUE"""),"djeagle")</f>
        <v>djeagle</v>
      </c>
      <c r="R37" s="49">
        <f>IFERROR(__xludf.DUMMYFUNCTION("""COMPUTED_VALUE"""),7567.0)</f>
        <v>7567</v>
      </c>
      <c r="S37" s="49"/>
    </row>
    <row r="38">
      <c r="A38" s="43">
        <v>5.0</v>
      </c>
      <c r="B38" s="43">
        <v>5.0</v>
      </c>
      <c r="C38" s="43">
        <v>51.300413565578</v>
      </c>
      <c r="D38" s="43">
        <v>5.7831131556054</v>
      </c>
      <c r="E38" s="43" t="s">
        <v>98</v>
      </c>
      <c r="F38" s="44" t="s">
        <v>243</v>
      </c>
      <c r="G38" s="45" t="s">
        <v>626</v>
      </c>
      <c r="H38" s="46"/>
      <c r="I38" s="11" t="b">
        <v>1</v>
      </c>
      <c r="J38" s="47" t="str">
        <f t="shared" si="4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1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IFERROR(__xludf.DUMMYFUNCTION("""COMPUTED_VALUE"""),"Aniara")</f>
        <v>Aniara</v>
      </c>
      <c r="R38" s="49">
        <f>IFERROR(__xludf.DUMMYFUNCTION("""COMPUTED_VALUE"""),17554.0)</f>
        <v>17554</v>
      </c>
      <c r="S38" s="49"/>
    </row>
    <row r="39">
      <c r="A39" s="43">
        <v>5.0</v>
      </c>
      <c r="B39" s="43">
        <v>6.0</v>
      </c>
      <c r="C39" s="43">
        <v>51.300413565353</v>
      </c>
      <c r="D39" s="43">
        <v>5.78334303713859</v>
      </c>
      <c r="E39" s="43" t="s">
        <v>98</v>
      </c>
      <c r="F39" s="44" t="s">
        <v>118</v>
      </c>
      <c r="G39" s="45" t="s">
        <v>627</v>
      </c>
      <c r="H39" s="44" t="s">
        <v>203</v>
      </c>
      <c r="I39" s="11" t="b">
        <v>1</v>
      </c>
      <c r="J39" s="47" t="str">
        <f t="shared" si="4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1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IFERROR(__xludf.DUMMYFUNCTION("""COMPUTED_VALUE"""),"rita85gto")</f>
        <v>rita85gto</v>
      </c>
      <c r="R39" s="49">
        <f>IFERROR(__xludf.DUMMYFUNCTION("""COMPUTED_VALUE"""),5143.0)</f>
        <v>5143</v>
      </c>
      <c r="S39" s="49"/>
    </row>
    <row r="40">
      <c r="A40" s="43">
        <v>5.0</v>
      </c>
      <c r="B40" s="43">
        <v>7.0</v>
      </c>
      <c r="C40" s="43">
        <v>51.300413565128</v>
      </c>
      <c r="D40" s="43">
        <v>5.78357291867178</v>
      </c>
      <c r="E40" s="43" t="s">
        <v>98</v>
      </c>
      <c r="F40" s="44" t="s">
        <v>621</v>
      </c>
      <c r="G40" s="45" t="s">
        <v>628</v>
      </c>
      <c r="H40" s="46"/>
      <c r="I40" s="11" t="b">
        <v>1</v>
      </c>
      <c r="J40" s="47" t="str">
        <f t="shared" si="4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1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IFERROR(__xludf.DUMMYFUNCTION("""COMPUTED_VALUE"""),"djeagle")</f>
        <v>djeagle</v>
      </c>
      <c r="R40" s="49">
        <f>IFERROR(__xludf.DUMMYFUNCTION("""COMPUTED_VALUE"""),7566.0)</f>
        <v>7566</v>
      </c>
      <c r="S40" s="49"/>
    </row>
    <row r="41">
      <c r="A41" s="55">
        <v>5.0</v>
      </c>
      <c r="B41" s="55">
        <v>8.0</v>
      </c>
      <c r="C41" s="11">
        <v>51.3004135649029</v>
      </c>
      <c r="D41" s="11">
        <v>5.78380280020496</v>
      </c>
      <c r="E41" s="55" t="s">
        <v>98</v>
      </c>
      <c r="F41" s="44" t="s">
        <v>629</v>
      </c>
      <c r="G41" s="68" t="s">
        <v>630</v>
      </c>
      <c r="H41" s="46"/>
      <c r="I41" s="47" t="b">
        <v>0</v>
      </c>
      <c r="K41" s="48" t="str">
        <f>IFERROR(__xludf.DUMMYFUNCTION("IF(M41=1,IFERROR(TRIM(IMPORTXML(G41, ""//p[@class='status-date']"")), ""Not deployed""),"""")"),"Deployed")</f>
        <v>Deployed</v>
      </c>
      <c r="L41" s="48"/>
      <c r="M41" s="48">
        <f t="shared" si="1"/>
        <v>1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IFERROR(__xludf.DUMMYFUNCTION("""COMPUTED_VALUE"""),"IggiePiggie")</f>
        <v>IggiePiggie</v>
      </c>
      <c r="R41" s="49">
        <f>IFERROR(__xludf.DUMMYFUNCTION("""COMPUTED_VALUE"""),11108.0)</f>
        <v>11108</v>
      </c>
      <c r="S41" s="51">
        <v>44934.672433287036</v>
      </c>
    </row>
    <row r="42">
      <c r="A42" s="43">
        <v>6.0</v>
      </c>
      <c r="B42" s="43">
        <v>1.0</v>
      </c>
      <c r="C42" s="43">
        <v>51.3002698360327</v>
      </c>
      <c r="D42" s="43">
        <v>5.78219361075616</v>
      </c>
      <c r="E42" s="43" t="s">
        <v>98</v>
      </c>
      <c r="F42" s="44" t="s">
        <v>149</v>
      </c>
      <c r="G42" s="45" t="s">
        <v>631</v>
      </c>
      <c r="H42" s="46"/>
      <c r="I42" s="11" t="b">
        <v>1</v>
      </c>
      <c r="J42" s="47" t="str">
        <f t="shared" ref="J42:J57" si="5">if(I42=true,"",S42)</f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1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IFERROR(__xludf.DUMMYFUNCTION("""COMPUTED_VALUE"""),7258.0)</f>
        <v>7258</v>
      </c>
      <c r="S42" s="49"/>
    </row>
    <row r="43">
      <c r="A43" s="43">
        <v>6.0</v>
      </c>
      <c r="B43" s="43">
        <v>2.0</v>
      </c>
      <c r="C43" s="43">
        <v>51.3002698358077</v>
      </c>
      <c r="D43" s="43">
        <v>5.78242349156948</v>
      </c>
      <c r="E43" s="43" t="s">
        <v>98</v>
      </c>
      <c r="F43" s="44" t="s">
        <v>151</v>
      </c>
      <c r="G43" s="52" t="s">
        <v>632</v>
      </c>
      <c r="H43" s="46"/>
      <c r="I43" s="11" t="b">
        <v>1</v>
      </c>
      <c r="J43" s="47" t="str">
        <f t="shared" si="5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1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IFERROR(__xludf.DUMMYFUNCTION("""COMPUTED_VALUE"""),"res2100")</f>
        <v>res2100</v>
      </c>
      <c r="R43" s="49">
        <f>IFERROR(__xludf.DUMMYFUNCTION("""COMPUTED_VALUE"""),836.0)</f>
        <v>836</v>
      </c>
      <c r="S43" s="49"/>
    </row>
    <row r="44">
      <c r="A44" s="43">
        <v>6.0</v>
      </c>
      <c r="B44" s="43">
        <v>3.0</v>
      </c>
      <c r="C44" s="43">
        <v>51.3002698355827</v>
      </c>
      <c r="D44" s="43">
        <v>5.78265337238281</v>
      </c>
      <c r="E44" s="43" t="s">
        <v>103</v>
      </c>
      <c r="F44" s="44" t="s">
        <v>155</v>
      </c>
      <c r="G44" s="52" t="s">
        <v>633</v>
      </c>
      <c r="H44" s="46"/>
      <c r="I44" s="11" t="b">
        <v>1</v>
      </c>
      <c r="J44" s="47" t="str">
        <f t="shared" si="5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1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IFERROR(__xludf.DUMMYFUNCTION("""COMPUTED_VALUE"""),"Ellesche")</f>
        <v>Ellesche</v>
      </c>
      <c r="R44" s="49">
        <f>IFERROR(__xludf.DUMMYFUNCTION("""COMPUTED_VALUE"""),797.0)</f>
        <v>797</v>
      </c>
      <c r="S44" s="49"/>
    </row>
    <row r="45">
      <c r="A45" s="43">
        <v>6.0</v>
      </c>
      <c r="B45" s="43">
        <v>4.0</v>
      </c>
      <c r="C45" s="43">
        <v>51.3002698353576</v>
      </c>
      <c r="D45" s="43">
        <v>5.78288325319613</v>
      </c>
      <c r="E45" s="43" t="s">
        <v>98</v>
      </c>
      <c r="F45" s="44" t="s">
        <v>606</v>
      </c>
      <c r="G45" s="52" t="s">
        <v>634</v>
      </c>
      <c r="H45" s="46"/>
      <c r="I45" s="11" t="b">
        <v>1</v>
      </c>
      <c r="J45" s="47" t="str">
        <f t="shared" si="5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1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IFERROR(__xludf.DUMMYFUNCTION("""COMPUTED_VALUE"""),"Arendsoog")</f>
        <v>Arendsoog</v>
      </c>
      <c r="R45" s="49">
        <f>IFERROR(__xludf.DUMMYFUNCTION("""COMPUTED_VALUE"""),9057.0)</f>
        <v>9057</v>
      </c>
      <c r="S45" s="49"/>
    </row>
    <row r="46">
      <c r="A46" s="43">
        <v>6.0</v>
      </c>
      <c r="B46" s="43">
        <v>5.0</v>
      </c>
      <c r="C46" s="43">
        <v>51.3002698351326</v>
      </c>
      <c r="D46" s="43">
        <v>5.78311313400945</v>
      </c>
      <c r="E46" s="43" t="s">
        <v>98</v>
      </c>
      <c r="F46" s="44" t="s">
        <v>314</v>
      </c>
      <c r="G46" s="45" t="s">
        <v>635</v>
      </c>
      <c r="H46" s="46"/>
      <c r="I46" s="11" t="b">
        <v>1</v>
      </c>
      <c r="J46" s="47" t="str">
        <f t="shared" si="5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1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IFERROR(__xludf.DUMMYFUNCTION("""COMPUTED_VALUE"""),"Trappertje")</f>
        <v>Trappertje</v>
      </c>
      <c r="R46" s="49">
        <f>IFERROR(__xludf.DUMMYFUNCTION("""COMPUTED_VALUE"""),15205.0)</f>
        <v>15205</v>
      </c>
      <c r="S46" s="49"/>
    </row>
    <row r="47">
      <c r="A47" s="55">
        <v>6.0</v>
      </c>
      <c r="B47" s="55">
        <v>6.0</v>
      </c>
      <c r="C47" s="11">
        <v>51.3002698349076</v>
      </c>
      <c r="D47" s="11">
        <v>5.78334301482277</v>
      </c>
      <c r="E47" s="55" t="s">
        <v>103</v>
      </c>
      <c r="F47" s="46"/>
      <c r="G47" s="46"/>
      <c r="H47" s="46"/>
      <c r="I47" s="11" t="b">
        <v>0</v>
      </c>
      <c r="J47" s="47" t="str">
        <f t="shared" si="5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1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51.3002698346826</v>
      </c>
      <c r="D48" s="43">
        <v>5.78357289563609</v>
      </c>
      <c r="E48" s="43" t="s">
        <v>98</v>
      </c>
      <c r="F48" s="44" t="s">
        <v>145</v>
      </c>
      <c r="G48" s="45" t="s">
        <v>636</v>
      </c>
      <c r="H48" s="46"/>
      <c r="I48" s="11" t="b">
        <v>1</v>
      </c>
      <c r="J48" s="47" t="str">
        <f t="shared" si="5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1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IFERROR(__xludf.DUMMYFUNCTION("""COMPUTED_VALUE"""),6336.0)</f>
        <v>6336</v>
      </c>
      <c r="S48" s="51">
        <v>44357.55939833334</v>
      </c>
    </row>
    <row r="49">
      <c r="A49" s="43">
        <v>6.0</v>
      </c>
      <c r="B49" s="43">
        <v>8.0</v>
      </c>
      <c r="C49" s="43">
        <v>51.3002698344575</v>
      </c>
      <c r="D49" s="43">
        <v>5.78380277644942</v>
      </c>
      <c r="E49" s="43" t="s">
        <v>98</v>
      </c>
      <c r="F49" s="44" t="s">
        <v>147</v>
      </c>
      <c r="G49" s="52" t="s">
        <v>637</v>
      </c>
      <c r="H49" s="46"/>
      <c r="I49" s="11" t="b">
        <v>1</v>
      </c>
      <c r="J49" s="47" t="str">
        <f t="shared" si="5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1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IFERROR(__xludf.DUMMYFUNCTION("""COMPUTED_VALUE"""),13708.0)</f>
        <v>13708</v>
      </c>
      <c r="S49" s="51">
        <v>44357.55946481481</v>
      </c>
    </row>
    <row r="50">
      <c r="A50" s="55">
        <v>7.0</v>
      </c>
      <c r="B50" s="55">
        <v>2.0</v>
      </c>
      <c r="C50" s="11">
        <v>51.3001261053623</v>
      </c>
      <c r="D50" s="11">
        <v>5.7824234721362</v>
      </c>
      <c r="E50" s="55" t="s">
        <v>103</v>
      </c>
      <c r="F50" s="46"/>
      <c r="G50" s="46"/>
      <c r="H50" s="46"/>
      <c r="I50" s="47" t="b">
        <v>0</v>
      </c>
      <c r="J50" s="47" t="str">
        <f t="shared" si="5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1"/>
        <v>0</v>
      </c>
      <c r="N50" s="49" t="str">
        <f>IFERROR(__xludf.DUMMYFUNCTION("split(G50,""/"")"),"#VALUE!")</f>
        <v>#VALUE!</v>
      </c>
      <c r="O50" s="57"/>
      <c r="P50" s="49"/>
      <c r="Q50" s="49"/>
      <c r="R50" s="49"/>
      <c r="S50" s="49"/>
    </row>
    <row r="51">
      <c r="A51" s="55">
        <v>7.0</v>
      </c>
      <c r="B51" s="55">
        <v>3.0</v>
      </c>
      <c r="C51" s="11">
        <v>51.3001261051372</v>
      </c>
      <c r="D51" s="11">
        <v>5.78265335222977</v>
      </c>
      <c r="E51" s="55" t="s">
        <v>98</v>
      </c>
      <c r="F51" s="46"/>
      <c r="G51" s="46"/>
      <c r="H51" s="46"/>
      <c r="I51" s="47" t="b">
        <v>0</v>
      </c>
      <c r="J51" s="47" t="str">
        <f t="shared" si="5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1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11">
        <v>51.3001261049122</v>
      </c>
      <c r="D52" s="11">
        <v>5.78288323232334</v>
      </c>
      <c r="E52" s="55" t="s">
        <v>98</v>
      </c>
      <c r="F52" s="44"/>
      <c r="G52" s="46"/>
      <c r="H52" s="46"/>
      <c r="I52" s="47" t="b">
        <v>0</v>
      </c>
      <c r="J52" s="47" t="str">
        <f t="shared" si="5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1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43">
        <v>7.0</v>
      </c>
      <c r="B53" s="43">
        <v>5.0</v>
      </c>
      <c r="C53" s="43">
        <v>51.3001261046872</v>
      </c>
      <c r="D53" s="43">
        <v>5.78311311241691</v>
      </c>
      <c r="E53" s="43" t="s">
        <v>98</v>
      </c>
      <c r="F53" s="44" t="s">
        <v>138</v>
      </c>
      <c r="G53" s="45" t="s">
        <v>638</v>
      </c>
      <c r="H53" s="46"/>
      <c r="I53" s="11" t="b">
        <v>1</v>
      </c>
      <c r="J53" s="47" t="str">
        <f t="shared" si="5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1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IFERROR(__xludf.DUMMYFUNCTION("""COMPUTED_VALUE"""),"Anetzet")</f>
        <v>Anetzet</v>
      </c>
      <c r="R53" s="49">
        <f>IFERROR(__xludf.DUMMYFUNCTION("""COMPUTED_VALUE"""),4696.0)</f>
        <v>4696</v>
      </c>
      <c r="S53" s="49"/>
    </row>
    <row r="54">
      <c r="A54" s="55">
        <v>7.0</v>
      </c>
      <c r="B54" s="55">
        <v>6.0</v>
      </c>
      <c r="C54" s="11">
        <v>51.3001261044622</v>
      </c>
      <c r="D54" s="11">
        <v>5.78334299251048</v>
      </c>
      <c r="E54" s="55" t="s">
        <v>98</v>
      </c>
      <c r="F54" s="46"/>
      <c r="G54" s="46"/>
      <c r="H54" s="46"/>
      <c r="I54" s="47" t="b">
        <v>0</v>
      </c>
      <c r="J54" s="47" t="str">
        <f t="shared" si="5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1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51.3001261042371</v>
      </c>
      <c r="D55" s="43">
        <v>5.78357287260405</v>
      </c>
      <c r="E55" s="43" t="s">
        <v>98</v>
      </c>
      <c r="F55" s="44" t="s">
        <v>153</v>
      </c>
      <c r="G55" s="45" t="s">
        <v>639</v>
      </c>
      <c r="H55" s="46"/>
      <c r="I55" s="11" t="b">
        <v>1</v>
      </c>
      <c r="J55" s="47" t="str">
        <f t="shared" si="5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1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IFERROR(__xludf.DUMMYFUNCTION("""COMPUTED_VALUE"""),23077.0)</f>
        <v>23077</v>
      </c>
      <c r="S55" s="49"/>
    </row>
    <row r="56">
      <c r="A56" s="43">
        <v>8.0</v>
      </c>
      <c r="B56" s="43">
        <v>3.0</v>
      </c>
      <c r="C56" s="43">
        <v>51.2999823746918</v>
      </c>
      <c r="D56" s="43">
        <v>5.78265333207537</v>
      </c>
      <c r="E56" s="43" t="s">
        <v>98</v>
      </c>
      <c r="F56" s="44" t="s">
        <v>621</v>
      </c>
      <c r="G56" s="45" t="s">
        <v>640</v>
      </c>
      <c r="H56" s="46"/>
      <c r="I56" s="11" t="b">
        <v>1</v>
      </c>
      <c r="J56" s="47" t="str">
        <f t="shared" si="5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1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IFERROR(__xludf.DUMMYFUNCTION("""COMPUTED_VALUE"""),"djeagle")</f>
        <v>djeagle</v>
      </c>
      <c r="R56" s="49">
        <f>IFERROR(__xludf.DUMMYFUNCTION("""COMPUTED_VALUE"""),7559.0)</f>
        <v>7559</v>
      </c>
      <c r="S56" s="49"/>
    </row>
    <row r="57">
      <c r="A57" s="43">
        <v>8.0</v>
      </c>
      <c r="B57" s="43">
        <v>4.0</v>
      </c>
      <c r="C57" s="43">
        <v>51.2999823744668</v>
      </c>
      <c r="D57" s="43">
        <v>5.78288321144907</v>
      </c>
      <c r="E57" s="43" t="s">
        <v>103</v>
      </c>
      <c r="F57" s="44" t="s">
        <v>178</v>
      </c>
      <c r="G57" s="45" t="s">
        <v>641</v>
      </c>
      <c r="H57" s="46"/>
      <c r="I57" s="11" t="b">
        <v>1</v>
      </c>
      <c r="J57" s="47" t="str">
        <f t="shared" si="5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1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IFERROR(__xludf.DUMMYFUNCTION("""COMPUTED_VALUE"""),"lison55")</f>
        <v>lison55</v>
      </c>
      <c r="R57" s="49">
        <f>IFERROR(__xludf.DUMMYFUNCTION("""COMPUTED_VALUE"""),23778.0)</f>
        <v>23778</v>
      </c>
      <c r="S57" s="49"/>
    </row>
    <row r="58">
      <c r="A58" s="55">
        <v>8.0</v>
      </c>
      <c r="B58" s="55">
        <v>5.0</v>
      </c>
      <c r="C58" s="11">
        <v>51.2999823742418</v>
      </c>
      <c r="D58" s="11">
        <v>5.78311309082278</v>
      </c>
      <c r="E58" s="55" t="s">
        <v>103</v>
      </c>
      <c r="F58" s="44"/>
      <c r="G58" s="56"/>
      <c r="H58" s="46"/>
      <c r="I58" s="47" t="b">
        <v>0</v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1"/>
        <v>0</v>
      </c>
      <c r="N58" s="49" t="str">
        <f>IFERROR(__xludf.DUMMYFUNCTION("split(G58,""/"")"),"#VALUE!")</f>
        <v>#VALUE!</v>
      </c>
      <c r="O58" s="57"/>
      <c r="P58" s="49"/>
      <c r="Q58" s="49"/>
      <c r="R58" s="49"/>
      <c r="S58" s="51">
        <v>44698.6091274537</v>
      </c>
    </row>
    <row r="59">
      <c r="A59" s="43">
        <v>8.0</v>
      </c>
      <c r="B59" s="43">
        <v>6.0</v>
      </c>
      <c r="C59" s="43">
        <v>51.2999823740167</v>
      </c>
      <c r="D59" s="43">
        <v>5.78334297019648</v>
      </c>
      <c r="E59" s="43" t="s">
        <v>98</v>
      </c>
      <c r="F59" s="44" t="s">
        <v>621</v>
      </c>
      <c r="G59" s="45" t="s">
        <v>642</v>
      </c>
      <c r="H59" s="46"/>
      <c r="I59" s="11" t="b">
        <v>1</v>
      </c>
      <c r="J59" s="47" t="str">
        <f>if(I59=true,"",S59)</f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1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IFERROR(__xludf.DUMMYFUNCTION("""COMPUTED_VALUE"""),"djeagle")</f>
        <v>djeagle</v>
      </c>
      <c r="R59" s="49">
        <f>IFERROR(__xludf.DUMMYFUNCTION("""COMPUTED_VALUE"""),7415.0)</f>
        <v>7415</v>
      </c>
      <c r="S59" s="49"/>
    </row>
    <row r="60">
      <c r="K60" s="48" t="str">
        <f>IFERROR(__xludf.DUMMYFUNCTION("IF(M60=1,IFERROR(TRIM(IMPORTXML(G60, ""//p[@class='status-date']"")), ""Not deployed""),"""")"),"")</f>
        <v/>
      </c>
    </row>
    <row r="61" hidden="1">
      <c r="F61" s="47">
        <f t="shared" ref="F61:G61" si="6">COUNTIF(F8:F59,"")</f>
        <v>6</v>
      </c>
      <c r="G61" s="47">
        <f t="shared" si="6"/>
        <v>6</v>
      </c>
      <c r="I61" s="47">
        <f>COUNTIF(I8:I59,TRUE)</f>
        <v>45</v>
      </c>
    </row>
    <row r="62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5"/>
    <hyperlink r:id="rId37" ref="O25"/>
    <hyperlink r:id="rId38" ref="G26"/>
    <hyperlink r:id="rId39" ref="O26"/>
    <hyperlink r:id="rId40" ref="G27"/>
    <hyperlink r:id="rId41" ref="O27"/>
    <hyperlink r:id="rId42" ref="G28"/>
    <hyperlink r:id="rId43" ref="O28"/>
    <hyperlink r:id="rId44" ref="G29"/>
    <hyperlink r:id="rId45" ref="O29"/>
    <hyperlink r:id="rId46" ref="G30"/>
    <hyperlink r:id="rId47" ref="O30"/>
    <hyperlink r:id="rId48" ref="G31"/>
    <hyperlink r:id="rId49" ref="O31"/>
    <hyperlink r:id="rId50" ref="G32"/>
    <hyperlink r:id="rId51" ref="O32"/>
    <hyperlink r:id="rId52" ref="G33"/>
    <hyperlink r:id="rId53" ref="O33"/>
    <hyperlink r:id="rId54" ref="G34"/>
    <hyperlink r:id="rId55" ref="O34"/>
    <hyperlink r:id="rId56" ref="G35"/>
    <hyperlink r:id="rId57" ref="O35"/>
    <hyperlink r:id="rId58" ref="G36"/>
    <hyperlink r:id="rId59" ref="O36"/>
    <hyperlink r:id="rId60" ref="G37"/>
    <hyperlink r:id="rId61" ref="O37"/>
    <hyperlink r:id="rId62" ref="G38"/>
    <hyperlink r:id="rId63" ref="O38"/>
    <hyperlink r:id="rId64" ref="G39"/>
    <hyperlink r:id="rId65" ref="O39"/>
    <hyperlink r:id="rId66" ref="G40"/>
    <hyperlink r:id="rId67" ref="O40"/>
    <hyperlink r:id="rId68" ref="G41"/>
    <hyperlink r:id="rId69" ref="O41"/>
    <hyperlink r:id="rId70" ref="G42"/>
    <hyperlink r:id="rId71" ref="O42"/>
    <hyperlink r:id="rId72" ref="G43"/>
    <hyperlink r:id="rId73" ref="O43"/>
    <hyperlink r:id="rId74" ref="G44"/>
    <hyperlink r:id="rId75" ref="O44"/>
    <hyperlink r:id="rId76" ref="G45"/>
    <hyperlink r:id="rId77" ref="O45"/>
    <hyperlink r:id="rId78" ref="G46"/>
    <hyperlink r:id="rId79" ref="O46"/>
    <hyperlink r:id="rId80" ref="O47"/>
    <hyperlink r:id="rId81" ref="G48"/>
    <hyperlink r:id="rId82" ref="O48"/>
    <hyperlink r:id="rId83" ref="G49"/>
    <hyperlink r:id="rId84" ref="O49"/>
    <hyperlink r:id="rId85" ref="O51"/>
    <hyperlink r:id="rId86" ref="O52"/>
    <hyperlink r:id="rId87" ref="G53"/>
    <hyperlink r:id="rId88" ref="O53"/>
    <hyperlink r:id="rId89" ref="O54"/>
    <hyperlink r:id="rId90" ref="G55"/>
    <hyperlink r:id="rId91" ref="O55"/>
    <hyperlink r:id="rId92" ref="G56"/>
    <hyperlink r:id="rId93" ref="O56"/>
    <hyperlink r:id="rId94" ref="G57"/>
    <hyperlink r:id="rId95" ref="O57"/>
    <hyperlink r:id="rId96" ref="G59"/>
    <hyperlink r:id="rId97" ref="O59"/>
  </hyperlinks>
  <drawing r:id="rId98"/>
  <tableParts count="1">
    <tablePart r:id="rId100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25"/>
    <col customWidth="1" min="2" max="2" width="7.88"/>
    <col customWidth="1" min="3" max="3" width="13.5"/>
    <col customWidth="1" min="4" max="4" width="14.25"/>
    <col customWidth="1" min="5" max="5" width="17.0"/>
    <col customWidth="1" min="6" max="6" width="14.25"/>
    <col customWidth="1" min="7" max="7" width="42.75"/>
    <col customWidth="1" min="8" max="8" width="14.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31</v>
      </c>
      <c r="D1" s="37" t="s">
        <v>72</v>
      </c>
      <c r="E1" s="2" t="s">
        <v>79</v>
      </c>
      <c r="F1" s="59" t="s">
        <v>157</v>
      </c>
      <c r="G1" s="76" t="s">
        <v>643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644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20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32</v>
      </c>
      <c r="G5" s="39">
        <f>F5/52</f>
        <v>0.6153846154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52.7571633939416</v>
      </c>
      <c r="D8" s="43">
        <v>-1.36311787376769</v>
      </c>
      <c r="E8" s="43" t="s">
        <v>98</v>
      </c>
      <c r="F8" s="44" t="s">
        <v>99</v>
      </c>
      <c r="G8" s="45" t="s">
        <v>645</v>
      </c>
      <c r="H8" s="46"/>
      <c r="I8" s="11" t="b">
        <v>1</v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1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IFERROR(__xludf.DUMMYFUNCTION("""COMPUTED_VALUE"""),"raunas")</f>
        <v>raunas</v>
      </c>
      <c r="R8" s="49">
        <f>IFERROR(__xludf.DUMMYFUNCTION("""COMPUTED_VALUE"""),12272.0)</f>
        <v>12272</v>
      </c>
      <c r="S8" s="51">
        <v>44749.25009724537</v>
      </c>
    </row>
    <row r="9">
      <c r="A9" s="43">
        <v>1.0</v>
      </c>
      <c r="B9" s="43">
        <v>4.0</v>
      </c>
      <c r="C9" s="43">
        <v>52.7571633937044</v>
      </c>
      <c r="D9" s="43">
        <v>-1.36288037912061</v>
      </c>
      <c r="E9" s="43" t="s">
        <v>98</v>
      </c>
      <c r="F9" s="44" t="s">
        <v>101</v>
      </c>
      <c r="G9" s="45" t="s">
        <v>646</v>
      </c>
      <c r="H9" s="46"/>
      <c r="I9" s="11" t="b">
        <v>1</v>
      </c>
      <c r="J9" s="47" t="str">
        <f t="shared" ref="J9:J17" si="2">if(I9=true,"",S9)</f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1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IFERROR(__xludf.DUMMYFUNCTION("""COMPUTED_VALUE"""),6174.0)</f>
        <v>6174</v>
      </c>
      <c r="S9" s="51">
        <v>44357.527866979166</v>
      </c>
    </row>
    <row r="10">
      <c r="A10" s="43">
        <v>1.0</v>
      </c>
      <c r="B10" s="43">
        <v>5.0</v>
      </c>
      <c r="C10" s="43">
        <v>52.7571633934673</v>
      </c>
      <c r="D10" s="43">
        <v>-1.36264288447353</v>
      </c>
      <c r="E10" s="43" t="s">
        <v>103</v>
      </c>
      <c r="F10" s="44" t="s">
        <v>104</v>
      </c>
      <c r="G10" s="45" t="s">
        <v>647</v>
      </c>
      <c r="H10" s="46"/>
      <c r="I10" s="11" t="b">
        <v>1</v>
      </c>
      <c r="J10" s="47" t="str">
        <f t="shared" si="2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1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IFERROR(__xludf.DUMMYFUNCTION("""COMPUTED_VALUE"""),4172.0)</f>
        <v>4172</v>
      </c>
      <c r="S10" s="51">
        <v>44357.52790149306</v>
      </c>
    </row>
    <row r="11">
      <c r="A11" s="43">
        <v>1.0</v>
      </c>
      <c r="B11" s="43">
        <v>6.0</v>
      </c>
      <c r="C11" s="43">
        <v>52.7571633932301</v>
      </c>
      <c r="D11" s="43">
        <v>-1.36240538982644</v>
      </c>
      <c r="E11" s="43" t="s">
        <v>103</v>
      </c>
      <c r="F11" s="44" t="s">
        <v>106</v>
      </c>
      <c r="G11" s="45" t="s">
        <v>648</v>
      </c>
      <c r="H11" s="46"/>
      <c r="I11" s="11" t="b">
        <v>1</v>
      </c>
      <c r="J11" s="47" t="str">
        <f t="shared" si="2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1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IFERROR(__xludf.DUMMYFUNCTION("""COMPUTED_VALUE"""),4929.0)</f>
        <v>4929</v>
      </c>
      <c r="S11" s="51">
        <v>44357.52792822917</v>
      </c>
    </row>
    <row r="12">
      <c r="A12" s="43">
        <v>2.0</v>
      </c>
      <c r="B12" s="43">
        <v>2.0</v>
      </c>
      <c r="C12" s="43">
        <v>52.7570196637334</v>
      </c>
      <c r="D12" s="43">
        <v>-1.36335538957541</v>
      </c>
      <c r="E12" s="43" t="s">
        <v>98</v>
      </c>
      <c r="F12" s="44" t="s">
        <v>110</v>
      </c>
      <c r="G12" s="45" t="s">
        <v>649</v>
      </c>
      <c r="H12" s="44"/>
      <c r="I12" s="11" t="b">
        <v>1</v>
      </c>
      <c r="J12" s="47" t="str">
        <f t="shared" si="2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1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IFERROR(__xludf.DUMMYFUNCTION("""COMPUTED_VALUE"""),5439.0)</f>
        <v>5439</v>
      </c>
      <c r="S12" s="51">
        <v>44358.0</v>
      </c>
    </row>
    <row r="13">
      <c r="A13" s="43">
        <v>2.0</v>
      </c>
      <c r="B13" s="43">
        <v>3.0</v>
      </c>
      <c r="C13" s="43">
        <v>52.7570196634962</v>
      </c>
      <c r="D13" s="43">
        <v>-1.36311789571209</v>
      </c>
      <c r="E13" s="43" t="s">
        <v>98</v>
      </c>
      <c r="F13" s="44" t="s">
        <v>112</v>
      </c>
      <c r="G13" s="45" t="s">
        <v>650</v>
      </c>
      <c r="H13" s="46"/>
      <c r="I13" s="11" t="b">
        <v>1</v>
      </c>
      <c r="J13" s="47" t="str">
        <f t="shared" si="2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1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IFERROR(__xludf.DUMMYFUNCTION("""COMPUTED_VALUE"""),3661.0)</f>
        <v>3661</v>
      </c>
      <c r="S13" s="51">
        <v>44359.0</v>
      </c>
    </row>
    <row r="14">
      <c r="A14" s="43">
        <v>2.0</v>
      </c>
      <c r="B14" s="43">
        <v>4.0</v>
      </c>
      <c r="C14" s="43">
        <v>52.7570196632591</v>
      </c>
      <c r="D14" s="43">
        <v>-1.36288040184877</v>
      </c>
      <c r="E14" s="43" t="s">
        <v>98</v>
      </c>
      <c r="F14" s="44" t="s">
        <v>114</v>
      </c>
      <c r="G14" s="45" t="s">
        <v>651</v>
      </c>
      <c r="H14" s="46"/>
      <c r="I14" s="11" t="b">
        <v>1</v>
      </c>
      <c r="J14" s="47" t="str">
        <f t="shared" si="2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1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IFERROR(__xludf.DUMMYFUNCTION("""COMPUTED_VALUE"""),13461.0)</f>
        <v>13461</v>
      </c>
      <c r="S14" s="49"/>
    </row>
    <row r="15">
      <c r="A15" s="43">
        <v>2.0</v>
      </c>
      <c r="B15" s="43">
        <v>5.0</v>
      </c>
      <c r="C15" s="43">
        <v>52.7570196630219</v>
      </c>
      <c r="D15" s="43">
        <v>-1.36264290798544</v>
      </c>
      <c r="E15" s="43" t="s">
        <v>103</v>
      </c>
      <c r="F15" s="44" t="s">
        <v>116</v>
      </c>
      <c r="G15" s="45" t="s">
        <v>652</v>
      </c>
      <c r="H15" s="46"/>
      <c r="I15" s="11" t="b">
        <v>1</v>
      </c>
      <c r="J15" s="47" t="str">
        <f t="shared" si="2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1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IFERROR(__xludf.DUMMYFUNCTION("""COMPUTED_VALUE"""),5475.0)</f>
        <v>5475</v>
      </c>
      <c r="S15" s="49"/>
    </row>
    <row r="16">
      <c r="A16" s="43">
        <v>2.0</v>
      </c>
      <c r="B16" s="43">
        <v>6.0</v>
      </c>
      <c r="C16" s="43">
        <v>52.7570196627848</v>
      </c>
      <c r="D16" s="43">
        <v>-1.36240541412212</v>
      </c>
      <c r="E16" s="43" t="s">
        <v>98</v>
      </c>
      <c r="F16" s="44" t="s">
        <v>118</v>
      </c>
      <c r="G16" s="52" t="s">
        <v>653</v>
      </c>
      <c r="H16" s="46"/>
      <c r="I16" s="11" t="b">
        <v>1</v>
      </c>
      <c r="J16" s="47" t="str">
        <f t="shared" si="2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1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IFERROR(__xludf.DUMMYFUNCTION("""COMPUTED_VALUE"""),"rita85gto")</f>
        <v>rita85gto</v>
      </c>
      <c r="R16" s="49">
        <f>IFERROR(__xludf.DUMMYFUNCTION("""COMPUTED_VALUE"""),3824.0)</f>
        <v>3824</v>
      </c>
      <c r="S16" s="49"/>
    </row>
    <row r="17">
      <c r="A17" s="43">
        <v>2.0</v>
      </c>
      <c r="B17" s="43">
        <v>7.0</v>
      </c>
      <c r="C17" s="43">
        <v>52.7570196625477</v>
      </c>
      <c r="D17" s="43">
        <v>-1.36216792025879</v>
      </c>
      <c r="E17" s="43" t="s">
        <v>98</v>
      </c>
      <c r="F17" s="44" t="s">
        <v>120</v>
      </c>
      <c r="G17" s="45" t="s">
        <v>654</v>
      </c>
      <c r="H17" s="46"/>
      <c r="I17" s="11" t="b">
        <v>1</v>
      </c>
      <c r="J17" s="47" t="str">
        <f t="shared" si="2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1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IFERROR(__xludf.DUMMYFUNCTION("""COMPUTED_VALUE"""),"xrayneex")</f>
        <v>xrayneex</v>
      </c>
      <c r="R17" s="49">
        <f>IFERROR(__xludf.DUMMYFUNCTION("""COMPUTED_VALUE"""),2517.0)</f>
        <v>2517</v>
      </c>
      <c r="S17" s="49"/>
    </row>
    <row r="18">
      <c r="A18" s="43">
        <v>3.0</v>
      </c>
      <c r="B18" s="43">
        <v>1.0</v>
      </c>
      <c r="C18" s="43">
        <v>52.756875933525</v>
      </c>
      <c r="D18" s="43">
        <v>-1.36359290381381</v>
      </c>
      <c r="E18" s="43" t="s">
        <v>98</v>
      </c>
      <c r="F18" s="44" t="s">
        <v>108</v>
      </c>
      <c r="G18" s="45" t="s">
        <v>655</v>
      </c>
      <c r="H18" s="46"/>
      <c r="I18" s="11" t="b">
        <v>1</v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1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IFERROR(__xludf.DUMMYFUNCTION("""COMPUTED_VALUE"""),"Bungle")</f>
        <v>Bungle</v>
      </c>
      <c r="R18" s="49">
        <f>IFERROR(__xludf.DUMMYFUNCTION("""COMPUTED_VALUE"""),11161.0)</f>
        <v>11161</v>
      </c>
      <c r="S18" s="51">
        <v>44357.52796112269</v>
      </c>
    </row>
    <row r="19">
      <c r="A19" s="43">
        <v>3.0</v>
      </c>
      <c r="B19" s="43">
        <v>2.0</v>
      </c>
      <c r="C19" s="43">
        <v>52.7568759332878</v>
      </c>
      <c r="D19" s="43">
        <v>-1.36335541073412</v>
      </c>
      <c r="E19" s="43" t="s">
        <v>98</v>
      </c>
      <c r="F19" s="44" t="s">
        <v>151</v>
      </c>
      <c r="G19" s="52" t="s">
        <v>656</v>
      </c>
      <c r="H19" s="46"/>
      <c r="I19" s="11" t="b">
        <v>1</v>
      </c>
      <c r="J19" s="47" t="str">
        <f>if(I19=true,"",S19)</f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1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IFERROR(__xludf.DUMMYFUNCTION("""COMPUTED_VALUE"""),"res2100")</f>
        <v>res2100</v>
      </c>
      <c r="R19" s="49">
        <f>IFERROR(__xludf.DUMMYFUNCTION("""COMPUTED_VALUE"""),763.0)</f>
        <v>763</v>
      </c>
      <c r="S19" s="49"/>
    </row>
    <row r="20">
      <c r="A20" s="43">
        <v>3.0</v>
      </c>
      <c r="B20" s="43">
        <v>3.0</v>
      </c>
      <c r="C20" s="43">
        <v>52.7568759330507</v>
      </c>
      <c r="D20" s="43">
        <v>-1.36311791765444</v>
      </c>
      <c r="E20" s="43" t="s">
        <v>98</v>
      </c>
      <c r="F20" s="44" t="s">
        <v>122</v>
      </c>
      <c r="G20" s="45" t="s">
        <v>657</v>
      </c>
      <c r="H20" s="46"/>
      <c r="I20" s="11" t="b">
        <v>1</v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1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IFERROR(__xludf.DUMMYFUNCTION("""COMPUTED_VALUE"""),"Drazoria")</f>
        <v>Drazoria</v>
      </c>
      <c r="R20" s="49">
        <f>IFERROR(__xludf.DUMMYFUNCTION("""COMPUTED_VALUE"""),1650.0)</f>
        <v>1650</v>
      </c>
      <c r="S20" s="51">
        <v>44368.41604752315</v>
      </c>
    </row>
    <row r="21">
      <c r="A21" s="43">
        <v>3.0</v>
      </c>
      <c r="B21" s="43">
        <v>4.0</v>
      </c>
      <c r="C21" s="43">
        <v>52.7568759328135</v>
      </c>
      <c r="D21" s="43">
        <v>-1.36288042457476</v>
      </c>
      <c r="E21" s="43" t="s">
        <v>98</v>
      </c>
      <c r="F21" s="44" t="s">
        <v>124</v>
      </c>
      <c r="G21" s="45" t="s">
        <v>658</v>
      </c>
      <c r="H21" s="46"/>
      <c r="I21" s="11" t="b">
        <v>1</v>
      </c>
      <c r="J21" s="47" t="str">
        <f t="shared" ref="J21:J26" si="3">if(I21=true,"",S21)</f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1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IFERROR(__xludf.DUMMYFUNCTION("""COMPUTED_VALUE"""),"Tinake1309")</f>
        <v>Tinake1309</v>
      </c>
      <c r="R21" s="49">
        <f>IFERROR(__xludf.DUMMYFUNCTION("""COMPUTED_VALUE"""),1688.0)</f>
        <v>1688</v>
      </c>
      <c r="S21" s="49"/>
    </row>
    <row r="22">
      <c r="A22" s="43">
        <v>3.0</v>
      </c>
      <c r="B22" s="43">
        <v>5.0</v>
      </c>
      <c r="C22" s="43">
        <v>52.7568759325764</v>
      </c>
      <c r="D22" s="43">
        <v>-1.36264293149508</v>
      </c>
      <c r="E22" s="43" t="s">
        <v>98</v>
      </c>
      <c r="F22" s="44" t="s">
        <v>126</v>
      </c>
      <c r="G22" s="45" t="s">
        <v>659</v>
      </c>
      <c r="H22" s="46"/>
      <c r="I22" s="11" t="b">
        <v>1</v>
      </c>
      <c r="J22" s="47" t="str">
        <f t="shared" si="3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1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IFERROR(__xludf.DUMMYFUNCTION("""COMPUTED_VALUE"""),"Berg14")</f>
        <v>Berg14</v>
      </c>
      <c r="R22" s="49">
        <f>IFERROR(__xludf.DUMMYFUNCTION("""COMPUTED_VALUE"""),1582.0)</f>
        <v>1582</v>
      </c>
      <c r="S22" s="49"/>
    </row>
    <row r="23">
      <c r="A23" s="43">
        <v>3.0</v>
      </c>
      <c r="B23" s="43">
        <v>6.0</v>
      </c>
      <c r="C23" s="43">
        <v>52.7568759323393</v>
      </c>
      <c r="D23" s="43">
        <v>-1.3624054384154</v>
      </c>
      <c r="E23" s="43" t="s">
        <v>98</v>
      </c>
      <c r="F23" s="44" t="s">
        <v>128</v>
      </c>
      <c r="G23" s="45" t="s">
        <v>660</v>
      </c>
      <c r="H23" s="46"/>
      <c r="I23" s="11" t="b">
        <v>1</v>
      </c>
      <c r="J23" s="47" t="str">
        <f t="shared" si="3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1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IFERROR(__xludf.DUMMYFUNCTION("""COMPUTED_VALUE"""),"Niks13")</f>
        <v>Niks13</v>
      </c>
      <c r="R23" s="49">
        <f>IFERROR(__xludf.DUMMYFUNCTION("""COMPUTED_VALUE"""),1570.0)</f>
        <v>1570</v>
      </c>
      <c r="S23" s="49"/>
    </row>
    <row r="24">
      <c r="A24" s="43">
        <v>3.0</v>
      </c>
      <c r="B24" s="43">
        <v>7.0</v>
      </c>
      <c r="C24" s="43">
        <v>52.7568759321021</v>
      </c>
      <c r="D24" s="43">
        <v>-1.36216794533572</v>
      </c>
      <c r="E24" s="43" t="s">
        <v>98</v>
      </c>
      <c r="F24" s="44" t="s">
        <v>155</v>
      </c>
      <c r="G24" s="52" t="s">
        <v>661</v>
      </c>
      <c r="H24" s="46"/>
      <c r="I24" s="11" t="b">
        <v>1</v>
      </c>
      <c r="J24" s="47" t="str">
        <f t="shared" si="3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1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IFERROR(__xludf.DUMMYFUNCTION("""COMPUTED_VALUE"""),"Ellesche")</f>
        <v>Ellesche</v>
      </c>
      <c r="R24" s="49">
        <f>IFERROR(__xludf.DUMMYFUNCTION("""COMPUTED_VALUE"""),840.0)</f>
        <v>840</v>
      </c>
      <c r="S24" s="49"/>
    </row>
    <row r="25">
      <c r="A25" s="43">
        <v>3.0</v>
      </c>
      <c r="B25" s="43">
        <v>8.0</v>
      </c>
      <c r="C25" s="43">
        <v>52.756875931865</v>
      </c>
      <c r="D25" s="43">
        <v>-1.36193045225604</v>
      </c>
      <c r="E25" s="43" t="s">
        <v>98</v>
      </c>
      <c r="F25" s="44" t="s">
        <v>130</v>
      </c>
      <c r="G25" s="45" t="s">
        <v>662</v>
      </c>
      <c r="H25" s="46"/>
      <c r="I25" s="11" t="b">
        <v>1</v>
      </c>
      <c r="J25" s="47" t="str">
        <f t="shared" si="3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1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IFERROR(__xludf.DUMMYFUNCTION("""COMPUTED_VALUE"""),"lupo6")</f>
        <v>lupo6</v>
      </c>
      <c r="R25" s="49">
        <f>IFERROR(__xludf.DUMMYFUNCTION("""COMPUTED_VALUE"""),6805.0)</f>
        <v>6805</v>
      </c>
      <c r="S25" s="49"/>
    </row>
    <row r="26">
      <c r="A26" s="43">
        <v>4.0</v>
      </c>
      <c r="B26" s="43">
        <v>1.0</v>
      </c>
      <c r="C26" s="43">
        <v>52.7567322030796</v>
      </c>
      <c r="D26" s="43">
        <v>-1.36359292418899</v>
      </c>
      <c r="E26" s="43" t="s">
        <v>98</v>
      </c>
      <c r="F26" s="44" t="s">
        <v>132</v>
      </c>
      <c r="G26" s="52" t="s">
        <v>663</v>
      </c>
      <c r="H26" s="46"/>
      <c r="I26" s="11" t="b">
        <v>1</v>
      </c>
      <c r="J26" s="47" t="str">
        <f t="shared" si="3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1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IFERROR(__xludf.DUMMYFUNCTION("""COMPUTED_VALUE"""),"crscousins")</f>
        <v>crscousins</v>
      </c>
      <c r="R26" s="49">
        <f>IFERROR(__xludf.DUMMYFUNCTION("""COMPUTED_VALUE"""),4101.0)</f>
        <v>4101</v>
      </c>
      <c r="S26" s="49"/>
    </row>
    <row r="27">
      <c r="A27" s="55">
        <v>4.0</v>
      </c>
      <c r="B27" s="55">
        <v>2.0</v>
      </c>
      <c r="C27" s="55">
        <v>52.7567322028424</v>
      </c>
      <c r="D27" s="55">
        <v>-1.36335543189295</v>
      </c>
      <c r="E27" s="55" t="s">
        <v>103</v>
      </c>
      <c r="F27" s="44"/>
      <c r="G27" s="56"/>
      <c r="H27" s="46"/>
      <c r="I27" s="47" t="b">
        <v>0</v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1"/>
        <v>0</v>
      </c>
      <c r="N27" s="49" t="str">
        <f>IFERROR(__xludf.DUMMYFUNCTION("split(G27,""/"")"),"#VALUE!")</f>
        <v>#VALUE!</v>
      </c>
      <c r="O27" s="57"/>
      <c r="P27" s="49"/>
      <c r="Q27" s="49"/>
      <c r="R27" s="49"/>
      <c r="S27" s="51">
        <v>44698.60949859954</v>
      </c>
    </row>
    <row r="28">
      <c r="A28" s="43">
        <v>4.0</v>
      </c>
      <c r="B28" s="43">
        <v>3.0</v>
      </c>
      <c r="C28" s="43">
        <v>52.7567322026053</v>
      </c>
      <c r="D28" s="43">
        <v>-1.36311793959691</v>
      </c>
      <c r="E28" s="43" t="s">
        <v>98</v>
      </c>
      <c r="F28" s="44" t="s">
        <v>190</v>
      </c>
      <c r="G28" s="45" t="s">
        <v>664</v>
      </c>
      <c r="H28" s="46"/>
      <c r="I28" s="11" t="b">
        <v>1</v>
      </c>
      <c r="J28" s="47" t="str">
        <f t="shared" ref="J28:J57" si="4">if(I28=true,"",S28)</f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1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IFERROR(__xludf.DUMMYFUNCTION("""COMPUTED_VALUE"""),"GroteSufferd")</f>
        <v>GroteSufferd</v>
      </c>
      <c r="R28" s="49">
        <f>IFERROR(__xludf.DUMMYFUNCTION("""COMPUTED_VALUE"""),758.0)</f>
        <v>758</v>
      </c>
      <c r="S28" s="49"/>
    </row>
    <row r="29">
      <c r="A29" s="43">
        <v>4.0</v>
      </c>
      <c r="B29" s="43">
        <v>4.0</v>
      </c>
      <c r="C29" s="43">
        <v>52.7567322023681</v>
      </c>
      <c r="D29" s="43">
        <v>-1.36288044730088</v>
      </c>
      <c r="E29" s="43" t="s">
        <v>98</v>
      </c>
      <c r="F29" s="44" t="s">
        <v>138</v>
      </c>
      <c r="G29" s="45" t="s">
        <v>665</v>
      </c>
      <c r="H29" s="46"/>
      <c r="I29" s="11" t="b">
        <v>1</v>
      </c>
      <c r="J29" s="47" t="str">
        <f t="shared" si="4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1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IFERROR(__xludf.DUMMYFUNCTION("""COMPUTED_VALUE"""),4521.0)</f>
        <v>4521</v>
      </c>
      <c r="S29" s="49"/>
    </row>
    <row r="30">
      <c r="A30" s="43">
        <v>4.0</v>
      </c>
      <c r="B30" s="43">
        <v>5.0</v>
      </c>
      <c r="C30" s="43">
        <v>52.756732202131</v>
      </c>
      <c r="D30" s="43">
        <v>-1.36264295500484</v>
      </c>
      <c r="E30" s="43" t="s">
        <v>98</v>
      </c>
      <c r="F30" s="44" t="s">
        <v>110</v>
      </c>
      <c r="G30" s="45" t="s">
        <v>666</v>
      </c>
      <c r="H30" s="46"/>
      <c r="I30" s="11" t="b">
        <v>1</v>
      </c>
      <c r="J30" s="47" t="str">
        <f t="shared" si="4"/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1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IFERROR(__xludf.DUMMYFUNCTION("""COMPUTED_VALUE"""),"BrotherWilliam")</f>
        <v>BrotherWilliam</v>
      </c>
      <c r="R30" s="49">
        <f>IFERROR(__xludf.DUMMYFUNCTION("""COMPUTED_VALUE"""),5489.0)</f>
        <v>5489</v>
      </c>
      <c r="S30" s="49"/>
    </row>
    <row r="31">
      <c r="A31" s="43">
        <v>4.0</v>
      </c>
      <c r="B31" s="43">
        <v>6.0</v>
      </c>
      <c r="C31" s="43">
        <v>52.7567322018939</v>
      </c>
      <c r="D31" s="43">
        <v>-1.3624054627088</v>
      </c>
      <c r="E31" s="43" t="s">
        <v>103</v>
      </c>
      <c r="F31" s="44" t="s">
        <v>132</v>
      </c>
      <c r="G31" s="52" t="s">
        <v>667</v>
      </c>
      <c r="H31" s="46"/>
      <c r="I31" s="11" t="b">
        <v>1</v>
      </c>
      <c r="J31" s="47" t="str">
        <f t="shared" si="4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1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IFERROR(__xludf.DUMMYFUNCTION("""COMPUTED_VALUE"""),"crscousins")</f>
        <v>crscousins</v>
      </c>
      <c r="R31" s="49">
        <f>IFERROR(__xludf.DUMMYFUNCTION("""COMPUTED_VALUE"""),4100.0)</f>
        <v>4100</v>
      </c>
      <c r="S31" s="49"/>
    </row>
    <row r="32">
      <c r="A32" s="43">
        <v>4.0</v>
      </c>
      <c r="B32" s="43">
        <v>7.0</v>
      </c>
      <c r="C32" s="43">
        <v>52.7567322016567</v>
      </c>
      <c r="D32" s="43">
        <v>-1.36216797041277</v>
      </c>
      <c r="E32" s="43" t="s">
        <v>98</v>
      </c>
      <c r="F32" s="44" t="s">
        <v>534</v>
      </c>
      <c r="G32" s="45" t="s">
        <v>668</v>
      </c>
      <c r="H32" s="46"/>
      <c r="I32" s="11" t="b">
        <v>1</v>
      </c>
      <c r="J32" s="47" t="str">
        <f t="shared" si="4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1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IFERROR(__xludf.DUMMYFUNCTION("""COMPUTED_VALUE"""),"Girlteddy5")</f>
        <v>Girlteddy5</v>
      </c>
      <c r="R32" s="49">
        <f>IFERROR(__xludf.DUMMYFUNCTION("""COMPUTED_VALUE"""),83.0)</f>
        <v>83</v>
      </c>
      <c r="S32" s="49"/>
    </row>
    <row r="33">
      <c r="A33" s="43">
        <v>4.0</v>
      </c>
      <c r="B33" s="43">
        <v>8.0</v>
      </c>
      <c r="C33" s="43">
        <v>52.7567322014196</v>
      </c>
      <c r="D33" s="43">
        <v>-1.36193047811673</v>
      </c>
      <c r="E33" s="43" t="s">
        <v>98</v>
      </c>
      <c r="F33" s="44" t="s">
        <v>136</v>
      </c>
      <c r="G33" s="45" t="s">
        <v>669</v>
      </c>
      <c r="H33" s="46"/>
      <c r="I33" s="11" t="b">
        <v>1</v>
      </c>
      <c r="J33" s="47" t="str">
        <f t="shared" si="4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1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IFERROR(__xludf.DUMMYFUNCTION("""COMPUTED_VALUE"""),"OdinsFiRe")</f>
        <v>OdinsFiRe</v>
      </c>
      <c r="R33" s="49">
        <f>IFERROR(__xludf.DUMMYFUNCTION("""COMPUTED_VALUE"""),2077.0)</f>
        <v>2077</v>
      </c>
      <c r="S33" s="49"/>
    </row>
    <row r="34">
      <c r="A34" s="55">
        <v>5.0</v>
      </c>
      <c r="B34" s="55">
        <v>1.0</v>
      </c>
      <c r="C34" s="55">
        <v>52.7565884726343</v>
      </c>
      <c r="D34" s="55">
        <v>-1.36359294456372</v>
      </c>
      <c r="E34" s="55" t="s">
        <v>103</v>
      </c>
      <c r="F34" s="46"/>
      <c r="G34" s="46"/>
      <c r="H34" s="46"/>
      <c r="I34" s="47" t="b">
        <v>0</v>
      </c>
      <c r="J34" s="47" t="str">
        <f t="shared" si="4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1"/>
        <v>0</v>
      </c>
      <c r="N34" s="49" t="str">
        <f>IFERROR(__xludf.DUMMYFUNCTION("split(G34,""/"")"),"#VALUE!")</f>
        <v>#VALUE!</v>
      </c>
      <c r="O34" s="50"/>
      <c r="P34" s="49"/>
      <c r="Q34" s="49"/>
      <c r="R34" s="49"/>
      <c r="S34" s="49"/>
    </row>
    <row r="35">
      <c r="A35" s="43">
        <v>5.0</v>
      </c>
      <c r="B35" s="43">
        <v>2.0</v>
      </c>
      <c r="C35" s="43">
        <v>52.7565884723972</v>
      </c>
      <c r="D35" s="43">
        <v>-1.36335545305132</v>
      </c>
      <c r="E35" s="43" t="s">
        <v>98</v>
      </c>
      <c r="F35" s="44" t="s">
        <v>141</v>
      </c>
      <c r="G35" s="45" t="s">
        <v>670</v>
      </c>
      <c r="H35" s="46"/>
      <c r="I35" s="11" t="b">
        <v>1</v>
      </c>
      <c r="J35" s="47" t="str">
        <f t="shared" si="4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1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IFERROR(__xludf.DUMMYFUNCTION("""COMPUTED_VALUE"""),3779.0)</f>
        <v>3779</v>
      </c>
      <c r="S35" s="49"/>
    </row>
    <row r="36">
      <c r="A36" s="55">
        <v>5.0</v>
      </c>
      <c r="B36" s="55">
        <v>3.0</v>
      </c>
      <c r="C36" s="55">
        <v>52.7565884721601</v>
      </c>
      <c r="D36" s="55">
        <v>-1.36311796153893</v>
      </c>
      <c r="E36" s="55" t="s">
        <v>103</v>
      </c>
      <c r="F36" s="46"/>
      <c r="G36" s="46"/>
      <c r="H36" s="46"/>
      <c r="I36" s="47" t="b">
        <v>0</v>
      </c>
      <c r="J36" s="47" t="str">
        <f t="shared" si="4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1"/>
        <v>0</v>
      </c>
      <c r="N36" s="49" t="str">
        <f>IFERROR(__xludf.DUMMYFUNCTION("split(G36,""/"")"),"#VALUE!")</f>
        <v>#VALUE!</v>
      </c>
      <c r="O36" s="50"/>
      <c r="P36" s="49"/>
      <c r="Q36" s="49"/>
      <c r="R36" s="49"/>
      <c r="S36" s="49"/>
    </row>
    <row r="37">
      <c r="A37" s="55">
        <v>5.0</v>
      </c>
      <c r="B37" s="55">
        <v>4.0</v>
      </c>
      <c r="C37" s="55">
        <v>52.7565884719229</v>
      </c>
      <c r="D37" s="55">
        <v>-1.36288047002653</v>
      </c>
      <c r="E37" s="55" t="s">
        <v>98</v>
      </c>
      <c r="F37" s="46"/>
      <c r="G37" s="46"/>
      <c r="H37" s="46"/>
      <c r="I37" s="47" t="b">
        <v>0</v>
      </c>
      <c r="J37" s="47" t="str">
        <f t="shared" si="4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1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55">
        <v>5.0</v>
      </c>
      <c r="B38" s="55">
        <v>5.0</v>
      </c>
      <c r="C38" s="55">
        <v>52.7565884716858</v>
      </c>
      <c r="D38" s="55">
        <v>-1.36264297851414</v>
      </c>
      <c r="E38" s="55" t="s">
        <v>98</v>
      </c>
      <c r="F38" s="46"/>
      <c r="G38" s="46"/>
      <c r="H38" s="46"/>
      <c r="I38" s="47" t="b">
        <v>0</v>
      </c>
      <c r="J38" s="47" t="str">
        <f t="shared" si="4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1"/>
        <v>0</v>
      </c>
      <c r="N38" s="49" t="str">
        <f>IFERROR(__xludf.DUMMYFUNCTION("split(G38,""/"")"),"#VALUE!")</f>
        <v>#VALUE!</v>
      </c>
      <c r="O38" s="50"/>
      <c r="P38" s="49"/>
      <c r="Q38" s="49"/>
      <c r="R38" s="49"/>
      <c r="S38" s="49"/>
    </row>
    <row r="39">
      <c r="A39" s="55">
        <v>5.0</v>
      </c>
      <c r="B39" s="55">
        <v>6.0</v>
      </c>
      <c r="C39" s="55">
        <v>52.7565884714487</v>
      </c>
      <c r="D39" s="55">
        <v>-1.36240548700175</v>
      </c>
      <c r="E39" s="55" t="s">
        <v>98</v>
      </c>
      <c r="F39" s="46"/>
      <c r="G39" s="46"/>
      <c r="H39" s="46"/>
      <c r="I39" s="47" t="b">
        <v>0</v>
      </c>
      <c r="J39" s="47" t="str">
        <f t="shared" si="4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1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49"/>
    </row>
    <row r="40">
      <c r="A40" s="55">
        <v>5.0</v>
      </c>
      <c r="B40" s="55">
        <v>7.0</v>
      </c>
      <c r="C40" s="55">
        <v>52.7565884712116</v>
      </c>
      <c r="D40" s="55">
        <v>-1.36216799548935</v>
      </c>
      <c r="E40" s="55" t="s">
        <v>98</v>
      </c>
      <c r="F40" s="46"/>
      <c r="G40" s="46"/>
      <c r="H40" s="46"/>
      <c r="I40" s="47" t="b">
        <v>0</v>
      </c>
      <c r="J40" s="47" t="str">
        <f t="shared" si="4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1"/>
        <v>0</v>
      </c>
      <c r="N40" s="49" t="str">
        <f>IFERROR(__xludf.DUMMYFUNCTION("split(G40,""/"")"),"#VALUE!")</f>
        <v>#VALUE!</v>
      </c>
      <c r="O40" s="50"/>
      <c r="P40" s="49"/>
      <c r="Q40" s="49"/>
      <c r="R40" s="49"/>
      <c r="S40" s="49"/>
    </row>
    <row r="41">
      <c r="A41" s="55">
        <v>5.0</v>
      </c>
      <c r="B41" s="55">
        <v>8.0</v>
      </c>
      <c r="C41" s="55">
        <v>52.7565884709744</v>
      </c>
      <c r="D41" s="55">
        <v>-1.36193050397696</v>
      </c>
      <c r="E41" s="55" t="s">
        <v>98</v>
      </c>
      <c r="F41" s="46"/>
      <c r="G41" s="46"/>
      <c r="H41" s="46"/>
      <c r="I41" s="47" t="b">
        <v>0</v>
      </c>
      <c r="J41" s="47" t="str">
        <f t="shared" si="4"/>
        <v/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1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49"/>
    </row>
    <row r="42">
      <c r="A42" s="43">
        <v>6.0</v>
      </c>
      <c r="B42" s="43">
        <v>1.0</v>
      </c>
      <c r="C42" s="43">
        <v>52.7564447421889</v>
      </c>
      <c r="D42" s="43">
        <v>-1.36359296493844</v>
      </c>
      <c r="E42" s="43" t="s">
        <v>98</v>
      </c>
      <c r="F42" s="44" t="s">
        <v>149</v>
      </c>
      <c r="G42" s="45" t="s">
        <v>671</v>
      </c>
      <c r="H42" s="46"/>
      <c r="I42" s="11" t="b">
        <v>1</v>
      </c>
      <c r="J42" s="47" t="str">
        <f t="shared" si="4"/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1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IFERROR(__xludf.DUMMYFUNCTION("""COMPUTED_VALUE"""),7271.0)</f>
        <v>7271</v>
      </c>
      <c r="S42" s="49"/>
    </row>
    <row r="43">
      <c r="A43" s="55">
        <v>6.0</v>
      </c>
      <c r="B43" s="55">
        <v>2.0</v>
      </c>
      <c r="C43" s="55">
        <v>52.7564447419518</v>
      </c>
      <c r="D43" s="55">
        <v>-1.36335547420969</v>
      </c>
      <c r="E43" s="55" t="s">
        <v>98</v>
      </c>
      <c r="F43" s="46"/>
      <c r="G43" s="46"/>
      <c r="H43" s="46"/>
      <c r="I43" s="11" t="b">
        <v>0</v>
      </c>
      <c r="J43" s="47" t="str">
        <f t="shared" si="4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1"/>
        <v>0</v>
      </c>
      <c r="N43" s="49" t="str">
        <f>IFERROR(__xludf.DUMMYFUNCTION("split(G43,""/"")"),"#VALUE!")</f>
        <v>#VALUE!</v>
      </c>
      <c r="O43" s="50"/>
      <c r="P43" s="49"/>
      <c r="Q43" s="49"/>
      <c r="R43" s="49"/>
      <c r="S43" s="49"/>
    </row>
    <row r="44">
      <c r="A44" s="55">
        <v>6.0</v>
      </c>
      <c r="B44" s="55">
        <v>3.0</v>
      </c>
      <c r="C44" s="55">
        <v>52.7564447417147</v>
      </c>
      <c r="D44" s="55">
        <v>-1.36311798348094</v>
      </c>
      <c r="E44" s="55" t="s">
        <v>103</v>
      </c>
      <c r="F44" s="46"/>
      <c r="G44" s="46"/>
      <c r="H44" s="46"/>
      <c r="I44" s="47" t="b">
        <v>0</v>
      </c>
      <c r="J44" s="47" t="str">
        <f t="shared" si="4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1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55">
        <v>52.7564447414775</v>
      </c>
      <c r="D45" s="55">
        <v>-1.36288049275219</v>
      </c>
      <c r="E45" s="55" t="s">
        <v>98</v>
      </c>
      <c r="F45" s="46"/>
      <c r="G45" s="46"/>
      <c r="H45" s="46"/>
      <c r="I45" s="47" t="b">
        <v>0</v>
      </c>
      <c r="J45" s="47" t="str">
        <f t="shared" si="4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1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55">
        <v>52.7564447412404</v>
      </c>
      <c r="D46" s="55">
        <v>-1.36264300202344</v>
      </c>
      <c r="E46" s="55" t="s">
        <v>98</v>
      </c>
      <c r="F46" s="44"/>
      <c r="G46" s="46"/>
      <c r="H46" s="46"/>
      <c r="I46" s="47" t="b">
        <v>0</v>
      </c>
      <c r="J46" s="47" t="str">
        <f t="shared" si="4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1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55">
        <v>52.7564447410033</v>
      </c>
      <c r="D47" s="55">
        <v>-1.36240551129469</v>
      </c>
      <c r="E47" s="55" t="s">
        <v>103</v>
      </c>
      <c r="F47" s="46"/>
      <c r="G47" s="46"/>
      <c r="H47" s="46"/>
      <c r="I47" s="11" t="b">
        <v>0</v>
      </c>
      <c r="J47" s="47" t="str">
        <f t="shared" si="4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1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52.7564447407661</v>
      </c>
      <c r="D48" s="43">
        <v>-1.36216802056594</v>
      </c>
      <c r="E48" s="43" t="s">
        <v>98</v>
      </c>
      <c r="F48" s="44" t="s">
        <v>145</v>
      </c>
      <c r="G48" s="45" t="s">
        <v>672</v>
      </c>
      <c r="H48" s="46"/>
      <c r="I48" s="11" t="b">
        <v>1</v>
      </c>
      <c r="J48" s="47" t="str">
        <f t="shared" si="4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1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IFERROR(__xludf.DUMMYFUNCTION("""COMPUTED_VALUE"""),6343.0)</f>
        <v>6343</v>
      </c>
      <c r="S48" s="51">
        <v>44357.528043900464</v>
      </c>
    </row>
    <row r="49">
      <c r="A49" s="43">
        <v>6.0</v>
      </c>
      <c r="B49" s="43">
        <v>8.0</v>
      </c>
      <c r="C49" s="43">
        <v>52.756444740529</v>
      </c>
      <c r="D49" s="43">
        <v>-1.36193052983719</v>
      </c>
      <c r="E49" s="43" t="s">
        <v>98</v>
      </c>
      <c r="F49" s="44" t="s">
        <v>147</v>
      </c>
      <c r="G49" s="52" t="s">
        <v>673</v>
      </c>
      <c r="H49" s="46"/>
      <c r="I49" s="11" t="b">
        <v>1</v>
      </c>
      <c r="J49" s="47" t="str">
        <f t="shared" si="4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1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IFERROR(__xludf.DUMMYFUNCTION("""COMPUTED_VALUE"""),13727.0)</f>
        <v>13727</v>
      </c>
      <c r="S49" s="51">
        <v>44357.528079027776</v>
      </c>
    </row>
    <row r="50">
      <c r="A50" s="55">
        <v>7.0</v>
      </c>
      <c r="B50" s="55">
        <v>2.0</v>
      </c>
      <c r="C50" s="55">
        <v>52.7563010115064</v>
      </c>
      <c r="D50" s="55">
        <v>-1.36335549536806</v>
      </c>
      <c r="E50" s="55" t="s">
        <v>103</v>
      </c>
      <c r="F50" s="46"/>
      <c r="G50" s="46"/>
      <c r="H50" s="46"/>
      <c r="I50" s="47" t="b">
        <v>0</v>
      </c>
      <c r="J50" s="47" t="str">
        <f t="shared" si="4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1"/>
        <v>0</v>
      </c>
      <c r="N50" s="49" t="str">
        <f>IFERROR(__xludf.DUMMYFUNCTION("split(G50,""/"")"),"#VALUE!")</f>
        <v>#VALUE!</v>
      </c>
      <c r="O50" s="57"/>
      <c r="P50" s="49"/>
      <c r="Q50" s="49"/>
      <c r="R50" s="49"/>
      <c r="S50" s="49"/>
    </row>
    <row r="51">
      <c r="A51" s="55">
        <v>7.0</v>
      </c>
      <c r="B51" s="55">
        <v>3.0</v>
      </c>
      <c r="C51" s="55">
        <v>52.7563010112693</v>
      </c>
      <c r="D51" s="55">
        <v>-1.36311800542296</v>
      </c>
      <c r="E51" s="55" t="s">
        <v>98</v>
      </c>
      <c r="F51" s="46"/>
      <c r="G51" s="46"/>
      <c r="H51" s="46"/>
      <c r="I51" s="47" t="b">
        <v>0</v>
      </c>
      <c r="J51" s="47" t="str">
        <f t="shared" si="4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1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43">
        <v>7.0</v>
      </c>
      <c r="B52" s="43">
        <v>4.0</v>
      </c>
      <c r="C52" s="43">
        <v>52.7563010110321</v>
      </c>
      <c r="D52" s="43">
        <v>-1.36288051547785</v>
      </c>
      <c r="E52" s="43" t="s">
        <v>98</v>
      </c>
      <c r="F52" s="44" t="s">
        <v>132</v>
      </c>
      <c r="G52" s="45" t="s">
        <v>674</v>
      </c>
      <c r="H52" s="46"/>
      <c r="I52" s="11" t="b">
        <v>1</v>
      </c>
      <c r="J52" s="47" t="str">
        <f t="shared" si="4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1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IFERROR(__xludf.DUMMYFUNCTION("""COMPUTED_VALUE"""),"crscousins")</f>
        <v>crscousins</v>
      </c>
      <c r="R52" s="49">
        <f>IFERROR(__xludf.DUMMYFUNCTION("""COMPUTED_VALUE"""),4099.0)</f>
        <v>4099</v>
      </c>
      <c r="S52" s="49"/>
    </row>
    <row r="53">
      <c r="A53" s="55">
        <v>7.0</v>
      </c>
      <c r="B53" s="55">
        <v>5.0</v>
      </c>
      <c r="C53" s="55">
        <v>52.756301010795</v>
      </c>
      <c r="D53" s="55">
        <v>-1.36264302553274</v>
      </c>
      <c r="E53" s="55" t="s">
        <v>98</v>
      </c>
      <c r="F53" s="46"/>
      <c r="G53" s="46"/>
      <c r="H53" s="46"/>
      <c r="I53" s="11" t="b">
        <v>0</v>
      </c>
      <c r="J53" s="47" t="str">
        <f t="shared" si="4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1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55">
        <v>52.7563010105579</v>
      </c>
      <c r="D54" s="55">
        <v>-1.36240553558764</v>
      </c>
      <c r="E54" s="55" t="s">
        <v>98</v>
      </c>
      <c r="F54" s="46"/>
      <c r="G54" s="46"/>
      <c r="H54" s="46"/>
      <c r="I54" s="47" t="b">
        <v>0</v>
      </c>
      <c r="J54" s="47" t="str">
        <f t="shared" si="4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1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52.7563010103207</v>
      </c>
      <c r="D55" s="43">
        <v>-1.36216804564264</v>
      </c>
      <c r="E55" s="43" t="s">
        <v>98</v>
      </c>
      <c r="F55" s="44" t="s">
        <v>153</v>
      </c>
      <c r="G55" s="45" t="s">
        <v>675</v>
      </c>
      <c r="H55" s="46"/>
      <c r="I55" s="11" t="b">
        <v>1</v>
      </c>
      <c r="J55" s="47" t="str">
        <f t="shared" si="4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1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IFERROR(__xludf.DUMMYFUNCTION("""COMPUTED_VALUE"""),23234.0)</f>
        <v>23234</v>
      </c>
      <c r="S55" s="49"/>
    </row>
    <row r="56">
      <c r="A56" s="55">
        <v>8.0</v>
      </c>
      <c r="B56" s="55">
        <v>3.0</v>
      </c>
      <c r="C56" s="55">
        <v>52.7561572808238</v>
      </c>
      <c r="D56" s="55">
        <v>-1.36311802736497</v>
      </c>
      <c r="E56" s="55" t="s">
        <v>98</v>
      </c>
      <c r="F56" s="46"/>
      <c r="G56" s="46"/>
      <c r="H56" s="46"/>
      <c r="I56" s="47" t="b">
        <v>0</v>
      </c>
      <c r="J56" s="47" t="str">
        <f t="shared" si="4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1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55">
        <v>8.0</v>
      </c>
      <c r="B57" s="55">
        <v>4.0</v>
      </c>
      <c r="C57" s="55">
        <v>52.7561572805867</v>
      </c>
      <c r="D57" s="55">
        <v>-1.36288053820351</v>
      </c>
      <c r="E57" s="55" t="s">
        <v>103</v>
      </c>
      <c r="F57" s="46"/>
      <c r="G57" s="46"/>
      <c r="H57" s="46"/>
      <c r="I57" s="47" t="b">
        <v>0</v>
      </c>
      <c r="J57" s="47" t="str">
        <f t="shared" si="4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1"/>
        <v>0</v>
      </c>
      <c r="N57" s="49" t="str">
        <f>IFERROR(__xludf.DUMMYFUNCTION("split(G57,""/"")"),"#VALUE!")</f>
        <v>#VALUE!</v>
      </c>
      <c r="O57" s="50"/>
      <c r="P57" s="49"/>
      <c r="Q57" s="49"/>
      <c r="R57" s="49"/>
      <c r="S57" s="49"/>
    </row>
    <row r="58">
      <c r="A58" s="55">
        <v>8.0</v>
      </c>
      <c r="B58" s="55">
        <v>5.0</v>
      </c>
      <c r="C58" s="55">
        <v>52.7561572803496</v>
      </c>
      <c r="D58" s="55">
        <v>-1.36264304904204</v>
      </c>
      <c r="E58" s="55" t="s">
        <v>103</v>
      </c>
      <c r="F58" s="44"/>
      <c r="G58" s="56"/>
      <c r="H58" s="46"/>
      <c r="I58" s="47" t="b">
        <v>0</v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1"/>
        <v>0</v>
      </c>
      <c r="N58" s="49" t="str">
        <f>IFERROR(__xludf.DUMMYFUNCTION("split(G58,""/"")"),"#VALUE!")</f>
        <v>#VALUE!</v>
      </c>
      <c r="O58" s="57"/>
      <c r="P58" s="49"/>
      <c r="Q58" s="49"/>
      <c r="R58" s="49"/>
      <c r="S58" s="51">
        <v>44698.60967201389</v>
      </c>
    </row>
    <row r="59">
      <c r="A59" s="43">
        <v>8.0</v>
      </c>
      <c r="B59" s="43">
        <v>6.0</v>
      </c>
      <c r="C59" s="43">
        <v>52.7561572801125</v>
      </c>
      <c r="D59" s="43">
        <v>-1.36240555988058</v>
      </c>
      <c r="E59" s="43" t="s">
        <v>98</v>
      </c>
      <c r="F59" s="44" t="s">
        <v>157</v>
      </c>
      <c r="G59" s="45" t="s">
        <v>676</v>
      </c>
      <c r="H59" s="46"/>
      <c r="I59" s="11" t="b">
        <v>1</v>
      </c>
      <c r="J59" s="47" t="str">
        <f>if(I59=true,"",S59)</f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1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IFERROR(__xludf.DUMMYFUNCTION("""COMPUTED_VALUE"""),"barefootguru")</f>
        <v>barefootguru</v>
      </c>
      <c r="R59" s="49">
        <f>IFERROR(__xludf.DUMMYFUNCTION("""COMPUTED_VALUE"""),4258.0)</f>
        <v>4258</v>
      </c>
      <c r="S59" s="49"/>
    </row>
    <row r="61" hidden="1">
      <c r="F61" s="47">
        <f t="shared" ref="F61:G61" si="5">COUNTIF(F8:F59,"")</f>
        <v>20</v>
      </c>
      <c r="G61" s="47">
        <f t="shared" si="5"/>
        <v>20</v>
      </c>
      <c r="I61" s="47">
        <f>COUNTIF(I8:I59,TRUE)</f>
        <v>32</v>
      </c>
    </row>
    <row r="62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8"/>
    <hyperlink r:id="rId42" ref="O28"/>
    <hyperlink r:id="rId43" ref="G29"/>
    <hyperlink r:id="rId44" ref="O29"/>
    <hyperlink r:id="rId45" ref="G30"/>
    <hyperlink r:id="rId46" ref="O30"/>
    <hyperlink r:id="rId47" ref="G31"/>
    <hyperlink r:id="rId48" ref="O31"/>
    <hyperlink r:id="rId49" ref="G32"/>
    <hyperlink r:id="rId50" ref="O32"/>
    <hyperlink r:id="rId51" ref="G33"/>
    <hyperlink r:id="rId52" ref="O33"/>
    <hyperlink r:id="rId53" ref="O34"/>
    <hyperlink r:id="rId54" ref="G35"/>
    <hyperlink r:id="rId55" ref="O35"/>
    <hyperlink r:id="rId56" ref="O36"/>
    <hyperlink r:id="rId57" ref="O37"/>
    <hyperlink r:id="rId58" ref="O38"/>
    <hyperlink r:id="rId59" ref="O39"/>
    <hyperlink r:id="rId60" ref="O40"/>
    <hyperlink r:id="rId61" ref="O41"/>
    <hyperlink r:id="rId62" ref="G42"/>
    <hyperlink r:id="rId63" ref="O42"/>
    <hyperlink r:id="rId64" ref="O43"/>
    <hyperlink r:id="rId65" ref="O44"/>
    <hyperlink r:id="rId66" ref="O45"/>
    <hyperlink r:id="rId67" ref="O46"/>
    <hyperlink r:id="rId68" ref="O47"/>
    <hyperlink r:id="rId69" ref="G48"/>
    <hyperlink r:id="rId70" ref="O48"/>
    <hyperlink r:id="rId71" ref="G49"/>
    <hyperlink r:id="rId72" ref="O49"/>
    <hyperlink r:id="rId73" ref="O51"/>
    <hyperlink r:id="rId74" ref="G52"/>
    <hyperlink r:id="rId75" ref="O52"/>
    <hyperlink r:id="rId76" ref="O53"/>
    <hyperlink r:id="rId77" ref="O54"/>
    <hyperlink r:id="rId78" ref="G55"/>
    <hyperlink r:id="rId79" ref="O55"/>
    <hyperlink r:id="rId80" ref="O56"/>
    <hyperlink r:id="rId81" ref="O57"/>
    <hyperlink r:id="rId82" ref="G59"/>
    <hyperlink r:id="rId83" ref="O59"/>
  </hyperlinks>
  <drawing r:id="rId84"/>
  <tableParts count="1">
    <tablePart r:id="rId86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10.25"/>
    <col customWidth="1" min="2" max="2" width="10.0"/>
    <col customWidth="1" min="3" max="3" width="13.0"/>
    <col customWidth="1" min="4" max="4" width="14.25"/>
    <col customWidth="1" min="5" max="5" width="17.88"/>
    <col customWidth="1" min="6" max="6" width="18.38"/>
    <col customWidth="1" min="7" max="7" width="38.0"/>
    <col customWidth="1" min="10" max="10" width="11.63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20</v>
      </c>
      <c r="B1" s="37" t="s">
        <v>677</v>
      </c>
      <c r="D1" s="37"/>
      <c r="E1" s="2" t="s">
        <v>79</v>
      </c>
      <c r="F1" s="24"/>
      <c r="G1" s="24" t="s">
        <v>62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678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77" t="s">
        <v>679</v>
      </c>
      <c r="E3" s="2" t="s">
        <v>11</v>
      </c>
      <c r="F3" s="2">
        <f>52-F61-F5</f>
        <v>7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E4" s="2" t="s">
        <v>84</v>
      </c>
      <c r="F4" s="2">
        <f>F61</f>
        <v>45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E5" s="2" t="s">
        <v>13</v>
      </c>
      <c r="F5" s="2">
        <f>I61</f>
        <v>0</v>
      </c>
      <c r="G5" s="39">
        <f>F5/52</f>
        <v>0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55">
        <v>1.0</v>
      </c>
      <c r="B8" s="55">
        <v>3.0</v>
      </c>
      <c r="C8" s="55">
        <v>30.1820492458916</v>
      </c>
      <c r="D8" s="55">
        <v>-97.7663398878488</v>
      </c>
      <c r="E8" s="55" t="s">
        <v>98</v>
      </c>
      <c r="F8" s="44" t="s">
        <v>161</v>
      </c>
      <c r="G8" s="46"/>
      <c r="H8" s="46"/>
      <c r="I8" s="47" t="b">
        <v>0</v>
      </c>
      <c r="J8" s="58">
        <f t="shared" ref="J8:J59" si="1">if(I8=true,"",S8)</f>
        <v>44357.52564</v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59" si="2">if(I8=TRUE,2,IF(ISTEXT(G8),1,0))</f>
        <v>0</v>
      </c>
      <c r="N8" s="49" t="str">
        <f>IFERROR(__xludf.DUMMYFUNCTION("split(G8,""/"")"),"#VALUE!")</f>
        <v>#VALUE!</v>
      </c>
      <c r="O8" s="50"/>
      <c r="P8" s="49"/>
      <c r="Q8" s="49"/>
      <c r="R8" s="49"/>
      <c r="S8" s="51">
        <v>44357.525639375</v>
      </c>
    </row>
    <row r="9">
      <c r="A9" s="55">
        <v>1.0</v>
      </c>
      <c r="B9" s="55">
        <v>4.0</v>
      </c>
      <c r="C9" s="55">
        <v>30.1820492457868</v>
      </c>
      <c r="D9" s="55">
        <v>-97.7661736163707</v>
      </c>
      <c r="E9" s="55" t="s">
        <v>98</v>
      </c>
      <c r="F9" s="44" t="s">
        <v>101</v>
      </c>
      <c r="G9" s="46"/>
      <c r="H9" s="46"/>
      <c r="I9" s="47" t="b">
        <v>0</v>
      </c>
      <c r="J9" s="58">
        <f t="shared" si="1"/>
        <v>44357.52566</v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0</v>
      </c>
      <c r="N9" s="49" t="str">
        <f>IFERROR(__xludf.DUMMYFUNCTION("split(G9,""/"")"),"#VALUE!")</f>
        <v>#VALUE!</v>
      </c>
      <c r="O9" s="50"/>
      <c r="P9" s="49"/>
      <c r="Q9" s="49"/>
      <c r="R9" s="49"/>
      <c r="S9" s="51">
        <v>44357.525655844904</v>
      </c>
    </row>
    <row r="10">
      <c r="A10" s="55">
        <v>1.0</v>
      </c>
      <c r="B10" s="55">
        <v>5.0</v>
      </c>
      <c r="C10" s="55">
        <v>30.1820492456819</v>
      </c>
      <c r="D10" s="55">
        <v>-97.7660073448927</v>
      </c>
      <c r="E10" s="55" t="s">
        <v>103</v>
      </c>
      <c r="F10" s="44" t="s">
        <v>104</v>
      </c>
      <c r="G10" s="46"/>
      <c r="H10" s="46"/>
      <c r="I10" s="11" t="b">
        <v>0</v>
      </c>
      <c r="J10" s="58">
        <f t="shared" si="1"/>
        <v>44357.52569</v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0</v>
      </c>
      <c r="N10" s="49" t="str">
        <f>IFERROR(__xludf.DUMMYFUNCTION("split(G10,""/"")"),"#VALUE!")</f>
        <v>#VALUE!</v>
      </c>
      <c r="O10" s="50"/>
      <c r="P10" s="49"/>
      <c r="Q10" s="49"/>
      <c r="R10" s="49"/>
      <c r="S10" s="51">
        <v>44357.52569289352</v>
      </c>
    </row>
    <row r="11">
      <c r="A11" s="55">
        <v>1.0</v>
      </c>
      <c r="B11" s="55">
        <v>6.0</v>
      </c>
      <c r="C11" s="55">
        <v>30.1820492455771</v>
      </c>
      <c r="D11" s="55">
        <v>-97.7658410734146</v>
      </c>
      <c r="E11" s="55" t="s">
        <v>103</v>
      </c>
      <c r="F11" s="44" t="s">
        <v>106</v>
      </c>
      <c r="G11" s="46"/>
      <c r="H11" s="46"/>
      <c r="I11" s="47" t="b">
        <v>0</v>
      </c>
      <c r="J11" s="58">
        <f t="shared" si="1"/>
        <v>44357.52572</v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0</v>
      </c>
      <c r="N11" s="49" t="str">
        <f>IFERROR(__xludf.DUMMYFUNCTION("split(G11,""/"")"),"#VALUE!")</f>
        <v>#VALUE!</v>
      </c>
      <c r="O11" s="50"/>
      <c r="P11" s="49"/>
      <c r="Q11" s="49"/>
      <c r="R11" s="49"/>
      <c r="S11" s="51">
        <v>44357.525719930556</v>
      </c>
    </row>
    <row r="12">
      <c r="A12" s="55">
        <v>2.0</v>
      </c>
      <c r="B12" s="55">
        <v>2.0</v>
      </c>
      <c r="C12" s="55">
        <v>30.181905515551</v>
      </c>
      <c r="D12" s="55">
        <v>-97.7665061658759</v>
      </c>
      <c r="E12" s="55" t="s">
        <v>98</v>
      </c>
      <c r="F12" s="44"/>
      <c r="G12" s="46"/>
      <c r="H12" s="44"/>
      <c r="I12" s="11" t="b">
        <v>0</v>
      </c>
      <c r="J12" s="47" t="str">
        <f t="shared" si="1"/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0</v>
      </c>
      <c r="N12" s="49" t="str">
        <f>IFERROR(__xludf.DUMMYFUNCTION("split(G12,""/"")"),"#VALUE!")</f>
        <v>#VALUE!</v>
      </c>
      <c r="O12" s="50"/>
      <c r="P12" s="49"/>
      <c r="Q12" s="49"/>
      <c r="R12" s="49"/>
      <c r="S12" s="49"/>
    </row>
    <row r="13">
      <c r="A13" s="55">
        <v>2.0</v>
      </c>
      <c r="B13" s="55">
        <v>3.0</v>
      </c>
      <c r="C13" s="55">
        <v>30.1819055154462</v>
      </c>
      <c r="D13" s="55">
        <v>-97.7663398946404</v>
      </c>
      <c r="E13" s="55" t="s">
        <v>98</v>
      </c>
      <c r="F13" s="46"/>
      <c r="G13" s="46"/>
      <c r="H13" s="46"/>
      <c r="I13" s="47" t="b">
        <v>0</v>
      </c>
      <c r="J13" s="47" t="str">
        <f t="shared" si="1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0</v>
      </c>
      <c r="N13" s="49" t="str">
        <f>IFERROR(__xludf.DUMMYFUNCTION("split(G13,""/"")"),"#VALUE!")</f>
        <v>#VALUE!</v>
      </c>
      <c r="O13" s="50"/>
      <c r="P13" s="49"/>
      <c r="Q13" s="49"/>
      <c r="R13" s="49"/>
      <c r="S13" s="49"/>
    </row>
    <row r="14">
      <c r="A14" s="55">
        <v>2.0</v>
      </c>
      <c r="B14" s="55">
        <v>4.0</v>
      </c>
      <c r="C14" s="55">
        <v>30.1819055153413</v>
      </c>
      <c r="D14" s="55">
        <v>-97.7661736234049</v>
      </c>
      <c r="E14" s="55" t="s">
        <v>98</v>
      </c>
      <c r="F14" s="46"/>
      <c r="G14" s="46"/>
      <c r="H14" s="46"/>
      <c r="I14" s="47" t="b">
        <v>0</v>
      </c>
      <c r="J14" s="47" t="str">
        <f t="shared" si="1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0</v>
      </c>
      <c r="N14" s="49" t="str">
        <f>IFERROR(__xludf.DUMMYFUNCTION("split(G14,""/"")"),"#VALUE!")</f>
        <v>#VALUE!</v>
      </c>
      <c r="O14" s="50"/>
      <c r="P14" s="49"/>
      <c r="Q14" s="49"/>
      <c r="R14" s="49"/>
      <c r="S14" s="49"/>
    </row>
    <row r="15">
      <c r="A15" s="55">
        <v>2.0</v>
      </c>
      <c r="B15" s="55">
        <v>5.0</v>
      </c>
      <c r="C15" s="55">
        <v>30.1819055152365</v>
      </c>
      <c r="D15" s="55">
        <v>-97.7660073521694</v>
      </c>
      <c r="E15" s="55" t="s">
        <v>103</v>
      </c>
      <c r="F15" s="46"/>
      <c r="G15" s="46"/>
      <c r="H15" s="46"/>
      <c r="I15" s="47" t="b">
        <v>0</v>
      </c>
      <c r="J15" s="47" t="str">
        <f t="shared" si="1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0</v>
      </c>
      <c r="N15" s="49" t="str">
        <f>IFERROR(__xludf.DUMMYFUNCTION("split(G15,""/"")"),"#VALUE!")</f>
        <v>#VALUE!</v>
      </c>
      <c r="O15" s="50"/>
      <c r="P15" s="49"/>
      <c r="Q15" s="49"/>
      <c r="R15" s="49"/>
      <c r="S15" s="49"/>
    </row>
    <row r="16">
      <c r="A16" s="55">
        <v>2.0</v>
      </c>
      <c r="B16" s="55">
        <v>6.0</v>
      </c>
      <c r="C16" s="55">
        <v>30.1819055151316</v>
      </c>
      <c r="D16" s="55">
        <v>-97.7658410809339</v>
      </c>
      <c r="E16" s="55" t="s">
        <v>98</v>
      </c>
      <c r="F16" s="44"/>
      <c r="G16" s="46"/>
      <c r="H16" s="46"/>
      <c r="I16" s="11" t="b">
        <v>0</v>
      </c>
      <c r="J16" s="47" t="str">
        <f t="shared" si="1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0</v>
      </c>
      <c r="N16" s="49" t="str">
        <f>IFERROR(__xludf.DUMMYFUNCTION("split(G16,""/"")"),"#VALUE!")</f>
        <v>#VALUE!</v>
      </c>
      <c r="O16" s="50"/>
      <c r="P16" s="49"/>
      <c r="Q16" s="49"/>
      <c r="R16" s="49"/>
      <c r="S16" s="49"/>
    </row>
    <row r="17">
      <c r="A17" s="55">
        <v>2.0</v>
      </c>
      <c r="B17" s="55">
        <v>7.0</v>
      </c>
      <c r="C17" s="55">
        <v>30.1819055150268</v>
      </c>
      <c r="D17" s="55">
        <v>-97.7656748096984</v>
      </c>
      <c r="E17" s="55" t="s">
        <v>98</v>
      </c>
      <c r="F17" s="44"/>
      <c r="G17" s="46"/>
      <c r="H17" s="46"/>
      <c r="I17" s="11" t="b">
        <v>0</v>
      </c>
      <c r="J17" s="47" t="str">
        <f t="shared" si="1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0</v>
      </c>
      <c r="N17" s="49" t="str">
        <f>IFERROR(__xludf.DUMMYFUNCTION("split(G17,""/"")"),"#VALUE!")</f>
        <v>#VALUE!</v>
      </c>
      <c r="O17" s="50"/>
      <c r="P17" s="49"/>
      <c r="Q17" s="49"/>
      <c r="R17" s="49"/>
      <c r="S17" s="49"/>
    </row>
    <row r="18">
      <c r="A18" s="55">
        <v>3.0</v>
      </c>
      <c r="B18" s="55">
        <v>1.0</v>
      </c>
      <c r="C18" s="55">
        <v>30.1817617852104</v>
      </c>
      <c r="D18" s="55">
        <v>-97.766672443419</v>
      </c>
      <c r="E18" s="55" t="s">
        <v>98</v>
      </c>
      <c r="F18" s="44" t="s">
        <v>207</v>
      </c>
      <c r="G18" s="46"/>
      <c r="H18" s="46"/>
      <c r="I18" s="47" t="b">
        <v>0</v>
      </c>
      <c r="J18" s="58">
        <f t="shared" si="1"/>
        <v>44357.52576</v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0</v>
      </c>
      <c r="N18" s="49" t="str">
        <f>IFERROR(__xludf.DUMMYFUNCTION("split(G18,""/"")"),"#VALUE!")</f>
        <v>#VALUE!</v>
      </c>
      <c r="O18" s="50"/>
      <c r="P18" s="49"/>
      <c r="Q18" s="49"/>
      <c r="R18" s="49"/>
      <c r="S18" s="51">
        <v>44357.52576142361</v>
      </c>
    </row>
    <row r="19">
      <c r="A19" s="55">
        <v>3.0</v>
      </c>
      <c r="B19" s="55">
        <v>2.0</v>
      </c>
      <c r="C19" s="55">
        <v>30.1817617851056</v>
      </c>
      <c r="D19" s="55">
        <v>-97.7665061724261</v>
      </c>
      <c r="E19" s="55" t="s">
        <v>98</v>
      </c>
      <c r="F19" s="46"/>
      <c r="G19" s="46"/>
      <c r="H19" s="46"/>
      <c r="I19" s="47" t="b">
        <v>0</v>
      </c>
      <c r="J19" s="47" t="str">
        <f t="shared" si="1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0</v>
      </c>
      <c r="N19" s="49" t="str">
        <f>IFERROR(__xludf.DUMMYFUNCTION("split(G19,""/"")"),"#VALUE!")</f>
        <v>#VALUE!</v>
      </c>
      <c r="O19" s="50"/>
      <c r="P19" s="49"/>
      <c r="Q19" s="49"/>
      <c r="R19" s="49"/>
      <c r="S19" s="49"/>
    </row>
    <row r="20">
      <c r="A20" s="55">
        <v>3.0</v>
      </c>
      <c r="B20" s="55">
        <v>3.0</v>
      </c>
      <c r="C20" s="55">
        <v>30.1817617850007</v>
      </c>
      <c r="D20" s="55">
        <v>-97.7663399014332</v>
      </c>
      <c r="E20" s="55" t="s">
        <v>98</v>
      </c>
      <c r="F20" s="46"/>
      <c r="G20" s="46"/>
      <c r="H20" s="46"/>
      <c r="I20" s="47" t="b">
        <v>0</v>
      </c>
      <c r="J20" s="47" t="str">
        <f t="shared" si="1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0</v>
      </c>
      <c r="N20" s="49" t="str">
        <f>IFERROR(__xludf.DUMMYFUNCTION("split(G20,""/"")"),"#VALUE!")</f>
        <v>#VALUE!</v>
      </c>
      <c r="O20" s="50"/>
      <c r="P20" s="49"/>
      <c r="Q20" s="49"/>
      <c r="R20" s="49"/>
      <c r="S20" s="49"/>
    </row>
    <row r="21">
      <c r="A21" s="55">
        <v>3.0</v>
      </c>
      <c r="B21" s="55">
        <v>4.0</v>
      </c>
      <c r="C21" s="55">
        <v>30.1817617848959</v>
      </c>
      <c r="D21" s="55">
        <v>-97.7661736304403</v>
      </c>
      <c r="E21" s="55" t="s">
        <v>98</v>
      </c>
      <c r="F21" s="46"/>
      <c r="G21" s="46"/>
      <c r="H21" s="46"/>
      <c r="I21" s="47" t="b">
        <v>0</v>
      </c>
      <c r="J21" s="47" t="str">
        <f t="shared" si="1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2"/>
        <v>0</v>
      </c>
      <c r="N21" s="49" t="str">
        <f>IFERROR(__xludf.DUMMYFUNCTION("split(G21,""/"")"),"#VALUE!")</f>
        <v>#VALUE!</v>
      </c>
      <c r="O21" s="50"/>
      <c r="P21" s="49"/>
      <c r="Q21" s="49"/>
      <c r="R21" s="49"/>
      <c r="S21" s="49"/>
    </row>
    <row r="22">
      <c r="A22" s="55">
        <v>3.0</v>
      </c>
      <c r="B22" s="55">
        <v>5.0</v>
      </c>
      <c r="C22" s="55">
        <v>30.181761784791</v>
      </c>
      <c r="D22" s="55">
        <v>-97.7660073594474</v>
      </c>
      <c r="E22" s="55" t="s">
        <v>98</v>
      </c>
      <c r="F22" s="46"/>
      <c r="G22" s="46"/>
      <c r="H22" s="46"/>
      <c r="I22" s="47" t="b">
        <v>0</v>
      </c>
      <c r="J22" s="47" t="str">
        <f t="shared" si="1"/>
        <v/>
      </c>
      <c r="K22" s="49" t="str">
        <f>IFERROR(__xludf.DUMMYFUNCTION("IF(M22=1,IFERROR(IMPORTXML(G22, ""//p[@class='status-date']""), ""Not deployed""),"""")"),"")</f>
        <v/>
      </c>
      <c r="L22" s="48"/>
      <c r="M22" s="48">
        <f t="shared" si="2"/>
        <v>0</v>
      </c>
      <c r="N22" s="49" t="str">
        <f>IFERROR(__xludf.DUMMYFUNCTION("split(G22,""/"")"),"#VALUE!")</f>
        <v>#VALUE!</v>
      </c>
      <c r="O22" s="50"/>
      <c r="P22" s="49"/>
      <c r="Q22" s="49"/>
      <c r="R22" s="49"/>
      <c r="S22" s="49"/>
    </row>
    <row r="23">
      <c r="A23" s="55">
        <v>3.0</v>
      </c>
      <c r="B23" s="55">
        <v>6.0</v>
      </c>
      <c r="C23" s="55">
        <v>30.1817617846862</v>
      </c>
      <c r="D23" s="55">
        <v>-97.7658410884545</v>
      </c>
      <c r="E23" s="55" t="s">
        <v>98</v>
      </c>
      <c r="F23" s="46"/>
      <c r="G23" s="46"/>
      <c r="H23" s="46"/>
      <c r="I23" s="47" t="b">
        <v>0</v>
      </c>
      <c r="J23" s="47" t="str">
        <f t="shared" si="1"/>
        <v/>
      </c>
      <c r="K23" s="49" t="str">
        <f>IFERROR(__xludf.DUMMYFUNCTION("IF(M23=1,IFERROR(IMPORTXML(G23, ""//p[@class='status-date']""), ""Not deployed""),"""")"),"")</f>
        <v/>
      </c>
      <c r="L23" s="48"/>
      <c r="M23" s="48">
        <f t="shared" si="2"/>
        <v>0</v>
      </c>
      <c r="N23" s="49" t="str">
        <f>IFERROR(__xludf.DUMMYFUNCTION("split(G23,""/"")"),"#VALUE!")</f>
        <v>#VALUE!</v>
      </c>
      <c r="O23" s="50"/>
      <c r="P23" s="49"/>
      <c r="Q23" s="49"/>
      <c r="R23" s="49"/>
      <c r="S23" s="49"/>
    </row>
    <row r="24">
      <c r="A24" s="55">
        <v>3.0</v>
      </c>
      <c r="B24" s="55">
        <v>7.0</v>
      </c>
      <c r="C24" s="55">
        <v>30.1817617845813</v>
      </c>
      <c r="D24" s="55">
        <v>-97.7656748174616</v>
      </c>
      <c r="E24" s="55" t="s">
        <v>98</v>
      </c>
      <c r="F24" s="46"/>
      <c r="G24" s="46"/>
      <c r="H24" s="46"/>
      <c r="I24" s="47" t="b">
        <v>0</v>
      </c>
      <c r="J24" s="47" t="str">
        <f t="shared" si="1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2"/>
        <v>0</v>
      </c>
      <c r="N24" s="49" t="str">
        <f>IFERROR(__xludf.DUMMYFUNCTION("split(G24,""/"")"),"#VALUE!")</f>
        <v>#VALUE!</v>
      </c>
      <c r="O24" s="50"/>
      <c r="P24" s="49"/>
      <c r="Q24" s="49"/>
      <c r="R24" s="49"/>
      <c r="S24" s="49"/>
    </row>
    <row r="25">
      <c r="A25" s="55">
        <v>3.0</v>
      </c>
      <c r="B25" s="55">
        <v>8.0</v>
      </c>
      <c r="C25" s="55">
        <v>30.1817617844765</v>
      </c>
      <c r="D25" s="55">
        <v>-97.7655085464687</v>
      </c>
      <c r="E25" s="55" t="s">
        <v>98</v>
      </c>
      <c r="F25" s="46"/>
      <c r="G25" s="46"/>
      <c r="H25" s="46"/>
      <c r="I25" s="11" t="b">
        <v>0</v>
      </c>
      <c r="J25" s="47" t="str">
        <f t="shared" si="1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2"/>
        <v>0</v>
      </c>
      <c r="N25" s="49" t="str">
        <f>IFERROR(__xludf.DUMMYFUNCTION("split(G25,""/"")"),"#VALUE!")</f>
        <v>#VALUE!</v>
      </c>
      <c r="O25" s="50"/>
      <c r="P25" s="49"/>
      <c r="Q25" s="49"/>
      <c r="R25" s="49"/>
      <c r="S25" s="49"/>
    </row>
    <row r="26">
      <c r="A26" s="55">
        <v>4.0</v>
      </c>
      <c r="B26" s="55">
        <v>1.0</v>
      </c>
      <c r="C26" s="55">
        <v>30.1816180547649</v>
      </c>
      <c r="D26" s="55">
        <v>-97.7666724497254</v>
      </c>
      <c r="E26" s="55" t="s">
        <v>98</v>
      </c>
      <c r="F26" s="46"/>
      <c r="G26" s="46"/>
      <c r="H26" s="46"/>
      <c r="I26" s="47" t="b">
        <v>0</v>
      </c>
      <c r="J26" s="47" t="str">
        <f t="shared" si="1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2"/>
        <v>0</v>
      </c>
      <c r="N26" s="49" t="str">
        <f>IFERROR(__xludf.DUMMYFUNCTION("split(G26,""/"")"),"#VALUE!")</f>
        <v>#VALUE!</v>
      </c>
      <c r="O26" s="50"/>
      <c r="P26" s="49"/>
      <c r="Q26" s="49"/>
      <c r="R26" s="49"/>
      <c r="S26" s="49"/>
    </row>
    <row r="27">
      <c r="A27" s="55">
        <v>4.0</v>
      </c>
      <c r="B27" s="55">
        <v>2.0</v>
      </c>
      <c r="C27" s="55">
        <v>30.1816180546601</v>
      </c>
      <c r="D27" s="55">
        <v>-97.766506178975</v>
      </c>
      <c r="E27" s="55" t="s">
        <v>103</v>
      </c>
      <c r="F27" s="46"/>
      <c r="G27" s="46"/>
      <c r="H27" s="46"/>
      <c r="I27" s="47" t="b">
        <v>0</v>
      </c>
      <c r="J27" s="47" t="str">
        <f t="shared" si="1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2"/>
        <v>0</v>
      </c>
      <c r="N27" s="49" t="str">
        <f>IFERROR(__xludf.DUMMYFUNCTION("split(G27,""/"")"),"#VALUE!")</f>
        <v>#VALUE!</v>
      </c>
      <c r="O27" s="50"/>
      <c r="P27" s="49"/>
      <c r="Q27" s="49"/>
      <c r="R27" s="49"/>
      <c r="S27" s="49"/>
    </row>
    <row r="28">
      <c r="A28" s="55">
        <v>4.0</v>
      </c>
      <c r="B28" s="55">
        <v>3.0</v>
      </c>
      <c r="C28" s="55">
        <v>30.1816180545552</v>
      </c>
      <c r="D28" s="55">
        <v>-97.7663399082247</v>
      </c>
      <c r="E28" s="55" t="s">
        <v>98</v>
      </c>
      <c r="F28" s="46"/>
      <c r="G28" s="46"/>
      <c r="H28" s="46"/>
      <c r="I28" s="47" t="b">
        <v>0</v>
      </c>
      <c r="J28" s="47" t="str">
        <f t="shared" si="1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2"/>
        <v>0</v>
      </c>
      <c r="N28" s="49" t="str">
        <f>IFERROR(__xludf.DUMMYFUNCTION("split(G28,""/"")"),"#VALUE!")</f>
        <v>#VALUE!</v>
      </c>
      <c r="O28" s="50"/>
      <c r="P28" s="49"/>
      <c r="Q28" s="49"/>
      <c r="R28" s="49"/>
      <c r="S28" s="49"/>
    </row>
    <row r="29">
      <c r="A29" s="55">
        <v>4.0</v>
      </c>
      <c r="B29" s="55">
        <v>4.0</v>
      </c>
      <c r="C29" s="55">
        <v>30.1816180544504</v>
      </c>
      <c r="D29" s="55">
        <v>-97.7661736374743</v>
      </c>
      <c r="E29" s="55" t="s">
        <v>98</v>
      </c>
      <c r="F29" s="46"/>
      <c r="G29" s="46"/>
      <c r="H29" s="46"/>
      <c r="I29" s="47" t="b">
        <v>0</v>
      </c>
      <c r="J29" s="47" t="str">
        <f t="shared" si="1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2"/>
        <v>0</v>
      </c>
      <c r="N29" s="49" t="str">
        <f>IFERROR(__xludf.DUMMYFUNCTION("split(G29,""/"")"),"#VALUE!")</f>
        <v>#VALUE!</v>
      </c>
      <c r="O29" s="50"/>
      <c r="P29" s="49"/>
      <c r="Q29" s="49"/>
      <c r="R29" s="49"/>
      <c r="S29" s="49"/>
    </row>
    <row r="30">
      <c r="A30" s="55">
        <v>4.0</v>
      </c>
      <c r="B30" s="55">
        <v>5.0</v>
      </c>
      <c r="C30" s="55">
        <v>30.1816180543455</v>
      </c>
      <c r="D30" s="55">
        <v>-97.766007366724</v>
      </c>
      <c r="E30" s="55" t="s">
        <v>98</v>
      </c>
      <c r="F30" s="46"/>
      <c r="G30" s="46"/>
      <c r="H30" s="46"/>
      <c r="I30" s="11" t="b">
        <v>0</v>
      </c>
      <c r="J30" s="47" t="str">
        <f t="shared" si="1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2"/>
        <v>0</v>
      </c>
      <c r="N30" s="49" t="str">
        <f>IFERROR(__xludf.DUMMYFUNCTION("split(G30,""/"")"),"#VALUE!")</f>
        <v>#VALUE!</v>
      </c>
      <c r="O30" s="50"/>
      <c r="P30" s="49"/>
      <c r="Q30" s="49"/>
      <c r="R30" s="49"/>
      <c r="S30" s="49"/>
    </row>
    <row r="31">
      <c r="A31" s="55">
        <v>4.0</v>
      </c>
      <c r="B31" s="55">
        <v>6.0</v>
      </c>
      <c r="C31" s="55">
        <v>30.1816180542407</v>
      </c>
      <c r="D31" s="55">
        <v>-97.7658410959736</v>
      </c>
      <c r="E31" s="55" t="s">
        <v>103</v>
      </c>
      <c r="F31" s="46"/>
      <c r="G31" s="46"/>
      <c r="H31" s="46"/>
      <c r="I31" s="47" t="b">
        <v>0</v>
      </c>
      <c r="J31" s="47" t="str">
        <f t="shared" si="1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2"/>
        <v>0</v>
      </c>
      <c r="N31" s="49" t="str">
        <f>IFERROR(__xludf.DUMMYFUNCTION("split(G31,""/"")"),"#VALUE!")</f>
        <v>#VALUE!</v>
      </c>
      <c r="O31" s="50"/>
      <c r="P31" s="49"/>
      <c r="Q31" s="49"/>
      <c r="R31" s="49"/>
      <c r="S31" s="49"/>
    </row>
    <row r="32">
      <c r="A32" s="55">
        <v>4.0</v>
      </c>
      <c r="B32" s="55">
        <v>7.0</v>
      </c>
      <c r="C32" s="55">
        <v>30.1816180541359</v>
      </c>
      <c r="D32" s="55">
        <v>-97.7656748252233</v>
      </c>
      <c r="E32" s="55" t="s">
        <v>98</v>
      </c>
      <c r="F32" s="46"/>
      <c r="G32" s="46"/>
      <c r="H32" s="46"/>
      <c r="I32" s="47" t="b">
        <v>0</v>
      </c>
      <c r="J32" s="47" t="str">
        <f t="shared" si="1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2"/>
        <v>0</v>
      </c>
      <c r="N32" s="49" t="str">
        <f>IFERROR(__xludf.DUMMYFUNCTION("split(G32,""/"")"),"#VALUE!")</f>
        <v>#VALUE!</v>
      </c>
      <c r="O32" s="50"/>
      <c r="P32" s="49"/>
      <c r="Q32" s="49"/>
      <c r="R32" s="49"/>
      <c r="S32" s="49"/>
    </row>
    <row r="33">
      <c r="A33" s="55">
        <v>4.0</v>
      </c>
      <c r="B33" s="55">
        <v>8.0</v>
      </c>
      <c r="C33" s="55">
        <v>30.181618054031</v>
      </c>
      <c r="D33" s="55">
        <v>-97.7655085544729</v>
      </c>
      <c r="E33" s="55" t="s">
        <v>98</v>
      </c>
      <c r="F33" s="46"/>
      <c r="G33" s="46"/>
      <c r="H33" s="46"/>
      <c r="I33" s="47" t="b">
        <v>0</v>
      </c>
      <c r="J33" s="47" t="str">
        <f t="shared" si="1"/>
        <v/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2"/>
        <v>0</v>
      </c>
      <c r="N33" s="49" t="str">
        <f>IFERROR(__xludf.DUMMYFUNCTION("split(G33,""/"")"),"#VALUE!")</f>
        <v>#VALUE!</v>
      </c>
      <c r="O33" s="50"/>
      <c r="P33" s="49"/>
      <c r="Q33" s="49"/>
      <c r="R33" s="49"/>
      <c r="S33" s="49"/>
    </row>
    <row r="34">
      <c r="A34" s="55">
        <v>5.0</v>
      </c>
      <c r="B34" s="55">
        <v>1.0</v>
      </c>
      <c r="C34" s="55">
        <v>30.1814743243195</v>
      </c>
      <c r="D34" s="55">
        <v>-97.7666724560332</v>
      </c>
      <c r="E34" s="55" t="s">
        <v>103</v>
      </c>
      <c r="F34" s="46"/>
      <c r="G34" s="46"/>
      <c r="H34" s="46"/>
      <c r="I34" s="47" t="b">
        <v>0</v>
      </c>
      <c r="J34" s="47" t="str">
        <f t="shared" si="1"/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2"/>
        <v>0</v>
      </c>
      <c r="N34" s="49" t="str">
        <f>IFERROR(__xludf.DUMMYFUNCTION("split(G34,""/"")"),"#VALUE!")</f>
        <v>#VALUE!</v>
      </c>
      <c r="O34" s="50"/>
      <c r="P34" s="49"/>
      <c r="Q34" s="49"/>
      <c r="R34" s="49"/>
      <c r="S34" s="49"/>
    </row>
    <row r="35">
      <c r="A35" s="55">
        <v>5.0</v>
      </c>
      <c r="B35" s="55">
        <v>2.0</v>
      </c>
      <c r="C35" s="55">
        <v>30.1814743242146</v>
      </c>
      <c r="D35" s="55">
        <v>-97.7665061855254</v>
      </c>
      <c r="E35" s="55" t="s">
        <v>98</v>
      </c>
      <c r="F35" s="46"/>
      <c r="G35" s="46"/>
      <c r="H35" s="46"/>
      <c r="I35" s="47" t="b">
        <v>0</v>
      </c>
      <c r="J35" s="47" t="str">
        <f t="shared" si="1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2"/>
        <v>0</v>
      </c>
      <c r="N35" s="49" t="str">
        <f>IFERROR(__xludf.DUMMYFUNCTION("split(G35,""/"")"),"#VALUE!")</f>
        <v>#VALUE!</v>
      </c>
      <c r="O35" s="50"/>
      <c r="P35" s="49"/>
      <c r="Q35" s="49"/>
      <c r="R35" s="49"/>
      <c r="S35" s="49"/>
    </row>
    <row r="36">
      <c r="A36" s="55">
        <v>5.0</v>
      </c>
      <c r="B36" s="55">
        <v>3.0</v>
      </c>
      <c r="C36" s="55">
        <v>30.1814743241098</v>
      </c>
      <c r="D36" s="55">
        <v>-97.7663399150177</v>
      </c>
      <c r="E36" s="55" t="s">
        <v>103</v>
      </c>
      <c r="F36" s="46"/>
      <c r="G36" s="46"/>
      <c r="H36" s="46"/>
      <c r="I36" s="47" t="b">
        <v>0</v>
      </c>
      <c r="J36" s="47" t="str">
        <f t="shared" si="1"/>
        <v/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2"/>
        <v>0</v>
      </c>
      <c r="N36" s="49" t="str">
        <f>IFERROR(__xludf.DUMMYFUNCTION("split(G36,""/"")"),"#VALUE!")</f>
        <v>#VALUE!</v>
      </c>
      <c r="O36" s="50"/>
      <c r="P36" s="49"/>
      <c r="Q36" s="49"/>
      <c r="R36" s="49"/>
      <c r="S36" s="49"/>
    </row>
    <row r="37">
      <c r="A37" s="55">
        <v>5.0</v>
      </c>
      <c r="B37" s="55">
        <v>4.0</v>
      </c>
      <c r="C37" s="55">
        <v>30.1814743240049</v>
      </c>
      <c r="D37" s="55">
        <v>-97.7661736445099</v>
      </c>
      <c r="E37" s="55" t="s">
        <v>98</v>
      </c>
      <c r="F37" s="46"/>
      <c r="G37" s="46"/>
      <c r="H37" s="46"/>
      <c r="I37" s="47" t="b">
        <v>0</v>
      </c>
      <c r="J37" s="47" t="str">
        <f t="shared" si="1"/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2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55">
        <v>5.0</v>
      </c>
      <c r="B38" s="55">
        <v>5.0</v>
      </c>
      <c r="C38" s="55">
        <v>30.1814743239001</v>
      </c>
      <c r="D38" s="55">
        <v>-97.7660073740022</v>
      </c>
      <c r="E38" s="55" t="s">
        <v>98</v>
      </c>
      <c r="F38" s="46"/>
      <c r="G38" s="46"/>
      <c r="H38" s="46"/>
      <c r="I38" s="47" t="b">
        <v>0</v>
      </c>
      <c r="J38" s="47" t="str">
        <f t="shared" si="1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2"/>
        <v>0</v>
      </c>
      <c r="N38" s="49" t="str">
        <f>IFERROR(__xludf.DUMMYFUNCTION("split(G38,""/"")"),"#VALUE!")</f>
        <v>#VALUE!</v>
      </c>
      <c r="O38" s="50"/>
      <c r="P38" s="49"/>
      <c r="Q38" s="49"/>
      <c r="R38" s="49"/>
      <c r="S38" s="49"/>
    </row>
    <row r="39">
      <c r="A39" s="55">
        <v>5.0</v>
      </c>
      <c r="B39" s="55">
        <v>6.0</v>
      </c>
      <c r="C39" s="55">
        <v>30.1814743237953</v>
      </c>
      <c r="D39" s="55">
        <v>-97.7658411034945</v>
      </c>
      <c r="E39" s="55" t="s">
        <v>98</v>
      </c>
      <c r="F39" s="46"/>
      <c r="G39" s="46"/>
      <c r="H39" s="46"/>
      <c r="I39" s="47" t="b">
        <v>0</v>
      </c>
      <c r="J39" s="47" t="str">
        <f t="shared" si="1"/>
        <v/>
      </c>
      <c r="K39" s="49" t="str">
        <f>IFERROR(__xludf.DUMMYFUNCTION("IF(M39=1,IFERROR(IMPORTXML(G39, ""//p[@class='status-date']""), ""Not deployed""),"""")"),"")</f>
        <v/>
      </c>
      <c r="L39" s="48"/>
      <c r="M39" s="48">
        <f t="shared" si="2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49"/>
    </row>
    <row r="40">
      <c r="A40" s="55">
        <v>5.0</v>
      </c>
      <c r="B40" s="55">
        <v>7.0</v>
      </c>
      <c r="C40" s="55">
        <v>30.1814743236904</v>
      </c>
      <c r="D40" s="55">
        <v>-97.7656748329867</v>
      </c>
      <c r="E40" s="55" t="s">
        <v>98</v>
      </c>
      <c r="F40" s="46"/>
      <c r="G40" s="46"/>
      <c r="H40" s="46"/>
      <c r="I40" s="47" t="b">
        <v>0</v>
      </c>
      <c r="J40" s="47" t="str">
        <f t="shared" si="1"/>
        <v/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2"/>
        <v>0</v>
      </c>
      <c r="N40" s="49" t="str">
        <f>IFERROR(__xludf.DUMMYFUNCTION("split(G40,""/"")"),"#VALUE!")</f>
        <v>#VALUE!</v>
      </c>
      <c r="O40" s="50"/>
      <c r="P40" s="49"/>
      <c r="Q40" s="49"/>
      <c r="R40" s="49"/>
      <c r="S40" s="49"/>
    </row>
    <row r="41">
      <c r="A41" s="55">
        <v>5.0</v>
      </c>
      <c r="B41" s="55">
        <v>8.0</v>
      </c>
      <c r="C41" s="55">
        <v>30.1814743235856</v>
      </c>
      <c r="D41" s="55">
        <v>-97.765508562479</v>
      </c>
      <c r="E41" s="55" t="s">
        <v>98</v>
      </c>
      <c r="F41" s="46"/>
      <c r="G41" s="46"/>
      <c r="H41" s="46"/>
      <c r="I41" s="47" t="b">
        <v>0</v>
      </c>
      <c r="J41" s="47" t="str">
        <f t="shared" si="1"/>
        <v/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2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49"/>
    </row>
    <row r="42">
      <c r="A42" s="55">
        <v>6.0</v>
      </c>
      <c r="B42" s="55">
        <v>1.0</v>
      </c>
      <c r="C42" s="55">
        <v>30.1813305938741</v>
      </c>
      <c r="D42" s="55">
        <v>-97.7666724623401</v>
      </c>
      <c r="E42" s="55" t="s">
        <v>98</v>
      </c>
      <c r="F42" s="44"/>
      <c r="G42" s="44"/>
      <c r="H42" s="46"/>
      <c r="I42" s="47" t="b">
        <v>0</v>
      </c>
      <c r="J42" s="47" t="str">
        <f t="shared" si="1"/>
        <v/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2"/>
        <v>0</v>
      </c>
      <c r="N42" s="49" t="str">
        <f>IFERROR(__xludf.DUMMYFUNCTION("split(G42,""/"")"),"#VALUE!")</f>
        <v>#VALUE!</v>
      </c>
      <c r="O42" s="50"/>
      <c r="P42" s="49"/>
      <c r="Q42" s="49"/>
      <c r="R42" s="49"/>
      <c r="S42" s="49"/>
    </row>
    <row r="43">
      <c r="A43" s="55">
        <v>6.0</v>
      </c>
      <c r="B43" s="55">
        <v>2.0</v>
      </c>
      <c r="C43" s="55">
        <v>30.1813305937692</v>
      </c>
      <c r="D43" s="55">
        <v>-97.7665061920749</v>
      </c>
      <c r="E43" s="55" t="s">
        <v>98</v>
      </c>
      <c r="F43" s="46"/>
      <c r="G43" s="46"/>
      <c r="H43" s="46"/>
      <c r="I43" s="47" t="b">
        <v>0</v>
      </c>
      <c r="J43" s="47" t="str">
        <f t="shared" si="1"/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2"/>
        <v>0</v>
      </c>
      <c r="N43" s="49" t="str">
        <f>IFERROR(__xludf.DUMMYFUNCTION("split(G43,""/"")"),"#VALUE!")</f>
        <v>#VALUE!</v>
      </c>
      <c r="O43" s="50"/>
      <c r="P43" s="49"/>
      <c r="Q43" s="49"/>
      <c r="R43" s="49"/>
      <c r="S43" s="49"/>
    </row>
    <row r="44">
      <c r="A44" s="55">
        <v>6.0</v>
      </c>
      <c r="B44" s="55">
        <v>3.0</v>
      </c>
      <c r="C44" s="55">
        <v>30.1813305936644</v>
      </c>
      <c r="D44" s="55">
        <v>-97.7663399218098</v>
      </c>
      <c r="E44" s="55" t="s">
        <v>103</v>
      </c>
      <c r="F44" s="46"/>
      <c r="G44" s="46"/>
      <c r="H44" s="46"/>
      <c r="I44" s="47" t="b">
        <v>0</v>
      </c>
      <c r="J44" s="47" t="str">
        <f t="shared" si="1"/>
        <v/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2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55">
        <v>30.1813305935595</v>
      </c>
      <c r="D45" s="55">
        <v>-97.7661736515446</v>
      </c>
      <c r="E45" s="55" t="s">
        <v>98</v>
      </c>
      <c r="F45" s="46"/>
      <c r="G45" s="46"/>
      <c r="H45" s="46"/>
      <c r="I45" s="47" t="b">
        <v>0</v>
      </c>
      <c r="J45" s="47" t="str">
        <f t="shared" si="1"/>
        <v/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2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55">
        <v>30.1813305934547</v>
      </c>
      <c r="D46" s="55">
        <v>-97.7660073812794</v>
      </c>
      <c r="E46" s="55" t="s">
        <v>98</v>
      </c>
      <c r="F46" s="44"/>
      <c r="G46" s="46"/>
      <c r="H46" s="46"/>
      <c r="I46" s="47" t="b">
        <v>0</v>
      </c>
      <c r="J46" s="47" t="str">
        <f t="shared" si="1"/>
        <v/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2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55">
        <v>30.1813305933498</v>
      </c>
      <c r="D47" s="55">
        <v>-97.7658411110142</v>
      </c>
      <c r="E47" s="55" t="s">
        <v>103</v>
      </c>
      <c r="F47" s="46"/>
      <c r="G47" s="46"/>
      <c r="H47" s="46"/>
      <c r="I47" s="11" t="b">
        <v>0</v>
      </c>
      <c r="J47" s="47" t="str">
        <f t="shared" si="1"/>
        <v/>
      </c>
      <c r="K47" s="49" t="str">
        <f>IFERROR(__xludf.DUMMYFUNCTION("IF(M47=1,IFERROR(IMPORTXML(G47, ""//p[@class='status-date']""), ""Not deployed""),"""")"),"")</f>
        <v/>
      </c>
      <c r="L47" s="48"/>
      <c r="M47" s="48">
        <f t="shared" si="2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55">
        <v>6.0</v>
      </c>
      <c r="B48" s="55">
        <v>7.0</v>
      </c>
      <c r="C48" s="55">
        <v>30.181330593245</v>
      </c>
      <c r="D48" s="55">
        <v>-97.765674840749</v>
      </c>
      <c r="E48" s="55" t="s">
        <v>98</v>
      </c>
      <c r="F48" s="44" t="s">
        <v>680</v>
      </c>
      <c r="G48" s="46"/>
      <c r="H48" s="46"/>
      <c r="I48" s="11" t="b">
        <v>0</v>
      </c>
      <c r="J48" s="58">
        <f t="shared" si="1"/>
        <v>44357.52585</v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2"/>
        <v>0</v>
      </c>
      <c r="N48" s="49" t="str">
        <f>IFERROR(__xludf.DUMMYFUNCTION("split(G48,""/"")"),"#VALUE!")</f>
        <v>#VALUE!</v>
      </c>
      <c r="O48" s="50"/>
      <c r="P48" s="49"/>
      <c r="Q48" s="49"/>
      <c r="R48" s="49"/>
      <c r="S48" s="51">
        <v>44357.52584553241</v>
      </c>
    </row>
    <row r="49">
      <c r="A49" s="55">
        <v>6.0</v>
      </c>
      <c r="B49" s="55">
        <v>8.0</v>
      </c>
      <c r="C49" s="55">
        <v>30.1813305931401</v>
      </c>
      <c r="D49" s="55">
        <v>-97.7655085704839</v>
      </c>
      <c r="E49" s="55" t="s">
        <v>98</v>
      </c>
      <c r="F49" s="44" t="s">
        <v>147</v>
      </c>
      <c r="G49" s="46"/>
      <c r="H49" s="46"/>
      <c r="I49" s="11" t="b">
        <v>0</v>
      </c>
      <c r="J49" s="58">
        <f t="shared" si="1"/>
        <v>44357.52589</v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2"/>
        <v>0</v>
      </c>
      <c r="N49" s="49" t="str">
        <f>IFERROR(__xludf.DUMMYFUNCTION("split(G49,""/"")"),"#VALUE!")</f>
        <v>#VALUE!</v>
      </c>
      <c r="O49" s="50"/>
      <c r="P49" s="49"/>
      <c r="Q49" s="49"/>
      <c r="R49" s="49"/>
      <c r="S49" s="51">
        <v>44357.5258938426</v>
      </c>
    </row>
    <row r="50">
      <c r="A50" s="55">
        <v>7.0</v>
      </c>
      <c r="B50" s="55">
        <v>2.0</v>
      </c>
      <c r="C50" s="55">
        <v>30.1811868633238</v>
      </c>
      <c r="D50" s="55">
        <v>-97.7665061986247</v>
      </c>
      <c r="E50" s="55" t="s">
        <v>103</v>
      </c>
      <c r="F50" s="46"/>
      <c r="G50" s="46"/>
      <c r="H50" s="46"/>
      <c r="I50" s="47" t="b">
        <v>0</v>
      </c>
      <c r="J50" s="47" t="str">
        <f t="shared" si="1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2"/>
        <v>0</v>
      </c>
      <c r="N50" s="49" t="str">
        <f>IFERROR(__xludf.DUMMYFUNCTION("split(G50,""/"")"),"#VALUE!")</f>
        <v>#VALUE!</v>
      </c>
      <c r="O50" s="57"/>
      <c r="P50" s="49"/>
      <c r="Q50" s="49"/>
      <c r="R50" s="49"/>
      <c r="S50" s="49"/>
    </row>
    <row r="51">
      <c r="A51" s="55">
        <v>7.0</v>
      </c>
      <c r="B51" s="55">
        <v>3.0</v>
      </c>
      <c r="C51" s="55">
        <v>30.1811868632189</v>
      </c>
      <c r="D51" s="55">
        <v>-97.7663399286021</v>
      </c>
      <c r="E51" s="55" t="s">
        <v>98</v>
      </c>
      <c r="F51" s="46"/>
      <c r="G51" s="46"/>
      <c r="H51" s="46"/>
      <c r="I51" s="47" t="b">
        <v>0</v>
      </c>
      <c r="J51" s="47" t="str">
        <f t="shared" si="1"/>
        <v/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2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55">
        <v>30.1811868631141</v>
      </c>
      <c r="D52" s="55">
        <v>-97.7661736585795</v>
      </c>
      <c r="E52" s="55" t="s">
        <v>98</v>
      </c>
      <c r="F52" s="44"/>
      <c r="G52" s="46"/>
      <c r="H52" s="46"/>
      <c r="I52" s="47" t="b">
        <v>0</v>
      </c>
      <c r="J52" s="47" t="str">
        <f t="shared" si="1"/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2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55">
        <v>30.1811868630092</v>
      </c>
      <c r="D53" s="55">
        <v>-97.766007388557</v>
      </c>
      <c r="E53" s="55" t="s">
        <v>98</v>
      </c>
      <c r="F53" s="46"/>
      <c r="G53" s="46"/>
      <c r="H53" s="46"/>
      <c r="I53" s="11" t="b">
        <v>0</v>
      </c>
      <c r="J53" s="47" t="str">
        <f t="shared" si="1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2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55">
        <v>30.1811868629044</v>
      </c>
      <c r="D54" s="55">
        <v>-97.7658411185344</v>
      </c>
      <c r="E54" s="55" t="s">
        <v>98</v>
      </c>
      <c r="F54" s="46"/>
      <c r="G54" s="46"/>
      <c r="H54" s="46"/>
      <c r="I54" s="47" t="b">
        <v>0</v>
      </c>
      <c r="J54" s="47" t="str">
        <f t="shared" si="1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2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55">
        <v>7.0</v>
      </c>
      <c r="B55" s="55">
        <v>7.0</v>
      </c>
      <c r="C55" s="55">
        <v>30.1811868627995</v>
      </c>
      <c r="D55" s="55">
        <v>-97.7656748485118</v>
      </c>
      <c r="E55" s="55" t="s">
        <v>98</v>
      </c>
      <c r="F55" s="46"/>
      <c r="G55" s="46"/>
      <c r="H55" s="46"/>
      <c r="I55" s="11" t="b">
        <v>0</v>
      </c>
      <c r="J55" s="47" t="str">
        <f t="shared" si="1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2"/>
        <v>0</v>
      </c>
      <c r="N55" s="49" t="str">
        <f>IFERROR(__xludf.DUMMYFUNCTION("split(G55,""/"")"),"#VALUE!")</f>
        <v>#VALUE!</v>
      </c>
      <c r="O55" s="50"/>
      <c r="P55" s="49"/>
      <c r="Q55" s="49"/>
      <c r="R55" s="49"/>
      <c r="S55" s="49"/>
    </row>
    <row r="56">
      <c r="A56" s="55">
        <v>8.0</v>
      </c>
      <c r="B56" s="55">
        <v>3.0</v>
      </c>
      <c r="C56" s="55">
        <v>30.1810431327734</v>
      </c>
      <c r="D56" s="55">
        <v>-97.7663399353936</v>
      </c>
      <c r="E56" s="55" t="s">
        <v>98</v>
      </c>
      <c r="F56" s="46"/>
      <c r="G56" s="46"/>
      <c r="H56" s="46"/>
      <c r="I56" s="47" t="b">
        <v>0</v>
      </c>
      <c r="J56" s="47" t="str">
        <f t="shared" si="1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2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55">
        <v>8.0</v>
      </c>
      <c r="B57" s="55">
        <v>4.0</v>
      </c>
      <c r="C57" s="55">
        <v>30.1810431326686</v>
      </c>
      <c r="D57" s="55">
        <v>-97.7661736656135</v>
      </c>
      <c r="E57" s="55" t="s">
        <v>103</v>
      </c>
      <c r="F57" s="46"/>
      <c r="G57" s="46"/>
      <c r="H57" s="46"/>
      <c r="I57" s="47" t="b">
        <v>0</v>
      </c>
      <c r="J57" s="47" t="str">
        <f t="shared" si="1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2"/>
        <v>0</v>
      </c>
      <c r="N57" s="49" t="str">
        <f>IFERROR(__xludf.DUMMYFUNCTION("split(G57,""/"")"),"#VALUE!")</f>
        <v>#VALUE!</v>
      </c>
      <c r="O57" s="50"/>
      <c r="P57" s="49"/>
      <c r="Q57" s="49"/>
      <c r="R57" s="49"/>
      <c r="S57" s="49"/>
    </row>
    <row r="58">
      <c r="A58" s="55">
        <v>8.0</v>
      </c>
      <c r="B58" s="55">
        <v>5.0</v>
      </c>
      <c r="C58" s="55">
        <v>30.1810431325637</v>
      </c>
      <c r="D58" s="55">
        <v>-97.7660073958335</v>
      </c>
      <c r="E58" s="55" t="s">
        <v>103</v>
      </c>
      <c r="F58" s="46"/>
      <c r="G58" s="46"/>
      <c r="H58" s="46"/>
      <c r="I58" s="47" t="b">
        <v>0</v>
      </c>
      <c r="J58" s="47" t="str">
        <f t="shared" si="1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2"/>
        <v>0</v>
      </c>
      <c r="N58" s="49" t="str">
        <f>IFERROR(__xludf.DUMMYFUNCTION("split(G58,""/"")"),"#VALUE!")</f>
        <v>#VALUE!</v>
      </c>
      <c r="O58" s="50"/>
      <c r="P58" s="49"/>
      <c r="Q58" s="49"/>
      <c r="R58" s="49"/>
      <c r="S58" s="49"/>
    </row>
    <row r="59">
      <c r="A59" s="55">
        <v>8.0</v>
      </c>
      <c r="B59" s="55">
        <v>6.0</v>
      </c>
      <c r="C59" s="55">
        <v>30.1810431324589</v>
      </c>
      <c r="D59" s="55">
        <v>-97.7658411260534</v>
      </c>
      <c r="E59" s="55" t="s">
        <v>98</v>
      </c>
      <c r="F59" s="46"/>
      <c r="G59" s="46"/>
      <c r="H59" s="46"/>
      <c r="I59" s="47" t="b">
        <v>0</v>
      </c>
      <c r="J59" s="47" t="str">
        <f t="shared" si="1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2"/>
        <v>0</v>
      </c>
      <c r="N59" s="49" t="str">
        <f>IFERROR(__xludf.DUMMYFUNCTION("split(G59,""/"")"),"#VALUE!")</f>
        <v>#VALUE!</v>
      </c>
      <c r="O59" s="50"/>
      <c r="P59" s="49"/>
      <c r="Q59" s="49"/>
      <c r="R59" s="49"/>
      <c r="S59" s="49"/>
    </row>
    <row r="61" hidden="1">
      <c r="F61" s="47">
        <f t="shared" ref="F61:G61" si="3">COUNTIF(F8:F59,"")</f>
        <v>45</v>
      </c>
      <c r="G61" s="47">
        <f t="shared" si="3"/>
        <v>52</v>
      </c>
      <c r="I61" s="47">
        <f>COUNTIF(I8:I59,TRUE)</f>
        <v>0</v>
      </c>
    </row>
    <row r="62" hidden="1"/>
  </sheetData>
  <mergeCells count="3">
    <mergeCell ref="B1:C1"/>
    <mergeCell ref="A3:D5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O8"/>
    <hyperlink r:id="rId3" ref="O9"/>
    <hyperlink r:id="rId4" ref="O10"/>
    <hyperlink r:id="rId5" ref="O11"/>
    <hyperlink r:id="rId6" ref="O12"/>
    <hyperlink r:id="rId7" ref="O13"/>
    <hyperlink r:id="rId8" ref="O14"/>
    <hyperlink r:id="rId9" ref="O15"/>
    <hyperlink r:id="rId10" ref="O16"/>
    <hyperlink r:id="rId11" ref="O17"/>
    <hyperlink r:id="rId12" ref="O18"/>
    <hyperlink r:id="rId13" ref="O19"/>
    <hyperlink r:id="rId14" ref="O20"/>
    <hyperlink r:id="rId15" ref="O21"/>
    <hyperlink r:id="rId16" ref="O22"/>
    <hyperlink r:id="rId17" ref="O23"/>
    <hyperlink r:id="rId18" ref="O24"/>
    <hyperlink r:id="rId19" ref="O25"/>
    <hyperlink r:id="rId20" ref="O26"/>
    <hyperlink r:id="rId21" ref="O27"/>
    <hyperlink r:id="rId22" ref="O28"/>
    <hyperlink r:id="rId23" ref="O29"/>
    <hyperlink r:id="rId24" ref="O30"/>
    <hyperlink r:id="rId25" ref="O31"/>
    <hyperlink r:id="rId26" ref="O32"/>
    <hyperlink r:id="rId27" ref="O33"/>
    <hyperlink r:id="rId28" ref="O34"/>
    <hyperlink r:id="rId29" ref="O35"/>
    <hyperlink r:id="rId30" ref="O36"/>
    <hyperlink r:id="rId31" ref="O37"/>
    <hyperlink r:id="rId32" ref="O38"/>
    <hyperlink r:id="rId33" ref="O39"/>
    <hyperlink r:id="rId34" ref="O40"/>
    <hyperlink r:id="rId35" ref="O41"/>
    <hyperlink r:id="rId36" ref="O42"/>
    <hyperlink r:id="rId37" ref="O43"/>
    <hyperlink r:id="rId38" ref="O44"/>
    <hyperlink r:id="rId39" ref="O45"/>
    <hyperlink r:id="rId40" ref="O46"/>
    <hyperlink r:id="rId41" ref="O47"/>
    <hyperlink r:id="rId42" ref="O48"/>
    <hyperlink r:id="rId43" ref="O49"/>
    <hyperlink r:id="rId44" ref="O51"/>
    <hyperlink r:id="rId45" ref="O52"/>
    <hyperlink r:id="rId46" ref="O53"/>
    <hyperlink r:id="rId47" ref="O54"/>
    <hyperlink r:id="rId48" ref="O55"/>
    <hyperlink r:id="rId49" ref="O56"/>
    <hyperlink r:id="rId50" ref="O57"/>
    <hyperlink r:id="rId51" ref="O58"/>
    <hyperlink r:id="rId52" ref="O59"/>
  </hyperlinks>
  <drawing r:id="rId53"/>
  <tableParts count="1">
    <tablePart r:id="rId55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5"/>
    <col customWidth="1" min="2" max="2" width="8.75"/>
    <col customWidth="1" min="3" max="4" width="14.5"/>
    <col customWidth="1" min="5" max="5" width="17.63"/>
    <col customWidth="1" min="6" max="6" width="13.75"/>
    <col customWidth="1" min="7" max="7" width="39.0"/>
    <col customWidth="1" min="8" max="8" width="15.0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33</v>
      </c>
      <c r="B1" s="37" t="s">
        <v>68</v>
      </c>
      <c r="D1" s="37"/>
      <c r="E1" s="2" t="s">
        <v>79</v>
      </c>
      <c r="F1" s="24" t="s">
        <v>147</v>
      </c>
      <c r="G1" s="24" t="s">
        <v>62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681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1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14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37</v>
      </c>
      <c r="G5" s="39">
        <f>F5/52</f>
        <v>0.7115384615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-38.6081334997187</v>
      </c>
      <c r="D8" s="43">
        <v>145.583608172854</v>
      </c>
      <c r="E8" s="43" t="s">
        <v>98</v>
      </c>
      <c r="F8" s="44" t="s">
        <v>99</v>
      </c>
      <c r="G8" s="45" t="s">
        <v>682</v>
      </c>
      <c r="H8" s="46"/>
      <c r="I8" s="11" t="b">
        <v>1</v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1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IFERROR(__xludf.DUMMYFUNCTION("""COMPUTED_VALUE"""),"raunas")</f>
        <v>raunas</v>
      </c>
      <c r="R8" s="49">
        <f>IFERROR(__xludf.DUMMYFUNCTION("""COMPUTED_VALUE"""),12264.0)</f>
        <v>12264</v>
      </c>
      <c r="S8" s="51">
        <v>44749.25028310185</v>
      </c>
    </row>
    <row r="9">
      <c r="A9" s="43">
        <v>1.0</v>
      </c>
      <c r="B9" s="43">
        <v>4.0</v>
      </c>
      <c r="C9" s="43">
        <v>-38.6081334995747</v>
      </c>
      <c r="D9" s="43">
        <v>145.583792104999</v>
      </c>
      <c r="E9" s="43" t="s">
        <v>98</v>
      </c>
      <c r="F9" s="44" t="s">
        <v>101</v>
      </c>
      <c r="G9" s="45" t="s">
        <v>683</v>
      </c>
      <c r="H9" s="46"/>
      <c r="I9" s="11" t="b">
        <v>1</v>
      </c>
      <c r="J9" s="47" t="str">
        <f t="shared" ref="J9:J24" si="2">if(I9=true,"",S9)</f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1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IFERROR(__xludf.DUMMYFUNCTION("""COMPUTED_VALUE"""),6171.0)</f>
        <v>6171</v>
      </c>
      <c r="S9" s="51">
        <v>44357.56624951389</v>
      </c>
    </row>
    <row r="10">
      <c r="A10" s="43">
        <v>1.0</v>
      </c>
      <c r="B10" s="43">
        <v>5.0</v>
      </c>
      <c r="C10" s="43">
        <v>-38.6081334994308</v>
      </c>
      <c r="D10" s="43">
        <v>145.583976037143</v>
      </c>
      <c r="E10" s="43" t="s">
        <v>103</v>
      </c>
      <c r="F10" s="44" t="s">
        <v>104</v>
      </c>
      <c r="G10" s="45" t="s">
        <v>684</v>
      </c>
      <c r="H10" s="46"/>
      <c r="I10" s="11" t="b">
        <v>1</v>
      </c>
      <c r="J10" s="47" t="str">
        <f t="shared" si="2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1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IFERROR(__xludf.DUMMYFUNCTION("""COMPUTED_VALUE"""),4105.0)</f>
        <v>4105</v>
      </c>
      <c r="S10" s="51">
        <v>44357.56629077546</v>
      </c>
    </row>
    <row r="11">
      <c r="A11" s="43">
        <v>1.0</v>
      </c>
      <c r="B11" s="43">
        <v>6.0</v>
      </c>
      <c r="C11" s="43">
        <v>-38.6081334992868</v>
      </c>
      <c r="D11" s="43">
        <v>145.584159969288</v>
      </c>
      <c r="E11" s="43" t="s">
        <v>103</v>
      </c>
      <c r="F11" s="44" t="s">
        <v>106</v>
      </c>
      <c r="G11" s="45" t="s">
        <v>685</v>
      </c>
      <c r="H11" s="46"/>
      <c r="I11" s="11" t="b">
        <v>1</v>
      </c>
      <c r="J11" s="47" t="str">
        <f t="shared" si="2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1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IFERROR(__xludf.DUMMYFUNCTION("""COMPUTED_VALUE"""),4928.0)</f>
        <v>4928</v>
      </c>
      <c r="S11" s="51">
        <v>44357.56632008102</v>
      </c>
    </row>
    <row r="12">
      <c r="A12" s="43">
        <v>2.0</v>
      </c>
      <c r="B12" s="43">
        <v>2.0</v>
      </c>
      <c r="C12" s="43">
        <v>-38.6082772303081</v>
      </c>
      <c r="D12" s="43">
        <v>145.583424250659</v>
      </c>
      <c r="E12" s="43" t="s">
        <v>98</v>
      </c>
      <c r="F12" s="44" t="s">
        <v>110</v>
      </c>
      <c r="G12" s="45" t="s">
        <v>686</v>
      </c>
      <c r="H12" s="44"/>
      <c r="I12" s="11" t="b">
        <v>1</v>
      </c>
      <c r="J12" s="47" t="str">
        <f t="shared" si="2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1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IFERROR(__xludf.DUMMYFUNCTION("""COMPUTED_VALUE"""),5474.0)</f>
        <v>5474</v>
      </c>
      <c r="S12" s="49"/>
    </row>
    <row r="13">
      <c r="A13" s="43">
        <v>2.0</v>
      </c>
      <c r="B13" s="43">
        <v>3.0</v>
      </c>
      <c r="C13" s="43">
        <v>-38.6082772301641</v>
      </c>
      <c r="D13" s="43">
        <v>145.583608183172</v>
      </c>
      <c r="E13" s="43" t="s">
        <v>98</v>
      </c>
      <c r="F13" s="44" t="s">
        <v>112</v>
      </c>
      <c r="G13" s="45" t="s">
        <v>687</v>
      </c>
      <c r="H13" s="46"/>
      <c r="I13" s="11" t="b">
        <v>1</v>
      </c>
      <c r="J13" s="47" t="str">
        <f t="shared" si="2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1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IFERROR(__xludf.DUMMYFUNCTION("""COMPUTED_VALUE"""),3688.0)</f>
        <v>3688</v>
      </c>
      <c r="S13" s="49"/>
    </row>
    <row r="14">
      <c r="A14" s="43">
        <v>2.0</v>
      </c>
      <c r="B14" s="43">
        <v>4.0</v>
      </c>
      <c r="C14" s="43">
        <v>-38.6082772300202</v>
      </c>
      <c r="D14" s="43">
        <v>145.583792115685</v>
      </c>
      <c r="E14" s="43" t="s">
        <v>98</v>
      </c>
      <c r="F14" s="44" t="s">
        <v>114</v>
      </c>
      <c r="G14" s="45" t="s">
        <v>688</v>
      </c>
      <c r="H14" s="46"/>
      <c r="I14" s="11" t="b">
        <v>1</v>
      </c>
      <c r="J14" s="47" t="str">
        <f t="shared" si="2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1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IFERROR(__xludf.DUMMYFUNCTION("""COMPUTED_VALUE"""),13016.0)</f>
        <v>13016</v>
      </c>
      <c r="S14" s="49"/>
    </row>
    <row r="15">
      <c r="A15" s="43">
        <v>2.0</v>
      </c>
      <c r="B15" s="43">
        <v>5.0</v>
      </c>
      <c r="C15" s="43">
        <v>-38.6082772298762</v>
      </c>
      <c r="D15" s="43">
        <v>145.583976048199</v>
      </c>
      <c r="E15" s="43" t="s">
        <v>103</v>
      </c>
      <c r="F15" s="44" t="s">
        <v>116</v>
      </c>
      <c r="G15" s="45" t="s">
        <v>689</v>
      </c>
      <c r="H15" s="46"/>
      <c r="I15" s="11" t="b">
        <v>1</v>
      </c>
      <c r="J15" s="47" t="str">
        <f t="shared" si="2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1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IFERROR(__xludf.DUMMYFUNCTION("""COMPUTED_VALUE"""),5488.0)</f>
        <v>5488</v>
      </c>
      <c r="S15" s="49"/>
    </row>
    <row r="16">
      <c r="A16" s="43">
        <v>2.0</v>
      </c>
      <c r="B16" s="43">
        <v>6.0</v>
      </c>
      <c r="C16" s="43">
        <v>-38.6082772297322</v>
      </c>
      <c r="D16" s="43">
        <v>145.584159980712</v>
      </c>
      <c r="E16" s="43" t="s">
        <v>98</v>
      </c>
      <c r="F16" s="44" t="s">
        <v>118</v>
      </c>
      <c r="G16" s="52" t="s">
        <v>690</v>
      </c>
      <c r="H16" s="46"/>
      <c r="I16" s="11" t="b">
        <v>1</v>
      </c>
      <c r="J16" s="47" t="str">
        <f t="shared" si="2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1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IFERROR(__xludf.DUMMYFUNCTION("""COMPUTED_VALUE"""),"rita85gto")</f>
        <v>rita85gto</v>
      </c>
      <c r="R16" s="49">
        <f>IFERROR(__xludf.DUMMYFUNCTION("""COMPUTED_VALUE"""),3870.0)</f>
        <v>3870</v>
      </c>
      <c r="S16" s="49"/>
    </row>
    <row r="17">
      <c r="A17" s="43">
        <v>2.0</v>
      </c>
      <c r="B17" s="43">
        <v>7.0</v>
      </c>
      <c r="C17" s="43">
        <v>-38.6082772295883</v>
      </c>
      <c r="D17" s="43">
        <v>145.584343913225</v>
      </c>
      <c r="E17" s="43" t="s">
        <v>98</v>
      </c>
      <c r="F17" s="44" t="s">
        <v>120</v>
      </c>
      <c r="G17" s="45" t="s">
        <v>691</v>
      </c>
      <c r="H17" s="46"/>
      <c r="I17" s="11" t="b">
        <v>1</v>
      </c>
      <c r="J17" s="47" t="str">
        <f t="shared" si="2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1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IFERROR(__xludf.DUMMYFUNCTION("""COMPUTED_VALUE"""),"xrayneex")</f>
        <v>xrayneex</v>
      </c>
      <c r="R17" s="49">
        <f>IFERROR(__xludf.DUMMYFUNCTION("""COMPUTED_VALUE"""),2447.0)</f>
        <v>2447</v>
      </c>
      <c r="S17" s="49"/>
    </row>
    <row r="18">
      <c r="A18" s="43">
        <v>3.0</v>
      </c>
      <c r="B18" s="43">
        <v>1.0</v>
      </c>
      <c r="C18" s="43">
        <v>-38.6084209608975</v>
      </c>
      <c r="D18" s="43">
        <v>145.583240327724</v>
      </c>
      <c r="E18" s="43" t="s">
        <v>98</v>
      </c>
      <c r="F18" s="44" t="s">
        <v>151</v>
      </c>
      <c r="G18" s="52" t="s">
        <v>692</v>
      </c>
      <c r="H18" s="46"/>
      <c r="I18" s="11" t="b">
        <v>1</v>
      </c>
      <c r="J18" s="47" t="str">
        <f t="shared" si="2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1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IFERROR(__xludf.DUMMYFUNCTION("""COMPUTED_VALUE"""),"res2100")</f>
        <v>res2100</v>
      </c>
      <c r="R18" s="49">
        <f>IFERROR(__xludf.DUMMYFUNCTION("""COMPUTED_VALUE"""),744.0)</f>
        <v>744</v>
      </c>
      <c r="S18" s="49"/>
    </row>
    <row r="19">
      <c r="A19" s="43">
        <v>3.0</v>
      </c>
      <c r="B19" s="43">
        <v>2.0</v>
      </c>
      <c r="C19" s="43">
        <v>-38.6084209607536</v>
      </c>
      <c r="D19" s="43">
        <v>145.583424260606</v>
      </c>
      <c r="E19" s="43" t="s">
        <v>98</v>
      </c>
      <c r="F19" s="44" t="s">
        <v>122</v>
      </c>
      <c r="G19" s="45" t="s">
        <v>693</v>
      </c>
      <c r="H19" s="46"/>
      <c r="I19" s="11" t="b">
        <v>1</v>
      </c>
      <c r="J19" s="47" t="str">
        <f t="shared" si="2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1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IFERROR(__xludf.DUMMYFUNCTION("""COMPUTED_VALUE"""),"Drazoria")</f>
        <v>Drazoria</v>
      </c>
      <c r="R19" s="49">
        <f>IFERROR(__xludf.DUMMYFUNCTION("""COMPUTED_VALUE"""),1591.0)</f>
        <v>1591</v>
      </c>
      <c r="S19" s="51">
        <v>44368.41621215278</v>
      </c>
    </row>
    <row r="20">
      <c r="A20" s="43">
        <v>3.0</v>
      </c>
      <c r="B20" s="43">
        <v>3.0</v>
      </c>
      <c r="C20" s="43">
        <v>-38.6084209606096</v>
      </c>
      <c r="D20" s="43">
        <v>145.583608193487</v>
      </c>
      <c r="E20" s="43" t="s">
        <v>98</v>
      </c>
      <c r="F20" s="44" t="s">
        <v>124</v>
      </c>
      <c r="G20" s="52" t="s">
        <v>694</v>
      </c>
      <c r="H20" s="46"/>
      <c r="I20" s="11" t="b">
        <v>1</v>
      </c>
      <c r="J20" s="47" t="str">
        <f t="shared" si="2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1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IFERROR(__xludf.DUMMYFUNCTION("""COMPUTED_VALUE"""),"Tinake1309")</f>
        <v>Tinake1309</v>
      </c>
      <c r="R20" s="49">
        <f>IFERROR(__xludf.DUMMYFUNCTION("""COMPUTED_VALUE"""),1591.0)</f>
        <v>1591</v>
      </c>
      <c r="S20" s="49"/>
    </row>
    <row r="21">
      <c r="A21" s="43">
        <v>3.0</v>
      </c>
      <c r="B21" s="43">
        <v>4.0</v>
      </c>
      <c r="C21" s="43">
        <v>-38.6084209604656</v>
      </c>
      <c r="D21" s="43">
        <v>145.583792126369</v>
      </c>
      <c r="E21" s="43" t="s">
        <v>98</v>
      </c>
      <c r="F21" s="44" t="s">
        <v>126</v>
      </c>
      <c r="G21" s="45" t="s">
        <v>695</v>
      </c>
      <c r="H21" s="46"/>
      <c r="I21" s="11" t="b">
        <v>1</v>
      </c>
      <c r="J21" s="47" t="str">
        <f t="shared" si="2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1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IFERROR(__xludf.DUMMYFUNCTION("""COMPUTED_VALUE"""),"Berg14")</f>
        <v>Berg14</v>
      </c>
      <c r="R21" s="49">
        <f>IFERROR(__xludf.DUMMYFUNCTION("""COMPUTED_VALUE"""),1505.0)</f>
        <v>1505</v>
      </c>
      <c r="S21" s="49"/>
    </row>
    <row r="22">
      <c r="A22" s="43">
        <v>3.0</v>
      </c>
      <c r="B22" s="43">
        <v>5.0</v>
      </c>
      <c r="C22" s="43">
        <v>-38.6084209603217</v>
      </c>
      <c r="D22" s="43">
        <v>145.58397605925</v>
      </c>
      <c r="E22" s="43" t="s">
        <v>98</v>
      </c>
      <c r="F22" s="44" t="s">
        <v>128</v>
      </c>
      <c r="G22" s="45" t="s">
        <v>696</v>
      </c>
      <c r="H22" s="46"/>
      <c r="I22" s="11" t="b">
        <v>1</v>
      </c>
      <c r="J22" s="47" t="str">
        <f t="shared" si="2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1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IFERROR(__xludf.DUMMYFUNCTION("""COMPUTED_VALUE"""),"Niks13")</f>
        <v>Niks13</v>
      </c>
      <c r="R22" s="49">
        <f>IFERROR(__xludf.DUMMYFUNCTION("""COMPUTED_VALUE"""),1475.0)</f>
        <v>1475</v>
      </c>
      <c r="S22" s="49"/>
    </row>
    <row r="23">
      <c r="A23" s="43">
        <v>3.0</v>
      </c>
      <c r="B23" s="43">
        <v>6.0</v>
      </c>
      <c r="C23" s="43">
        <v>-38.6084209601777</v>
      </c>
      <c r="D23" s="43">
        <v>145.584159992132</v>
      </c>
      <c r="E23" s="43" t="s">
        <v>98</v>
      </c>
      <c r="F23" s="44" t="s">
        <v>130</v>
      </c>
      <c r="G23" s="45" t="s">
        <v>697</v>
      </c>
      <c r="H23" s="46"/>
      <c r="I23" s="11" t="b">
        <v>1</v>
      </c>
      <c r="J23" s="47" t="str">
        <f t="shared" si="2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1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IFERROR(__xludf.DUMMYFUNCTION("""COMPUTED_VALUE"""),"lupo6")</f>
        <v>lupo6</v>
      </c>
      <c r="R23" s="49">
        <f>IFERROR(__xludf.DUMMYFUNCTION("""COMPUTED_VALUE"""),2716.0)</f>
        <v>2716</v>
      </c>
      <c r="S23" s="49"/>
    </row>
    <row r="24">
      <c r="A24" s="43">
        <v>3.0</v>
      </c>
      <c r="B24" s="43">
        <v>7.0</v>
      </c>
      <c r="C24" s="43">
        <v>-38.6084209600337</v>
      </c>
      <c r="D24" s="43">
        <v>145.584343925013</v>
      </c>
      <c r="E24" s="43" t="s">
        <v>98</v>
      </c>
      <c r="F24" s="44" t="s">
        <v>132</v>
      </c>
      <c r="G24" s="45" t="s">
        <v>698</v>
      </c>
      <c r="H24" s="46"/>
      <c r="I24" s="11" t="b">
        <v>1</v>
      </c>
      <c r="J24" s="47" t="str">
        <f t="shared" si="2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1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IFERROR(__xludf.DUMMYFUNCTION("""COMPUTED_VALUE"""),"crscousins")</f>
        <v>crscousins</v>
      </c>
      <c r="R24" s="49">
        <f>IFERROR(__xludf.DUMMYFUNCTION("""COMPUTED_VALUE"""),7544.0)</f>
        <v>7544</v>
      </c>
      <c r="S24" s="49"/>
    </row>
    <row r="25">
      <c r="A25" s="43">
        <v>3.0</v>
      </c>
      <c r="B25" s="43">
        <v>8.0</v>
      </c>
      <c r="C25" s="43">
        <v>-38.6084209598898</v>
      </c>
      <c r="D25" s="43">
        <v>145.584527857895</v>
      </c>
      <c r="E25" s="43" t="s">
        <v>98</v>
      </c>
      <c r="F25" s="44" t="s">
        <v>108</v>
      </c>
      <c r="G25" s="52" t="s">
        <v>699</v>
      </c>
      <c r="H25" s="46"/>
      <c r="I25" s="11" t="b">
        <v>1</v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1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IFERROR(__xludf.DUMMYFUNCTION("""COMPUTED_VALUE"""),"Bungle")</f>
        <v>Bungle</v>
      </c>
      <c r="R25" s="49">
        <f>IFERROR(__xludf.DUMMYFUNCTION("""COMPUTED_VALUE"""),11243.0)</f>
        <v>11243</v>
      </c>
      <c r="S25" s="51">
        <v>44698.60991020833</v>
      </c>
    </row>
    <row r="26">
      <c r="A26" s="43">
        <v>4.0</v>
      </c>
      <c r="B26" s="43">
        <v>1.0</v>
      </c>
      <c r="C26" s="43">
        <v>-38.6085646913429</v>
      </c>
      <c r="D26" s="43">
        <v>145.583240337304</v>
      </c>
      <c r="E26" s="43" t="s">
        <v>98</v>
      </c>
      <c r="F26" s="44" t="s">
        <v>314</v>
      </c>
      <c r="G26" s="45" t="s">
        <v>700</v>
      </c>
      <c r="H26" s="46"/>
      <c r="I26" s="11" t="b">
        <v>1</v>
      </c>
      <c r="J26" s="47" t="str">
        <f t="shared" ref="J26:J38" si="3">if(I26=true,"",S26)</f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1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IFERROR(__xludf.DUMMYFUNCTION("""COMPUTED_VALUE"""),"Trappertje")</f>
        <v>Trappertje</v>
      </c>
      <c r="R26" s="49">
        <f>IFERROR(__xludf.DUMMYFUNCTION("""COMPUTED_VALUE"""),9352.0)</f>
        <v>9352</v>
      </c>
      <c r="S26" s="49"/>
    </row>
    <row r="27">
      <c r="A27" s="43">
        <v>4.0</v>
      </c>
      <c r="B27" s="43">
        <v>2.0</v>
      </c>
      <c r="C27" s="43">
        <v>-38.608564691199</v>
      </c>
      <c r="D27" s="43">
        <v>145.583424270554</v>
      </c>
      <c r="E27" s="43" t="s">
        <v>103</v>
      </c>
      <c r="F27" s="44" t="s">
        <v>136</v>
      </c>
      <c r="G27" s="45" t="s">
        <v>701</v>
      </c>
      <c r="H27" s="46"/>
      <c r="I27" s="11" t="b">
        <v>1</v>
      </c>
      <c r="J27" s="47" t="str">
        <f t="shared" si="3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1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IFERROR(__xludf.DUMMYFUNCTION("""COMPUTED_VALUE"""),"OdinsFiRe")</f>
        <v>OdinsFiRe</v>
      </c>
      <c r="R27" s="49">
        <f>IFERROR(__xludf.DUMMYFUNCTION("""COMPUTED_VALUE"""),2078.0)</f>
        <v>2078</v>
      </c>
      <c r="S27" s="49"/>
    </row>
    <row r="28">
      <c r="A28" s="43">
        <v>4.0</v>
      </c>
      <c r="B28" s="43">
        <v>3.0</v>
      </c>
      <c r="C28" s="43">
        <v>-38.608564691055</v>
      </c>
      <c r="D28" s="43">
        <v>145.583608203804</v>
      </c>
      <c r="E28" s="43" t="s">
        <v>98</v>
      </c>
      <c r="F28" s="44" t="s">
        <v>575</v>
      </c>
      <c r="G28" s="45" t="s">
        <v>702</v>
      </c>
      <c r="H28" s="46"/>
      <c r="I28" s="11" t="b">
        <v>1</v>
      </c>
      <c r="J28" s="47" t="str">
        <f t="shared" si="3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1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IFERROR(__xludf.DUMMYFUNCTION("""COMPUTED_VALUE"""),"skyfox")</f>
        <v>skyfox</v>
      </c>
      <c r="R28" s="49">
        <f>IFERROR(__xludf.DUMMYFUNCTION("""COMPUTED_VALUE"""),14477.0)</f>
        <v>14477</v>
      </c>
      <c r="S28" s="49"/>
    </row>
    <row r="29">
      <c r="A29" s="43">
        <v>4.0</v>
      </c>
      <c r="B29" s="43">
        <v>4.0</v>
      </c>
      <c r="C29" s="43">
        <v>-38.6085646909111</v>
      </c>
      <c r="D29" s="43">
        <v>145.583792137054</v>
      </c>
      <c r="E29" s="43" t="s">
        <v>98</v>
      </c>
      <c r="F29" s="44" t="s">
        <v>138</v>
      </c>
      <c r="G29" s="45" t="s">
        <v>703</v>
      </c>
      <c r="H29" s="46"/>
      <c r="I29" s="11" t="b">
        <v>1</v>
      </c>
      <c r="J29" s="47" t="str">
        <f t="shared" si="3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1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IFERROR(__xludf.DUMMYFUNCTION("""COMPUTED_VALUE"""),4508.0)</f>
        <v>4508</v>
      </c>
      <c r="S29" s="49"/>
    </row>
    <row r="30">
      <c r="A30" s="55">
        <v>4.0</v>
      </c>
      <c r="B30" s="55">
        <v>5.0</v>
      </c>
      <c r="C30" s="11">
        <v>-38.6085646907671</v>
      </c>
      <c r="D30" s="11">
        <v>145.583976070304</v>
      </c>
      <c r="E30" s="55" t="s">
        <v>98</v>
      </c>
      <c r="F30" s="44"/>
      <c r="G30" s="46"/>
      <c r="H30" s="46"/>
      <c r="I30" s="11" t="b">
        <v>0</v>
      </c>
      <c r="J30" s="47" t="str">
        <f t="shared" si="3"/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1"/>
        <v>0</v>
      </c>
      <c r="N30" s="49" t="str">
        <f>IFERROR(__xludf.DUMMYFUNCTION("split(G30,""/"")"),"#VALUE!")</f>
        <v>#VALUE!</v>
      </c>
      <c r="O30" s="50"/>
      <c r="P30" s="49"/>
      <c r="Q30" s="49"/>
      <c r="R30" s="49"/>
      <c r="S30" s="49"/>
    </row>
    <row r="31">
      <c r="A31" s="43">
        <v>4.0</v>
      </c>
      <c r="B31" s="43">
        <v>6.0</v>
      </c>
      <c r="C31" s="43">
        <v>-38.6085646906231</v>
      </c>
      <c r="D31" s="43">
        <v>145.584160003554</v>
      </c>
      <c r="E31" s="43" t="s">
        <v>103</v>
      </c>
      <c r="F31" s="44" t="s">
        <v>575</v>
      </c>
      <c r="G31" s="45" t="s">
        <v>704</v>
      </c>
      <c r="H31" s="46"/>
      <c r="I31" s="11" t="b">
        <v>1</v>
      </c>
      <c r="J31" s="47" t="str">
        <f t="shared" si="3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1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IFERROR(__xludf.DUMMYFUNCTION("""COMPUTED_VALUE"""),"skyfox")</f>
        <v>skyfox</v>
      </c>
      <c r="R31" s="49">
        <f>IFERROR(__xludf.DUMMYFUNCTION("""COMPUTED_VALUE"""),14476.0)</f>
        <v>14476</v>
      </c>
      <c r="S31" s="49"/>
    </row>
    <row r="32">
      <c r="A32" s="43">
        <v>4.0</v>
      </c>
      <c r="B32" s="43">
        <v>7.0</v>
      </c>
      <c r="C32" s="43">
        <v>-38.6085646904792</v>
      </c>
      <c r="D32" s="43">
        <v>145.584343936804</v>
      </c>
      <c r="E32" s="43" t="s">
        <v>98</v>
      </c>
      <c r="F32" s="44" t="s">
        <v>705</v>
      </c>
      <c r="G32" s="52" t="s">
        <v>706</v>
      </c>
      <c r="H32" s="46"/>
      <c r="I32" s="11" t="b">
        <v>1</v>
      </c>
      <c r="J32" s="47" t="str">
        <f t="shared" si="3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1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IFERROR(__xludf.DUMMYFUNCTION("""COMPUTED_VALUE"""),"Anseldelux")</f>
        <v>Anseldelux</v>
      </c>
      <c r="R32" s="49">
        <f>IFERROR(__xludf.DUMMYFUNCTION("""COMPUTED_VALUE"""),1269.0)</f>
        <v>1269</v>
      </c>
      <c r="S32" s="49"/>
    </row>
    <row r="33">
      <c r="A33" s="43">
        <v>4.0</v>
      </c>
      <c r="B33" s="43">
        <v>8.0</v>
      </c>
      <c r="C33" s="43">
        <v>-38.6085646903352</v>
      </c>
      <c r="D33" s="43">
        <v>145.584527870054</v>
      </c>
      <c r="E33" s="43" t="s">
        <v>98</v>
      </c>
      <c r="F33" s="44" t="s">
        <v>532</v>
      </c>
      <c r="G33" s="45" t="s">
        <v>707</v>
      </c>
      <c r="H33" s="46"/>
      <c r="I33" s="11" t="b">
        <v>1</v>
      </c>
      <c r="J33" s="47" t="str">
        <f t="shared" si="3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1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IFERROR(__xludf.DUMMYFUNCTION("""COMPUTED_VALUE"""),"MeanderingMonkeys")</f>
        <v>MeanderingMonkeys</v>
      </c>
      <c r="R33" s="49">
        <f>IFERROR(__xludf.DUMMYFUNCTION("""COMPUTED_VALUE"""),22528.0)</f>
        <v>22528</v>
      </c>
      <c r="S33" s="49"/>
    </row>
    <row r="34">
      <c r="A34" s="55">
        <v>5.0</v>
      </c>
      <c r="B34" s="55">
        <v>1.0</v>
      </c>
      <c r="C34" s="11">
        <v>-38.6087084217884</v>
      </c>
      <c r="D34" s="11">
        <v>145.583240346884</v>
      </c>
      <c r="E34" s="55" t="s">
        <v>103</v>
      </c>
      <c r="F34" s="46"/>
      <c r="G34" s="46"/>
      <c r="H34" s="46"/>
      <c r="I34" s="47" t="b">
        <v>0</v>
      </c>
      <c r="J34" s="47" t="str">
        <f t="shared" si="3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1"/>
        <v>0</v>
      </c>
      <c r="N34" s="49" t="str">
        <f>IFERROR(__xludf.DUMMYFUNCTION("split(G34,""/"")"),"#VALUE!")</f>
        <v>#VALUE!</v>
      </c>
      <c r="O34" s="50"/>
      <c r="P34" s="49"/>
      <c r="Q34" s="49"/>
      <c r="R34" s="49"/>
      <c r="S34" s="49"/>
    </row>
    <row r="35">
      <c r="A35" s="43">
        <v>5.0</v>
      </c>
      <c r="B35" s="43">
        <v>2.0</v>
      </c>
      <c r="C35" s="43">
        <v>-38.6087084216445</v>
      </c>
      <c r="D35" s="43">
        <v>145.583424280502</v>
      </c>
      <c r="E35" s="43" t="s">
        <v>98</v>
      </c>
      <c r="F35" s="44" t="s">
        <v>141</v>
      </c>
      <c r="G35" s="45" t="s">
        <v>708</v>
      </c>
      <c r="H35" s="46"/>
      <c r="I35" s="11" t="b">
        <v>1</v>
      </c>
      <c r="J35" s="47" t="str">
        <f t="shared" si="3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1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IFERROR(__xludf.DUMMYFUNCTION("""COMPUTED_VALUE"""),3784.0)</f>
        <v>3784</v>
      </c>
      <c r="S35" s="49"/>
    </row>
    <row r="36">
      <c r="A36" s="55">
        <v>5.0</v>
      </c>
      <c r="B36" s="55">
        <v>3.0</v>
      </c>
      <c r="C36" s="11">
        <v>-38.6087084215005</v>
      </c>
      <c r="D36" s="11">
        <v>145.583608214121</v>
      </c>
      <c r="E36" s="55" t="s">
        <v>103</v>
      </c>
      <c r="F36" s="46"/>
      <c r="G36" s="46"/>
      <c r="H36" s="46"/>
      <c r="I36" s="47" t="b">
        <v>0</v>
      </c>
      <c r="J36" s="47" t="str">
        <f t="shared" si="3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1"/>
        <v>0</v>
      </c>
      <c r="N36" s="49" t="str">
        <f>IFERROR(__xludf.DUMMYFUNCTION("split(G36,""/"")"),"#VALUE!")</f>
        <v>#VALUE!</v>
      </c>
      <c r="O36" s="50"/>
      <c r="P36" s="49"/>
      <c r="Q36" s="49"/>
      <c r="R36" s="49"/>
      <c r="S36" s="49"/>
    </row>
    <row r="37">
      <c r="A37" s="55">
        <v>5.0</v>
      </c>
      <c r="B37" s="55">
        <v>4.0</v>
      </c>
      <c r="C37" s="11">
        <v>-38.6087084213565</v>
      </c>
      <c r="D37" s="11">
        <v>145.583792147739</v>
      </c>
      <c r="E37" s="55" t="s">
        <v>98</v>
      </c>
      <c r="F37" s="46"/>
      <c r="G37" s="46"/>
      <c r="H37" s="46"/>
      <c r="I37" s="47" t="b">
        <v>0</v>
      </c>
      <c r="J37" s="47" t="str">
        <f t="shared" si="3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1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55">
        <v>5.0</v>
      </c>
      <c r="B38" s="55">
        <v>5.0</v>
      </c>
      <c r="C38" s="11">
        <v>-38.6087084212126</v>
      </c>
      <c r="D38" s="11">
        <v>145.583976081358</v>
      </c>
      <c r="E38" s="55" t="s">
        <v>98</v>
      </c>
      <c r="F38" s="46"/>
      <c r="G38" s="46"/>
      <c r="H38" s="46"/>
      <c r="I38" s="47" t="b">
        <v>0</v>
      </c>
      <c r="J38" s="47" t="str">
        <f t="shared" si="3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1"/>
        <v>0</v>
      </c>
      <c r="N38" s="49" t="str">
        <f>IFERROR(__xludf.DUMMYFUNCTION("split(G38,""/"")"),"#VALUE!")</f>
        <v>#VALUE!</v>
      </c>
      <c r="O38" s="50"/>
      <c r="P38" s="49"/>
      <c r="Q38" s="49"/>
      <c r="R38" s="49"/>
      <c r="S38" s="49"/>
    </row>
    <row r="39">
      <c r="A39" s="55">
        <v>5.0</v>
      </c>
      <c r="B39" s="55">
        <v>6.0</v>
      </c>
      <c r="C39" s="11">
        <v>-38.6087084210686</v>
      </c>
      <c r="D39" s="11">
        <v>145.584160014976</v>
      </c>
      <c r="E39" s="55" t="s">
        <v>98</v>
      </c>
      <c r="F39" s="44" t="s">
        <v>340</v>
      </c>
      <c r="G39" s="46"/>
      <c r="H39" s="46"/>
      <c r="I39" s="47" t="b">
        <v>0</v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1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51">
        <v>44357.56641226852</v>
      </c>
    </row>
    <row r="40">
      <c r="A40" s="55">
        <v>5.0</v>
      </c>
      <c r="B40" s="55">
        <v>7.0</v>
      </c>
      <c r="C40" s="11">
        <v>-38.6087084209246</v>
      </c>
      <c r="D40" s="11">
        <v>145.584343948595</v>
      </c>
      <c r="E40" s="55" t="s">
        <v>98</v>
      </c>
      <c r="F40" s="46"/>
      <c r="G40" s="46"/>
      <c r="H40" s="46"/>
      <c r="I40" s="47" t="b">
        <v>0</v>
      </c>
      <c r="J40" s="47" t="str">
        <f t="shared" ref="J40:J55" si="4">if(I40=true,"",S40)</f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1"/>
        <v>0</v>
      </c>
      <c r="N40" s="49" t="str">
        <f>IFERROR(__xludf.DUMMYFUNCTION("split(G40,""/"")"),"#VALUE!")</f>
        <v>#VALUE!</v>
      </c>
      <c r="O40" s="50"/>
      <c r="P40" s="49"/>
      <c r="Q40" s="49"/>
      <c r="R40" s="49"/>
      <c r="S40" s="49"/>
    </row>
    <row r="41">
      <c r="A41" s="55">
        <v>5.0</v>
      </c>
      <c r="B41" s="55">
        <v>8.0</v>
      </c>
      <c r="C41" s="11">
        <v>-38.6087084207807</v>
      </c>
      <c r="D41" s="11">
        <v>145.584527882213</v>
      </c>
      <c r="E41" s="55" t="s">
        <v>98</v>
      </c>
      <c r="F41" s="46"/>
      <c r="G41" s="46"/>
      <c r="H41" s="46"/>
      <c r="I41" s="47" t="b">
        <v>0</v>
      </c>
      <c r="J41" s="47" t="str">
        <f t="shared" si="4"/>
        <v/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1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49"/>
    </row>
    <row r="42">
      <c r="A42" s="43">
        <v>6.0</v>
      </c>
      <c r="B42" s="43">
        <v>1.0</v>
      </c>
      <c r="C42" s="43">
        <v>-38.6088521522338</v>
      </c>
      <c r="D42" s="43">
        <v>145.583240356464</v>
      </c>
      <c r="E42" s="43" t="s">
        <v>98</v>
      </c>
      <c r="F42" s="44" t="s">
        <v>149</v>
      </c>
      <c r="G42" s="45" t="s">
        <v>709</v>
      </c>
      <c r="H42" s="46"/>
      <c r="I42" s="11" t="b">
        <v>1</v>
      </c>
      <c r="J42" s="47" t="str">
        <f t="shared" si="4"/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1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IFERROR(__xludf.DUMMYFUNCTION("""COMPUTED_VALUE"""),7386.0)</f>
        <v>7386</v>
      </c>
      <c r="S42" s="49"/>
    </row>
    <row r="43">
      <c r="A43" s="55">
        <v>6.0</v>
      </c>
      <c r="B43" s="55">
        <v>2.0</v>
      </c>
      <c r="C43" s="11">
        <v>-38.6088521520899</v>
      </c>
      <c r="D43" s="11">
        <v>145.583424290451</v>
      </c>
      <c r="E43" s="55" t="s">
        <v>98</v>
      </c>
      <c r="F43" s="46"/>
      <c r="G43" s="46"/>
      <c r="H43" s="46"/>
      <c r="I43" s="47" t="b">
        <v>0</v>
      </c>
      <c r="J43" s="47" t="str">
        <f t="shared" si="4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1"/>
        <v>0</v>
      </c>
      <c r="N43" s="49" t="str">
        <f>IFERROR(__xludf.DUMMYFUNCTION("split(G43,""/"")"),"#VALUE!")</f>
        <v>#VALUE!</v>
      </c>
      <c r="O43" s="50"/>
      <c r="P43" s="49"/>
      <c r="Q43" s="49"/>
      <c r="R43" s="49"/>
      <c r="S43" s="49"/>
    </row>
    <row r="44">
      <c r="A44" s="43">
        <v>6.0</v>
      </c>
      <c r="B44" s="43">
        <v>3.0</v>
      </c>
      <c r="C44" s="43">
        <v>-38.6088521519459</v>
      </c>
      <c r="D44" s="43">
        <v>145.583608224438</v>
      </c>
      <c r="E44" s="43" t="s">
        <v>103</v>
      </c>
      <c r="F44" s="44" t="s">
        <v>710</v>
      </c>
      <c r="G44" s="52" t="s">
        <v>711</v>
      </c>
      <c r="H44" s="46"/>
      <c r="I44" s="11" t="b">
        <v>1</v>
      </c>
      <c r="J44" s="47" t="str">
        <f t="shared" si="4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1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IFERROR(__xludf.DUMMYFUNCTION("""COMPUTED_VALUE"""),"TeamSarton")</f>
        <v>TeamSarton</v>
      </c>
      <c r="R44" s="49">
        <f>IFERROR(__xludf.DUMMYFUNCTION("""COMPUTED_VALUE"""),2365.0)</f>
        <v>2365</v>
      </c>
      <c r="S44" s="49"/>
    </row>
    <row r="45">
      <c r="A45" s="55">
        <v>6.0</v>
      </c>
      <c r="B45" s="55">
        <v>4.0</v>
      </c>
      <c r="C45" s="11">
        <v>-38.6088521518019</v>
      </c>
      <c r="D45" s="11">
        <v>145.583792158425</v>
      </c>
      <c r="E45" s="55" t="s">
        <v>98</v>
      </c>
      <c r="F45" s="46"/>
      <c r="G45" s="46"/>
      <c r="H45" s="46"/>
      <c r="I45" s="47" t="b">
        <v>0</v>
      </c>
      <c r="J45" s="47" t="str">
        <f t="shared" si="4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1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11">
        <v>-38.608852151658</v>
      </c>
      <c r="D46" s="11">
        <v>145.583976092411</v>
      </c>
      <c r="E46" s="55" t="s">
        <v>98</v>
      </c>
      <c r="F46" s="44"/>
      <c r="G46" s="46"/>
      <c r="H46" s="46"/>
      <c r="I46" s="47" t="b">
        <v>0</v>
      </c>
      <c r="J46" s="47" t="str">
        <f t="shared" si="4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1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11">
        <v>-38.608852151514</v>
      </c>
      <c r="D47" s="11">
        <v>145.584160026398</v>
      </c>
      <c r="E47" s="55" t="s">
        <v>103</v>
      </c>
      <c r="F47" s="46"/>
      <c r="G47" s="46"/>
      <c r="H47" s="46"/>
      <c r="I47" s="11" t="b">
        <v>0</v>
      </c>
      <c r="J47" s="47" t="str">
        <f t="shared" si="4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1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-38.6088521513701</v>
      </c>
      <c r="D48" s="43">
        <v>145.584343960385</v>
      </c>
      <c r="E48" s="43" t="s">
        <v>98</v>
      </c>
      <c r="F48" s="44" t="s">
        <v>145</v>
      </c>
      <c r="G48" s="45" t="s">
        <v>712</v>
      </c>
      <c r="H48" s="46"/>
      <c r="I48" s="11" t="b">
        <v>1</v>
      </c>
      <c r="J48" s="47" t="str">
        <f t="shared" si="4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1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IFERROR(__xludf.DUMMYFUNCTION("""COMPUTED_VALUE"""),7190.0)</f>
        <v>7190</v>
      </c>
      <c r="S48" s="51">
        <v>44357.56648458334</v>
      </c>
    </row>
    <row r="49">
      <c r="A49" s="43">
        <v>6.0</v>
      </c>
      <c r="B49" s="43">
        <v>8.0</v>
      </c>
      <c r="C49" s="43">
        <v>-38.6088521512261</v>
      </c>
      <c r="D49" s="43">
        <v>145.584527894372</v>
      </c>
      <c r="E49" s="43" t="s">
        <v>98</v>
      </c>
      <c r="F49" s="44" t="s">
        <v>147</v>
      </c>
      <c r="G49" s="52" t="s">
        <v>713</v>
      </c>
      <c r="H49" s="46"/>
      <c r="I49" s="11" t="b">
        <v>1</v>
      </c>
      <c r="J49" s="47" t="str">
        <f t="shared" si="4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1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IFERROR(__xludf.DUMMYFUNCTION("""COMPUTED_VALUE"""),13707.0)</f>
        <v>13707</v>
      </c>
      <c r="S49" s="51">
        <v>44357.56654354167</v>
      </c>
    </row>
    <row r="50">
      <c r="A50" s="43">
        <v>7.0</v>
      </c>
      <c r="B50" s="43">
        <v>2.0</v>
      </c>
      <c r="C50" s="43">
        <v>-38.6089958825354</v>
      </c>
      <c r="D50" s="43">
        <v>145.583424300399</v>
      </c>
      <c r="E50" s="43" t="s">
        <v>103</v>
      </c>
      <c r="F50" s="44" t="s">
        <v>575</v>
      </c>
      <c r="G50" s="45" t="s">
        <v>714</v>
      </c>
      <c r="H50" s="46"/>
      <c r="I50" s="11" t="b">
        <v>1</v>
      </c>
      <c r="J50" s="47" t="str">
        <f t="shared" si="4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1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IFERROR(__xludf.DUMMYFUNCTION("""COMPUTED_VALUE"""),"skyfox")</f>
        <v>skyfox</v>
      </c>
      <c r="R50" s="49">
        <f>IFERROR(__xludf.DUMMYFUNCTION("""COMPUTED_VALUE"""),14472.0)</f>
        <v>14472</v>
      </c>
      <c r="S50" s="49"/>
    </row>
    <row r="51">
      <c r="A51" s="55">
        <v>7.0</v>
      </c>
      <c r="B51" s="55">
        <v>3.0</v>
      </c>
      <c r="C51" s="11">
        <v>-38.6089958823914</v>
      </c>
      <c r="D51" s="11">
        <v>145.583608234754</v>
      </c>
      <c r="E51" s="55" t="s">
        <v>98</v>
      </c>
      <c r="F51" s="46"/>
      <c r="G51" s="46"/>
      <c r="H51" s="46"/>
      <c r="I51" s="47" t="b">
        <v>0</v>
      </c>
      <c r="J51" s="47" t="str">
        <f t="shared" si="4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1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11">
        <v>-38.6089958822474</v>
      </c>
      <c r="D52" s="11">
        <v>145.58379216911</v>
      </c>
      <c r="E52" s="55" t="s">
        <v>98</v>
      </c>
      <c r="F52" s="44"/>
      <c r="G52" s="46"/>
      <c r="H52" s="46"/>
      <c r="I52" s="47" t="b">
        <v>0</v>
      </c>
      <c r="J52" s="47" t="str">
        <f t="shared" si="4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1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43">
        <v>7.0</v>
      </c>
      <c r="B53" s="43">
        <v>5.0</v>
      </c>
      <c r="C53" s="43">
        <v>-38.6089958821035</v>
      </c>
      <c r="D53" s="43">
        <v>145.583976103465</v>
      </c>
      <c r="E53" s="43" t="s">
        <v>98</v>
      </c>
      <c r="F53" s="44" t="s">
        <v>575</v>
      </c>
      <c r="G53" s="45" t="s">
        <v>715</v>
      </c>
      <c r="H53" s="46"/>
      <c r="I53" s="11" t="b">
        <v>1</v>
      </c>
      <c r="J53" s="47" t="str">
        <f t="shared" si="4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1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IFERROR(__xludf.DUMMYFUNCTION("""COMPUTED_VALUE"""),"skyfox")</f>
        <v>skyfox</v>
      </c>
      <c r="R53" s="49">
        <f>IFERROR(__xludf.DUMMYFUNCTION("""COMPUTED_VALUE"""),14470.0)</f>
        <v>14470</v>
      </c>
      <c r="S53" s="49"/>
    </row>
    <row r="54">
      <c r="A54" s="43">
        <v>7.0</v>
      </c>
      <c r="B54" s="43">
        <v>6.0</v>
      </c>
      <c r="C54" s="43">
        <v>-38.6089958819595</v>
      </c>
      <c r="D54" s="43">
        <v>145.584160037821</v>
      </c>
      <c r="E54" s="43" t="s">
        <v>98</v>
      </c>
      <c r="F54" s="44" t="s">
        <v>716</v>
      </c>
      <c r="G54" s="45" t="s">
        <v>717</v>
      </c>
      <c r="H54" s="46"/>
      <c r="I54" s="11" t="b">
        <v>1</v>
      </c>
      <c r="J54" s="47" t="str">
        <f t="shared" si="4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1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IFERROR(__xludf.DUMMYFUNCTION("""COMPUTED_VALUE"""),"shaynemarks")</f>
        <v>shaynemarks</v>
      </c>
      <c r="R54" s="49">
        <f>IFERROR(__xludf.DUMMYFUNCTION("""COMPUTED_VALUE"""),12373.0)</f>
        <v>12373</v>
      </c>
      <c r="S54" s="49"/>
    </row>
    <row r="55">
      <c r="A55" s="43">
        <v>7.0</v>
      </c>
      <c r="B55" s="43">
        <v>7.0</v>
      </c>
      <c r="C55" s="43">
        <v>-38.6089958818155</v>
      </c>
      <c r="D55" s="43">
        <v>145.584343972176</v>
      </c>
      <c r="E55" s="43" t="s">
        <v>98</v>
      </c>
      <c r="F55" s="44" t="s">
        <v>153</v>
      </c>
      <c r="G55" s="45" t="s">
        <v>718</v>
      </c>
      <c r="H55" s="46"/>
      <c r="I55" s="11" t="b">
        <v>1</v>
      </c>
      <c r="J55" s="47" t="str">
        <f t="shared" si="4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1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IFERROR(__xludf.DUMMYFUNCTION("""COMPUTED_VALUE"""),23501.0)</f>
        <v>23501</v>
      </c>
      <c r="S55" s="49"/>
    </row>
    <row r="56">
      <c r="A56" s="55">
        <v>8.0</v>
      </c>
      <c r="B56" s="55">
        <v>3.0</v>
      </c>
      <c r="C56" s="11">
        <v>-38.6091396128368</v>
      </c>
      <c r="D56" s="11">
        <v>145.583608245071</v>
      </c>
      <c r="E56" s="55" t="s">
        <v>98</v>
      </c>
      <c r="F56" s="44"/>
      <c r="G56" s="56"/>
      <c r="H56" s="46"/>
      <c r="I56" s="47" t="b">
        <v>0</v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1"/>
        <v>0</v>
      </c>
      <c r="N56" s="49" t="str">
        <f>IFERROR(__xludf.DUMMYFUNCTION("split(G56,""/"")"),"#VALUE!")</f>
        <v>#VALUE!</v>
      </c>
      <c r="O56" s="57"/>
      <c r="P56" s="49"/>
      <c r="Q56" s="49"/>
      <c r="R56" s="49"/>
      <c r="S56" s="51">
        <v>44698.61004762731</v>
      </c>
    </row>
    <row r="57">
      <c r="A57" s="43">
        <v>8.0</v>
      </c>
      <c r="B57" s="43">
        <v>4.0</v>
      </c>
      <c r="C57" s="43">
        <v>-38.6091396126929</v>
      </c>
      <c r="D57" s="43">
        <v>145.583792179795</v>
      </c>
      <c r="E57" s="43" t="s">
        <v>103</v>
      </c>
      <c r="F57" s="44" t="s">
        <v>157</v>
      </c>
      <c r="G57" s="45" t="s">
        <v>719</v>
      </c>
      <c r="H57" s="46"/>
      <c r="I57" s="11" t="b">
        <v>1</v>
      </c>
      <c r="J57" s="47" t="str">
        <f t="shared" ref="J57:J59" si="5">if(I57=true,"",S57)</f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1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IFERROR(__xludf.DUMMYFUNCTION("""COMPUTED_VALUE"""),"barefootguru")</f>
        <v>barefootguru</v>
      </c>
      <c r="R57" s="49">
        <f>IFERROR(__xludf.DUMMYFUNCTION("""COMPUTED_VALUE"""),5055.0)</f>
        <v>5055</v>
      </c>
      <c r="S57" s="49"/>
    </row>
    <row r="58">
      <c r="A58" s="43">
        <v>8.0</v>
      </c>
      <c r="B58" s="43">
        <v>5.0</v>
      </c>
      <c r="C58" s="43">
        <v>-38.6091396125489</v>
      </c>
      <c r="D58" s="43">
        <v>145.583976114519</v>
      </c>
      <c r="E58" s="43" t="s">
        <v>103</v>
      </c>
      <c r="F58" s="44" t="s">
        <v>134</v>
      </c>
      <c r="G58" s="52" t="s">
        <v>720</v>
      </c>
      <c r="H58" s="46"/>
      <c r="I58" s="11" t="b">
        <v>1</v>
      </c>
      <c r="J58" s="47" t="str">
        <f t="shared" si="5"/>
        <v/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1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IFERROR(__xludf.DUMMYFUNCTION("""COMPUTED_VALUE"""),"Wangotango")</f>
        <v>Wangotango</v>
      </c>
      <c r="R58" s="49">
        <f>IFERROR(__xludf.DUMMYFUNCTION("""COMPUTED_VALUE"""),1397.0)</f>
        <v>1397</v>
      </c>
      <c r="S58" s="49"/>
    </row>
    <row r="59">
      <c r="A59" s="43">
        <v>8.0</v>
      </c>
      <c r="B59" s="43">
        <v>6.0</v>
      </c>
      <c r="C59" s="43">
        <v>-38.6091396124049</v>
      </c>
      <c r="D59" s="43">
        <v>145.584160049243</v>
      </c>
      <c r="E59" s="43" t="s">
        <v>98</v>
      </c>
      <c r="F59" s="44" t="s">
        <v>155</v>
      </c>
      <c r="G59" s="52" t="s">
        <v>721</v>
      </c>
      <c r="H59" s="46"/>
      <c r="I59" s="11" t="b">
        <v>1</v>
      </c>
      <c r="J59" s="47" t="str">
        <f t="shared" si="5"/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1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IFERROR(__xludf.DUMMYFUNCTION("""COMPUTED_VALUE"""),"Ellesche")</f>
        <v>Ellesche</v>
      </c>
      <c r="R59" s="49">
        <f>IFERROR(__xludf.DUMMYFUNCTION("""COMPUTED_VALUE"""),771.0)</f>
        <v>771</v>
      </c>
      <c r="S59" s="49"/>
    </row>
    <row r="61" hidden="1">
      <c r="F61" s="47">
        <f t="shared" ref="F61:G61" si="6">COUNTIF(F8:F59,"")</f>
        <v>14</v>
      </c>
      <c r="G61" s="47">
        <f t="shared" si="6"/>
        <v>15</v>
      </c>
      <c r="I61" s="47">
        <f>COUNTIF(I8:I59,TRUE)</f>
        <v>37</v>
      </c>
    </row>
    <row r="62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5"/>
    <hyperlink r:id="rId37" ref="O25"/>
    <hyperlink r:id="rId38" ref="G26"/>
    <hyperlink r:id="rId39" ref="O26"/>
    <hyperlink r:id="rId40" ref="G27"/>
    <hyperlink r:id="rId41" ref="O27"/>
    <hyperlink r:id="rId42" ref="G28"/>
    <hyperlink r:id="rId43" ref="O28"/>
    <hyperlink r:id="rId44" ref="G29"/>
    <hyperlink r:id="rId45" ref="O29"/>
    <hyperlink r:id="rId46" ref="O30"/>
    <hyperlink r:id="rId47" ref="G31"/>
    <hyperlink r:id="rId48" ref="O31"/>
    <hyperlink r:id="rId49" ref="G32"/>
    <hyperlink r:id="rId50" ref="O32"/>
    <hyperlink r:id="rId51" ref="G33"/>
    <hyperlink r:id="rId52" ref="O33"/>
    <hyperlink r:id="rId53" ref="O34"/>
    <hyperlink r:id="rId54" ref="G35"/>
    <hyperlink r:id="rId55" ref="O35"/>
    <hyperlink r:id="rId56" ref="O36"/>
    <hyperlink r:id="rId57" ref="O37"/>
    <hyperlink r:id="rId58" ref="O38"/>
    <hyperlink r:id="rId59" ref="O39"/>
    <hyperlink r:id="rId60" ref="O40"/>
    <hyperlink r:id="rId61" ref="O41"/>
    <hyperlink r:id="rId62" ref="G42"/>
    <hyperlink r:id="rId63" ref="O42"/>
    <hyperlink r:id="rId64" ref="O43"/>
    <hyperlink r:id="rId65" ref="G44"/>
    <hyperlink r:id="rId66" ref="O44"/>
    <hyperlink r:id="rId67" ref="O45"/>
    <hyperlink r:id="rId68" ref="O46"/>
    <hyperlink r:id="rId69" ref="O47"/>
    <hyperlink r:id="rId70" ref="G48"/>
    <hyperlink r:id="rId71" ref="O48"/>
    <hyperlink r:id="rId72" ref="G49"/>
    <hyperlink r:id="rId73" ref="O49"/>
    <hyperlink r:id="rId74" ref="G50"/>
    <hyperlink r:id="rId75" ref="O50"/>
    <hyperlink r:id="rId76" ref="O51"/>
    <hyperlink r:id="rId77" ref="O52"/>
    <hyperlink r:id="rId78" ref="G53"/>
    <hyperlink r:id="rId79" ref="O53"/>
    <hyperlink r:id="rId80" ref="G54"/>
    <hyperlink r:id="rId81" ref="O54"/>
    <hyperlink r:id="rId82" ref="G55"/>
    <hyperlink r:id="rId83" ref="O55"/>
    <hyperlink r:id="rId84" ref="G57"/>
    <hyperlink r:id="rId85" ref="O57"/>
    <hyperlink r:id="rId86" ref="G58"/>
    <hyperlink r:id="rId87" ref="O58"/>
    <hyperlink r:id="rId88" ref="G59"/>
    <hyperlink r:id="rId89" ref="O59"/>
  </hyperlinks>
  <drawing r:id="rId90"/>
  <tableParts count="1">
    <tablePart r:id="rId92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47" t="str">
        <f>IFERROR(__xludf.DUMMYFUNCTION("{filter('Berlin, GER'!E8:Q2424,len('Berlin, GER'!E8:E2424));filter('Escondido, USA'!E8:Q2424,len('Escondido, USA'!E8:E2424));filter('Onkaparinga_Hills, AUS'!E8:Q2424,len('Onkaparinga_Hills, AUS'!E8:E2424));filter('Perth, AUS'!E8:Q2424,len('Perth, AUS'!E8:"&amp;"E2424));filter('Raleigh, USA'!E8:Q2424,len('Raleigh, USA'!E8:E2424));filter('Browns Plains, AUS'!E8:Q2424,len('Browns Plains, AUS'!E8:E2424));filter('Brossard, CAN'!E8:Q2424,len('Brossard, CAN'!E8:E2424));filter('Gouda, NL'!E8:Q2424,len('Gouda, NL'!E8:E24"&amp;"24));filter('Plympton, UK'!E8:Q2424,len('Plympton, UK'!E8:E2424));filter('Glen Oaks, USA'!E8:Q2424,len('Glen Oaks, USA'!E8:E2424));filter('Chemnitz, GER'!E8:Q2424,len('Chemnitz, GER'!E8:E2424));filter('Vosselaar, BE'!E8:Q2424,len('Vosselaar, BE'!E8:E2424)"&amp;");filter('Morayfield, AUS'!E8:Q2424,len('Morayfield, AUS'!E8:E2424));filter('Gotenborg, SW'!E8:Q2424,len('Gotenborg, SW'!E8:E2424));filter('Shepparton, AUS'!E8:Q2424,len('Shepparton, AUS'!E8:E2424));filter('Hoofddorp, NL'!E8:Q2424,len('Hoofddorp, NL'!E8:E"&amp;"2424));filter('Bedford, UK'!E8:Q2424,len('Bedford, UK'!E8:E2424));filter('Falling_Waters, USA'!E8:Q2424,len('Falling_Waters, USA'!E8:E2424));filter('Dapto, AUS'!E8:Q2424,len('Dapto, AUS'!E8:E2424));filter('New Westminster, CAN'!E8:Q2424,len('New Westminst"&amp;"er, CAN'!E8:E2424));filter('Kingswood, UK'!E8:Q2424,len('Kingswood, UK'!E8:E2424));filter('Hagerstown, USA'!E8:Q2424,len('Hagerstown, USA'!E8:E2424));filter('Felsogalla, HU'!E8:Q2424,len('Felsogalla, HU'!E8:E2424));filter('Norlane, AUS'!E8:Q2424,len('Norl"&amp;"ane, AUS'!E8:E2424));filter('Meitingen, GER'!E8:Q2424,len('Meitingen, GER'!E8:E2424));filter('Groningen, NL'!E8:Q2424,len('Groningen, NL'!E8:E2424));filter('Linköping, SW'!E8:Q2424,len('Linköping, SW'!E8:E2424));filter('Austin, USA'!E8:Q2424,len('Austin, "&amp;"USA'!E8:E2424));filter('Thringstone, UK'!E8:Q2424,len('Thringstone, UK'!E8:E2424));filter('Andover, UK'!E8:Q2424,len('Andover, UK'!E8:E2424));filter('Ospel, NL'!E8:Q2424,len('Ospel, NL'!E8:E2424));filter('Georgetown, CAN'!E8:Q2424,len('Georgetown, CAN'!E8"&amp;":E2424));filter('Wonthaggi, AUS'!E8:Q2424,len('Wonthaggi, AUS'!E8:E2424));filter('Desert Lodge, USA'!E8:Q2424,len('Desert Lodge, USA'!E8:E2424));filter('Kelmscott, AUS'!E8:Q2424,len('Kelmscott, AUS'!E8:E2424));filter('MHQ, USA'!E8:Q2424,len('MHQ, USA'!E8:"&amp;"E2424));filter('Arnhem, NL'!E8:Q2424,len('Arnhem, NL'!E8:E2424))}"),"Virtual Brown")</f>
        <v>Virtual Brown</v>
      </c>
      <c r="B1" s="47" t="str">
        <f>IFERROR(__xludf.DUMMYFUNCTION("""COMPUTED_VALUE"""),"5Star")</f>
        <v>5Star</v>
      </c>
      <c r="C1" s="78" t="str">
        <f>IFERROR(__xludf.DUMMYFUNCTION("""COMPUTED_VALUE"""),"https://www.munzee.com/m/5Star/5652/")</f>
        <v>https://www.munzee.com/m/5Star/5652/</v>
      </c>
      <c r="D1" s="47"/>
      <c r="E1" s="47" t="b">
        <f>IFERROR(__xludf.DUMMYFUNCTION("""COMPUTED_VALUE"""),TRUE)</f>
        <v>1</v>
      </c>
      <c r="F1" s="47" t="str">
        <f>IFERROR(__xludf.DUMMYFUNCTION("""COMPUTED_VALUE"""),"")</f>
        <v/>
      </c>
      <c r="G1" s="47" t="str">
        <f>IFERROR(__xludf.DUMMYFUNCTION("""COMPUTED_VALUE"""),"")</f>
        <v/>
      </c>
      <c r="H1" s="47"/>
      <c r="I1" s="47">
        <f>IFERROR(__xludf.DUMMYFUNCTION("""COMPUTED_VALUE"""),2.0)</f>
        <v>2</v>
      </c>
      <c r="J1" s="47" t="str">
        <f>IFERROR(__xludf.DUMMYFUNCTION("""COMPUTED_VALUE"""),"https:")</f>
        <v>https:</v>
      </c>
      <c r="K1" s="78" t="str">
        <f>IFERROR(__xludf.DUMMYFUNCTION("""COMPUTED_VALUE"""),"www.munzee.com")</f>
        <v>www.munzee.com</v>
      </c>
      <c r="L1" s="47" t="str">
        <f>IFERROR(__xludf.DUMMYFUNCTION("""COMPUTED_VALUE"""),"m")</f>
        <v>m</v>
      </c>
      <c r="M1" s="47" t="str">
        <f>IFERROR(__xludf.DUMMYFUNCTION("""COMPUTED_VALUE"""),"5Star")</f>
        <v>5Star</v>
      </c>
    </row>
    <row r="2">
      <c r="A2" s="47" t="str">
        <f>IFERROR(__xludf.DUMMYFUNCTION("""COMPUTED_VALUE"""),"Virtual Brown")</f>
        <v>Virtual Brown</v>
      </c>
      <c r="B2" s="47" t="str">
        <f>IFERROR(__xludf.DUMMYFUNCTION("""COMPUTED_VALUE"""),"FromTheTardis")</f>
        <v>FromTheTardis</v>
      </c>
      <c r="C2" s="78" t="str">
        <f>IFERROR(__xludf.DUMMYFUNCTION("""COMPUTED_VALUE"""),"https://www.munzee.com/m/FromTheTardis/1297/")</f>
        <v>https://www.munzee.com/m/FromTheTardis/1297/</v>
      </c>
      <c r="D2" s="47"/>
      <c r="E2" s="47" t="b">
        <f>IFERROR(__xludf.DUMMYFUNCTION("""COMPUTED_VALUE"""),TRUE)</f>
        <v>1</v>
      </c>
      <c r="F2" s="47" t="str">
        <f>IFERROR(__xludf.DUMMYFUNCTION("""COMPUTED_VALUE"""),"")</f>
        <v/>
      </c>
      <c r="G2" s="47" t="str">
        <f>IFERROR(__xludf.DUMMYFUNCTION("""COMPUTED_VALUE"""),"")</f>
        <v/>
      </c>
      <c r="H2" s="47"/>
      <c r="I2" s="47">
        <f>IFERROR(__xludf.DUMMYFUNCTION("""COMPUTED_VALUE"""),2.0)</f>
        <v>2</v>
      </c>
      <c r="J2" s="47" t="str">
        <f>IFERROR(__xludf.DUMMYFUNCTION("""COMPUTED_VALUE"""),"https:")</f>
        <v>https:</v>
      </c>
      <c r="K2" s="78" t="str">
        <f>IFERROR(__xludf.DUMMYFUNCTION("""COMPUTED_VALUE"""),"www.munzee.com")</f>
        <v>www.munzee.com</v>
      </c>
      <c r="L2" s="47" t="str">
        <f>IFERROR(__xludf.DUMMYFUNCTION("""COMPUTED_VALUE"""),"m")</f>
        <v>m</v>
      </c>
      <c r="M2" s="47" t="str">
        <f>IFERROR(__xludf.DUMMYFUNCTION("""COMPUTED_VALUE"""),"FromTheTardis")</f>
        <v>FromTheTardis</v>
      </c>
    </row>
    <row r="3">
      <c r="A3" s="47" t="str">
        <f>IFERROR(__xludf.DUMMYFUNCTION("""COMPUTED_VALUE"""),"Virtual Raw Sienna")</f>
        <v>Virtual Raw Sienna</v>
      </c>
      <c r="B3" s="47" t="str">
        <f>IFERROR(__xludf.DUMMYFUNCTION("""COMPUTED_VALUE"""),"DHitz")</f>
        <v>DHitz</v>
      </c>
      <c r="C3" s="78" t="str">
        <f>IFERROR(__xludf.DUMMYFUNCTION("""COMPUTED_VALUE"""),"https://www.munzee.com/m/DHitz/3733/")</f>
        <v>https://www.munzee.com/m/DHitz/3733/</v>
      </c>
      <c r="D3" s="47"/>
      <c r="E3" s="47" t="b">
        <f>IFERROR(__xludf.DUMMYFUNCTION("""COMPUTED_VALUE"""),TRUE)</f>
        <v>1</v>
      </c>
      <c r="F3" s="47" t="str">
        <f>IFERROR(__xludf.DUMMYFUNCTION("""COMPUTED_VALUE"""),"")</f>
        <v/>
      </c>
      <c r="G3" s="47" t="str">
        <f>IFERROR(__xludf.DUMMYFUNCTION("""COMPUTED_VALUE"""),"")</f>
        <v/>
      </c>
      <c r="H3" s="47"/>
      <c r="I3" s="47">
        <f>IFERROR(__xludf.DUMMYFUNCTION("""COMPUTED_VALUE"""),2.0)</f>
        <v>2</v>
      </c>
      <c r="J3" s="47" t="str">
        <f>IFERROR(__xludf.DUMMYFUNCTION("""COMPUTED_VALUE"""),"https:")</f>
        <v>https:</v>
      </c>
      <c r="K3" s="78" t="str">
        <f>IFERROR(__xludf.DUMMYFUNCTION("""COMPUTED_VALUE"""),"www.munzee.com")</f>
        <v>www.munzee.com</v>
      </c>
      <c r="L3" s="47" t="str">
        <f>IFERROR(__xludf.DUMMYFUNCTION("""COMPUTED_VALUE"""),"m")</f>
        <v>m</v>
      </c>
      <c r="M3" s="47" t="str">
        <f>IFERROR(__xludf.DUMMYFUNCTION("""COMPUTED_VALUE"""),"DHitz")</f>
        <v>DHitz</v>
      </c>
    </row>
    <row r="4">
      <c r="A4" s="47" t="str">
        <f>IFERROR(__xludf.DUMMYFUNCTION("""COMPUTED_VALUE"""),"Virtual Raw Sienna")</f>
        <v>Virtual Raw Sienna</v>
      </c>
      <c r="B4" s="47" t="str">
        <f>IFERROR(__xludf.DUMMYFUNCTION("""COMPUTED_VALUE"""),"fsafranek")</f>
        <v>fsafranek</v>
      </c>
      <c r="C4" s="78" t="str">
        <f>IFERROR(__xludf.DUMMYFUNCTION("""COMPUTED_VALUE"""),"https://www.munzee.com/m/fsafranek/4141/")</f>
        <v>https://www.munzee.com/m/fsafranek/4141/</v>
      </c>
      <c r="D4" s="47"/>
      <c r="E4" s="47" t="b">
        <f>IFERROR(__xludf.DUMMYFUNCTION("""COMPUTED_VALUE"""),TRUE)</f>
        <v>1</v>
      </c>
      <c r="F4" s="47" t="str">
        <f>IFERROR(__xludf.DUMMYFUNCTION("""COMPUTED_VALUE"""),"")</f>
        <v/>
      </c>
      <c r="G4" s="47" t="str">
        <f>IFERROR(__xludf.DUMMYFUNCTION("""COMPUTED_VALUE"""),"")</f>
        <v/>
      </c>
      <c r="H4" s="47"/>
      <c r="I4" s="47">
        <f>IFERROR(__xludf.DUMMYFUNCTION("""COMPUTED_VALUE"""),2.0)</f>
        <v>2</v>
      </c>
      <c r="J4" s="47" t="str">
        <f>IFERROR(__xludf.DUMMYFUNCTION("""COMPUTED_VALUE"""),"https:")</f>
        <v>https:</v>
      </c>
      <c r="K4" s="78" t="str">
        <f>IFERROR(__xludf.DUMMYFUNCTION("""COMPUTED_VALUE"""),"www.munzee.com")</f>
        <v>www.munzee.com</v>
      </c>
      <c r="L4" s="47" t="str">
        <f>IFERROR(__xludf.DUMMYFUNCTION("""COMPUTED_VALUE"""),"m")</f>
        <v>m</v>
      </c>
      <c r="M4" s="47" t="str">
        <f>IFERROR(__xludf.DUMMYFUNCTION("""COMPUTED_VALUE"""),"fsafranek")</f>
        <v>fsafranek</v>
      </c>
    </row>
    <row r="5">
      <c r="A5" s="47" t="str">
        <f>IFERROR(__xludf.DUMMYFUNCTION("""COMPUTED_VALUE"""),"Virtual Brown")</f>
        <v>Virtual Brown</v>
      </c>
      <c r="B5" s="47" t="str">
        <f>IFERROR(__xludf.DUMMYFUNCTION("""COMPUTED_VALUE"""),"Wangotango")</f>
        <v>Wangotango</v>
      </c>
      <c r="C5" s="78" t="str">
        <f>IFERROR(__xludf.DUMMYFUNCTION("""COMPUTED_VALUE"""),"https://www.munzee.com/m/Wangotango/1169/")</f>
        <v>https://www.munzee.com/m/Wangotango/1169/</v>
      </c>
      <c r="D5" s="47"/>
      <c r="E5" s="47" t="b">
        <f>IFERROR(__xludf.DUMMYFUNCTION("""COMPUTED_VALUE"""),TRUE)</f>
        <v>1</v>
      </c>
      <c r="F5" s="47" t="str">
        <f>IFERROR(__xludf.DUMMYFUNCTION("""COMPUTED_VALUE"""),"")</f>
        <v/>
      </c>
      <c r="G5" s="47" t="str">
        <f>IFERROR(__xludf.DUMMYFUNCTION("""COMPUTED_VALUE"""),"")</f>
        <v/>
      </c>
      <c r="H5" s="47"/>
      <c r="I5" s="47">
        <f>IFERROR(__xludf.DUMMYFUNCTION("""COMPUTED_VALUE"""),2.0)</f>
        <v>2</v>
      </c>
      <c r="J5" s="47" t="str">
        <f>IFERROR(__xludf.DUMMYFUNCTION("""COMPUTED_VALUE"""),"https:")</f>
        <v>https:</v>
      </c>
      <c r="K5" s="78" t="str">
        <f>IFERROR(__xludf.DUMMYFUNCTION("""COMPUTED_VALUE"""),"www.munzee.com")</f>
        <v>www.munzee.com</v>
      </c>
      <c r="L5" s="47" t="str">
        <f>IFERROR(__xludf.DUMMYFUNCTION("""COMPUTED_VALUE"""),"m")</f>
        <v>m</v>
      </c>
      <c r="M5" s="47" t="str">
        <f>IFERROR(__xludf.DUMMYFUNCTION("""COMPUTED_VALUE"""),"Wangotango")</f>
        <v>Wangotango</v>
      </c>
    </row>
    <row r="6">
      <c r="A6" s="47" t="str">
        <f>IFERROR(__xludf.DUMMYFUNCTION("""COMPUTED_VALUE"""),"Virtual Brown")</f>
        <v>Virtual Brown</v>
      </c>
      <c r="B6" s="47" t="str">
        <f>IFERROR(__xludf.DUMMYFUNCTION("""COMPUTED_VALUE"""),"lanyasummer")</f>
        <v>lanyasummer</v>
      </c>
      <c r="C6" s="78" t="str">
        <f>IFERROR(__xludf.DUMMYFUNCTION("""COMPUTED_VALUE"""),"https://www.munzee.com/m/Lanyasummer/4145/")</f>
        <v>https://www.munzee.com/m/Lanyasummer/4145/</v>
      </c>
      <c r="D6" s="47"/>
      <c r="E6" s="47" t="b">
        <f>IFERROR(__xludf.DUMMYFUNCTION("""COMPUTED_VALUE"""),TRUE)</f>
        <v>1</v>
      </c>
      <c r="F6" s="47" t="str">
        <f>IFERROR(__xludf.DUMMYFUNCTION("""COMPUTED_VALUE"""),"")</f>
        <v/>
      </c>
      <c r="G6" s="47" t="str">
        <f>IFERROR(__xludf.DUMMYFUNCTION("""COMPUTED_VALUE"""),"")</f>
        <v/>
      </c>
      <c r="H6" s="47"/>
      <c r="I6" s="47">
        <f>IFERROR(__xludf.DUMMYFUNCTION("""COMPUTED_VALUE"""),2.0)</f>
        <v>2</v>
      </c>
      <c r="J6" s="47" t="str">
        <f>IFERROR(__xludf.DUMMYFUNCTION("""COMPUTED_VALUE"""),"https:")</f>
        <v>https:</v>
      </c>
      <c r="K6" s="78" t="str">
        <f>IFERROR(__xludf.DUMMYFUNCTION("""COMPUTED_VALUE"""),"www.munzee.com")</f>
        <v>www.munzee.com</v>
      </c>
      <c r="L6" s="47" t="str">
        <f>IFERROR(__xludf.DUMMYFUNCTION("""COMPUTED_VALUE"""),"m")</f>
        <v>m</v>
      </c>
      <c r="M6" s="47" t="str">
        <f>IFERROR(__xludf.DUMMYFUNCTION("""COMPUTED_VALUE"""),"Lanyasummer")</f>
        <v>Lanyasummer</v>
      </c>
    </row>
    <row r="7">
      <c r="A7" s="47" t="str">
        <f>IFERROR(__xludf.DUMMYFUNCTION("""COMPUTED_VALUE"""),"Virtual Brown")</f>
        <v>Virtual Brown</v>
      </c>
      <c r="B7" s="47" t="str">
        <f>IFERROR(__xludf.DUMMYFUNCTION("""COMPUTED_VALUE"""),"J1Huisman")</f>
        <v>J1Huisman</v>
      </c>
      <c r="C7" s="78" t="str">
        <f>IFERROR(__xludf.DUMMYFUNCTION("""COMPUTED_VALUE"""),"https://www.munzee.com/m/J1Huisman/11202/")</f>
        <v>https://www.munzee.com/m/J1Huisman/11202/</v>
      </c>
      <c r="D7" s="47"/>
      <c r="E7" s="47" t="b">
        <f>IFERROR(__xludf.DUMMYFUNCTION("""COMPUTED_VALUE"""),TRUE)</f>
        <v>1</v>
      </c>
      <c r="F7" s="47" t="str">
        <f>IFERROR(__xludf.DUMMYFUNCTION("""COMPUTED_VALUE"""),"")</f>
        <v/>
      </c>
      <c r="G7" s="47" t="str">
        <f>IFERROR(__xludf.DUMMYFUNCTION("""COMPUTED_VALUE"""),"")</f>
        <v/>
      </c>
      <c r="H7" s="47"/>
      <c r="I7" s="47">
        <f>IFERROR(__xludf.DUMMYFUNCTION("""COMPUTED_VALUE"""),2.0)</f>
        <v>2</v>
      </c>
      <c r="J7" s="47" t="str">
        <f>IFERROR(__xludf.DUMMYFUNCTION("""COMPUTED_VALUE"""),"https:")</f>
        <v>https:</v>
      </c>
      <c r="K7" s="78" t="str">
        <f>IFERROR(__xludf.DUMMYFUNCTION("""COMPUTED_VALUE"""),"www.munzee.com")</f>
        <v>www.munzee.com</v>
      </c>
      <c r="L7" s="47" t="str">
        <f>IFERROR(__xludf.DUMMYFUNCTION("""COMPUTED_VALUE"""),"m")</f>
        <v>m</v>
      </c>
      <c r="M7" s="47" t="str">
        <f>IFERROR(__xludf.DUMMYFUNCTION("""COMPUTED_VALUE"""),"J1Huisman")</f>
        <v>J1Huisman</v>
      </c>
    </row>
    <row r="8">
      <c r="A8" s="47" t="str">
        <f>IFERROR(__xludf.DUMMYFUNCTION("""COMPUTED_VALUE"""),"Virtual Raw Sienna")</f>
        <v>Virtual Raw Sienna</v>
      </c>
      <c r="B8" s="47" t="str">
        <f>IFERROR(__xludf.DUMMYFUNCTION("""COMPUTED_VALUE"""),"Dazzle007")</f>
        <v>Dazzle007</v>
      </c>
      <c r="C8" s="78" t="str">
        <f>IFERROR(__xludf.DUMMYFUNCTION("""COMPUTED_VALUE"""),"https://www.munzee.com/m/Dazzle007/768/")</f>
        <v>https://www.munzee.com/m/Dazzle007/768/</v>
      </c>
      <c r="D8" s="47"/>
      <c r="E8" s="47" t="b">
        <f>IFERROR(__xludf.DUMMYFUNCTION("""COMPUTED_VALUE"""),TRUE)</f>
        <v>1</v>
      </c>
      <c r="F8" s="47" t="str">
        <f>IFERROR(__xludf.DUMMYFUNCTION("""COMPUTED_VALUE"""),"")</f>
        <v/>
      </c>
      <c r="G8" s="47" t="str">
        <f>IFERROR(__xludf.DUMMYFUNCTION("""COMPUTED_VALUE"""),"")</f>
        <v/>
      </c>
      <c r="H8" s="47"/>
      <c r="I8" s="47">
        <f>IFERROR(__xludf.DUMMYFUNCTION("""COMPUTED_VALUE"""),2.0)</f>
        <v>2</v>
      </c>
      <c r="J8" s="47" t="str">
        <f>IFERROR(__xludf.DUMMYFUNCTION("""COMPUTED_VALUE"""),"https:")</f>
        <v>https:</v>
      </c>
      <c r="K8" s="78" t="str">
        <f>IFERROR(__xludf.DUMMYFUNCTION("""COMPUTED_VALUE"""),"www.munzee.com")</f>
        <v>www.munzee.com</v>
      </c>
      <c r="L8" s="47" t="str">
        <f>IFERROR(__xludf.DUMMYFUNCTION("""COMPUTED_VALUE"""),"m")</f>
        <v>m</v>
      </c>
      <c r="M8" s="47" t="str">
        <f>IFERROR(__xludf.DUMMYFUNCTION("""COMPUTED_VALUE"""),"Dazzle007")</f>
        <v>Dazzle007</v>
      </c>
    </row>
    <row r="9">
      <c r="A9" s="47" t="str">
        <f>IFERROR(__xludf.DUMMYFUNCTION("""COMPUTED_VALUE"""),"Virtual Brown")</f>
        <v>Virtual Brown</v>
      </c>
      <c r="B9" s="47" t="str">
        <f>IFERROR(__xludf.DUMMYFUNCTION("""COMPUTED_VALUE"""),"lison55")</f>
        <v>lison55</v>
      </c>
      <c r="C9" s="78" t="str">
        <f>IFERROR(__xludf.DUMMYFUNCTION("""COMPUTED_VALUE"""),"https://www.munzee.com/m/lison55/5129")</f>
        <v>https://www.munzee.com/m/lison55/5129</v>
      </c>
      <c r="D9" s="47"/>
      <c r="E9" s="47" t="b">
        <f>IFERROR(__xludf.DUMMYFUNCTION("""COMPUTED_VALUE"""),TRUE)</f>
        <v>1</v>
      </c>
      <c r="F9" s="47" t="str">
        <f>IFERROR(__xludf.DUMMYFUNCTION("""COMPUTED_VALUE"""),"")</f>
        <v/>
      </c>
      <c r="G9" s="47" t="str">
        <f>IFERROR(__xludf.DUMMYFUNCTION("""COMPUTED_VALUE"""),"")</f>
        <v/>
      </c>
      <c r="H9" s="47"/>
      <c r="I9" s="47">
        <f>IFERROR(__xludf.DUMMYFUNCTION("""COMPUTED_VALUE"""),2.0)</f>
        <v>2</v>
      </c>
      <c r="J9" s="47" t="str">
        <f>IFERROR(__xludf.DUMMYFUNCTION("""COMPUTED_VALUE"""),"https:")</f>
        <v>https:</v>
      </c>
      <c r="K9" s="78" t="str">
        <f>IFERROR(__xludf.DUMMYFUNCTION("""COMPUTED_VALUE"""),"www.munzee.com")</f>
        <v>www.munzee.com</v>
      </c>
      <c r="L9" s="47" t="str">
        <f>IFERROR(__xludf.DUMMYFUNCTION("""COMPUTED_VALUE"""),"m")</f>
        <v>m</v>
      </c>
      <c r="M9" s="47" t="str">
        <f>IFERROR(__xludf.DUMMYFUNCTION("""COMPUTED_VALUE"""),"lison55")</f>
        <v>lison55</v>
      </c>
    </row>
    <row r="10">
      <c r="A10" s="47" t="str">
        <f>IFERROR(__xludf.DUMMYFUNCTION("""COMPUTED_VALUE"""),"Virtual Brown")</f>
        <v>Virtual Brown</v>
      </c>
      <c r="B10" s="47" t="str">
        <f>IFERROR(__xludf.DUMMYFUNCTION("""COMPUTED_VALUE"""),"Pinkeltje")</f>
        <v>Pinkeltje</v>
      </c>
      <c r="C10" s="78" t="str">
        <f>IFERROR(__xludf.DUMMYFUNCTION("""COMPUTED_VALUE"""),"https://www.munzee.com/m/Pinkeltje/1082/")</f>
        <v>https://www.munzee.com/m/Pinkeltje/1082/</v>
      </c>
      <c r="D10" s="47"/>
      <c r="E10" s="47" t="b">
        <f>IFERROR(__xludf.DUMMYFUNCTION("""COMPUTED_VALUE"""),TRUE)</f>
        <v>1</v>
      </c>
      <c r="F10" s="47" t="str">
        <f>IFERROR(__xludf.DUMMYFUNCTION("""COMPUTED_VALUE"""),"")</f>
        <v/>
      </c>
      <c r="G10" s="47" t="str">
        <f>IFERROR(__xludf.DUMMYFUNCTION("""COMPUTED_VALUE"""),"")</f>
        <v/>
      </c>
      <c r="H10" s="47"/>
      <c r="I10" s="47">
        <f>IFERROR(__xludf.DUMMYFUNCTION("""COMPUTED_VALUE"""),2.0)</f>
        <v>2</v>
      </c>
      <c r="J10" s="47" t="str">
        <f>IFERROR(__xludf.DUMMYFUNCTION("""COMPUTED_VALUE"""),"https:")</f>
        <v>https:</v>
      </c>
      <c r="K10" s="78" t="str">
        <f>IFERROR(__xludf.DUMMYFUNCTION("""COMPUTED_VALUE"""),"www.munzee.com")</f>
        <v>www.munzee.com</v>
      </c>
      <c r="L10" s="47" t="str">
        <f>IFERROR(__xludf.DUMMYFUNCTION("""COMPUTED_VALUE"""),"m")</f>
        <v>m</v>
      </c>
      <c r="M10" s="47" t="str">
        <f>IFERROR(__xludf.DUMMYFUNCTION("""COMPUTED_VALUE"""),"Pinkeltje")</f>
        <v>Pinkeltje</v>
      </c>
    </row>
    <row r="11">
      <c r="A11" s="47" t="str">
        <f>IFERROR(__xludf.DUMMYFUNCTION("""COMPUTED_VALUE"""),"Virtual Brown")</f>
        <v>Virtual Brown</v>
      </c>
      <c r="B11" s="47" t="str">
        <f>IFERROR(__xludf.DUMMYFUNCTION("""COMPUTED_VALUE"""),"bambinacattiva")</f>
        <v>bambinacattiva</v>
      </c>
      <c r="C11" s="78" t="str">
        <f>IFERROR(__xludf.DUMMYFUNCTION("""COMPUTED_VALUE"""),"https://www.munzee.com/m/Bambinacattiva/706/")</f>
        <v>https://www.munzee.com/m/Bambinacattiva/706/</v>
      </c>
      <c r="D11" s="47"/>
      <c r="E11" s="47" t="b">
        <f>IFERROR(__xludf.DUMMYFUNCTION("""COMPUTED_VALUE"""),TRUE)</f>
        <v>1</v>
      </c>
      <c r="F11" s="47" t="str">
        <f>IFERROR(__xludf.DUMMYFUNCTION("""COMPUTED_VALUE"""),"")</f>
        <v/>
      </c>
      <c r="G11" s="47" t="str">
        <f>IFERROR(__xludf.DUMMYFUNCTION("""COMPUTED_VALUE"""),"")</f>
        <v/>
      </c>
      <c r="H11" s="47"/>
      <c r="I11" s="47">
        <f>IFERROR(__xludf.DUMMYFUNCTION("""COMPUTED_VALUE"""),2.0)</f>
        <v>2</v>
      </c>
      <c r="J11" s="47" t="str">
        <f>IFERROR(__xludf.DUMMYFUNCTION("""COMPUTED_VALUE"""),"https:")</f>
        <v>https:</v>
      </c>
      <c r="K11" s="78" t="str">
        <f>IFERROR(__xludf.DUMMYFUNCTION("""COMPUTED_VALUE"""),"www.munzee.com")</f>
        <v>www.munzee.com</v>
      </c>
      <c r="L11" s="47" t="str">
        <f>IFERROR(__xludf.DUMMYFUNCTION("""COMPUTED_VALUE"""),"m")</f>
        <v>m</v>
      </c>
      <c r="M11" s="47" t="str">
        <f>IFERROR(__xludf.DUMMYFUNCTION("""COMPUTED_VALUE"""),"Bambinacattiva")</f>
        <v>Bambinacattiva</v>
      </c>
    </row>
    <row r="12">
      <c r="A12" s="47" t="str">
        <f>IFERROR(__xludf.DUMMYFUNCTION("""COMPUTED_VALUE"""),"Virtual Brown")</f>
        <v>Virtual Brown</v>
      </c>
      <c r="B12" s="47" t="str">
        <f>IFERROR(__xludf.DUMMYFUNCTION("""COMPUTED_VALUE"""),"sverlaan")</f>
        <v>sverlaan</v>
      </c>
      <c r="C12" s="78" t="str">
        <f>IFERROR(__xludf.DUMMYFUNCTION("""COMPUTED_VALUE"""),"https://www.munzee.com/m/sverlaan/4146/")</f>
        <v>https://www.munzee.com/m/sverlaan/4146/</v>
      </c>
      <c r="D12" s="47"/>
      <c r="E12" s="47" t="b">
        <f>IFERROR(__xludf.DUMMYFUNCTION("""COMPUTED_VALUE"""),TRUE)</f>
        <v>1</v>
      </c>
      <c r="F12" s="47" t="str">
        <f>IFERROR(__xludf.DUMMYFUNCTION("""COMPUTED_VALUE"""),"")</f>
        <v/>
      </c>
      <c r="G12" s="47" t="str">
        <f>IFERROR(__xludf.DUMMYFUNCTION("""COMPUTED_VALUE"""),"")</f>
        <v/>
      </c>
      <c r="H12" s="47"/>
      <c r="I12" s="47">
        <f>IFERROR(__xludf.DUMMYFUNCTION("""COMPUTED_VALUE"""),2.0)</f>
        <v>2</v>
      </c>
      <c r="J12" s="47" t="str">
        <f>IFERROR(__xludf.DUMMYFUNCTION("""COMPUTED_VALUE"""),"https:")</f>
        <v>https:</v>
      </c>
      <c r="K12" s="78" t="str">
        <f>IFERROR(__xludf.DUMMYFUNCTION("""COMPUTED_VALUE"""),"www.munzee.com")</f>
        <v>www.munzee.com</v>
      </c>
      <c r="L12" s="47" t="str">
        <f>IFERROR(__xludf.DUMMYFUNCTION("""COMPUTED_VALUE"""),"m")</f>
        <v>m</v>
      </c>
      <c r="M12" s="47" t="str">
        <f>IFERROR(__xludf.DUMMYFUNCTION("""COMPUTED_VALUE"""),"sverlaan")</f>
        <v>sverlaan</v>
      </c>
    </row>
    <row r="13">
      <c r="A13" s="47" t="str">
        <f>IFERROR(__xludf.DUMMYFUNCTION("""COMPUTED_VALUE"""),"Virtual Brown")</f>
        <v>Virtual Brown</v>
      </c>
      <c r="B13" s="47" t="str">
        <f>IFERROR(__xludf.DUMMYFUNCTION("""COMPUTED_VALUE"""),"Emilep68 ")</f>
        <v>Emilep68 </v>
      </c>
      <c r="C13" s="78" t="str">
        <f>IFERROR(__xludf.DUMMYFUNCTION("""COMPUTED_VALUE"""),"https://www.munzee.com/m/EmileP68/2925/")</f>
        <v>https://www.munzee.com/m/EmileP68/2925/</v>
      </c>
      <c r="D13" s="47"/>
      <c r="E13" s="47" t="b">
        <f>IFERROR(__xludf.DUMMYFUNCTION("""COMPUTED_VALUE"""),TRUE)</f>
        <v>1</v>
      </c>
      <c r="F13" s="47" t="str">
        <f>IFERROR(__xludf.DUMMYFUNCTION("""COMPUTED_VALUE"""),"")</f>
        <v/>
      </c>
      <c r="G13" s="47" t="str">
        <f>IFERROR(__xludf.DUMMYFUNCTION("""COMPUTED_VALUE"""),"")</f>
        <v/>
      </c>
      <c r="H13" s="47"/>
      <c r="I13" s="47">
        <f>IFERROR(__xludf.DUMMYFUNCTION("""COMPUTED_VALUE"""),2.0)</f>
        <v>2</v>
      </c>
      <c r="J13" s="47" t="str">
        <f>IFERROR(__xludf.DUMMYFUNCTION("""COMPUTED_VALUE"""),"https:")</f>
        <v>https:</v>
      </c>
      <c r="K13" s="78" t="str">
        <f>IFERROR(__xludf.DUMMYFUNCTION("""COMPUTED_VALUE"""),"www.munzee.com")</f>
        <v>www.munzee.com</v>
      </c>
      <c r="L13" s="47" t="str">
        <f>IFERROR(__xludf.DUMMYFUNCTION("""COMPUTED_VALUE"""),"m")</f>
        <v>m</v>
      </c>
      <c r="M13" s="47" t="str">
        <f>IFERROR(__xludf.DUMMYFUNCTION("""COMPUTED_VALUE"""),"EmileP68")</f>
        <v>EmileP68</v>
      </c>
    </row>
    <row r="14">
      <c r="A14" s="47" t="str">
        <f>IFERROR(__xludf.DUMMYFUNCTION("""COMPUTED_VALUE"""),"Virtual Brown")</f>
        <v>Virtual Brown</v>
      </c>
      <c r="B14" s="47" t="str">
        <f>IFERROR(__xludf.DUMMYFUNCTION("""COMPUTED_VALUE"""),"Pawpatrolthomas ")</f>
        <v>Pawpatrolthomas </v>
      </c>
      <c r="C14" s="78" t="str">
        <f>IFERROR(__xludf.DUMMYFUNCTION("""COMPUTED_VALUE"""),"https://www.munzee.com/m/PawPatrolThomas/2214/")</f>
        <v>https://www.munzee.com/m/PawPatrolThomas/2214/</v>
      </c>
      <c r="D14" s="47"/>
      <c r="E14" s="47" t="b">
        <f>IFERROR(__xludf.DUMMYFUNCTION("""COMPUTED_VALUE"""),TRUE)</f>
        <v>1</v>
      </c>
      <c r="F14" s="47" t="str">
        <f>IFERROR(__xludf.DUMMYFUNCTION("""COMPUTED_VALUE"""),"")</f>
        <v/>
      </c>
      <c r="G14" s="47" t="str">
        <f>IFERROR(__xludf.DUMMYFUNCTION("""COMPUTED_VALUE"""),"")</f>
        <v/>
      </c>
      <c r="H14" s="47"/>
      <c r="I14" s="47">
        <f>IFERROR(__xludf.DUMMYFUNCTION("""COMPUTED_VALUE"""),2.0)</f>
        <v>2</v>
      </c>
      <c r="J14" s="47" t="str">
        <f>IFERROR(__xludf.DUMMYFUNCTION("""COMPUTED_VALUE"""),"https:")</f>
        <v>https:</v>
      </c>
      <c r="K14" s="78" t="str">
        <f>IFERROR(__xludf.DUMMYFUNCTION("""COMPUTED_VALUE"""),"www.munzee.com")</f>
        <v>www.munzee.com</v>
      </c>
      <c r="L14" s="47" t="str">
        <f>IFERROR(__xludf.DUMMYFUNCTION("""COMPUTED_VALUE"""),"m")</f>
        <v>m</v>
      </c>
      <c r="M14" s="47" t="str">
        <f>IFERROR(__xludf.DUMMYFUNCTION("""COMPUTED_VALUE"""),"PawPatrolThomas")</f>
        <v>PawPatrolThomas</v>
      </c>
    </row>
    <row r="15">
      <c r="A15" s="47" t="str">
        <f>IFERROR(__xludf.DUMMYFUNCTION("""COMPUTED_VALUE"""),"Virtual Brown")</f>
        <v>Virtual Brown</v>
      </c>
      <c r="B15" s="47" t="str">
        <f>IFERROR(__xludf.DUMMYFUNCTION("""COMPUTED_VALUE"""),"WiseOldWizard")</f>
        <v>WiseOldWizard</v>
      </c>
      <c r="C15" s="78" t="str">
        <f>IFERROR(__xludf.DUMMYFUNCTION("""COMPUTED_VALUE"""),"https://www.munzee.com/m/WiseOldWizard/3930/")</f>
        <v>https://www.munzee.com/m/WiseOldWizard/3930/</v>
      </c>
      <c r="D15" s="47"/>
      <c r="E15" s="47" t="b">
        <f>IFERROR(__xludf.DUMMYFUNCTION("""COMPUTED_VALUE"""),TRUE)</f>
        <v>1</v>
      </c>
      <c r="F15" s="47" t="str">
        <f>IFERROR(__xludf.DUMMYFUNCTION("""COMPUTED_VALUE"""),"")</f>
        <v/>
      </c>
      <c r="G15" s="47" t="str">
        <f>IFERROR(__xludf.DUMMYFUNCTION("""COMPUTED_VALUE"""),"")</f>
        <v/>
      </c>
      <c r="H15" s="47"/>
      <c r="I15" s="47">
        <f>IFERROR(__xludf.DUMMYFUNCTION("""COMPUTED_VALUE"""),2.0)</f>
        <v>2</v>
      </c>
      <c r="J15" s="47" t="str">
        <f>IFERROR(__xludf.DUMMYFUNCTION("""COMPUTED_VALUE"""),"https:")</f>
        <v>https:</v>
      </c>
      <c r="K15" s="78" t="str">
        <f>IFERROR(__xludf.DUMMYFUNCTION("""COMPUTED_VALUE"""),"www.munzee.com")</f>
        <v>www.munzee.com</v>
      </c>
      <c r="L15" s="47" t="str">
        <f>IFERROR(__xludf.DUMMYFUNCTION("""COMPUTED_VALUE"""),"m")</f>
        <v>m</v>
      </c>
      <c r="M15" s="47" t="str">
        <f>IFERROR(__xludf.DUMMYFUNCTION("""COMPUTED_VALUE"""),"WiseOldWizard")</f>
        <v>WiseOldWizard</v>
      </c>
    </row>
    <row r="16">
      <c r="A16" s="47" t="str">
        <f>IFERROR(__xludf.DUMMYFUNCTION("""COMPUTED_VALUE"""),"Virtual Brown")</f>
        <v>Virtual Brown</v>
      </c>
      <c r="B16" s="47" t="str">
        <f>IFERROR(__xludf.DUMMYFUNCTION("""COMPUTED_VALUE"""),"Hoekraam")</f>
        <v>Hoekraam</v>
      </c>
      <c r="C16" s="78" t="str">
        <f>IFERROR(__xludf.DUMMYFUNCTION("""COMPUTED_VALUE"""),"https://www.munzee.com/m/hoekraam/6623")</f>
        <v>https://www.munzee.com/m/hoekraam/6623</v>
      </c>
      <c r="D16" s="47"/>
      <c r="E16" s="47" t="b">
        <f>IFERROR(__xludf.DUMMYFUNCTION("""COMPUTED_VALUE"""),TRUE)</f>
        <v>1</v>
      </c>
      <c r="F16" s="47" t="str">
        <f>IFERROR(__xludf.DUMMYFUNCTION("""COMPUTED_VALUE"""),"")</f>
        <v/>
      </c>
      <c r="G16" s="47" t="str">
        <f>IFERROR(__xludf.DUMMYFUNCTION("""COMPUTED_VALUE"""),"")</f>
        <v/>
      </c>
      <c r="H16" s="47"/>
      <c r="I16" s="47">
        <f>IFERROR(__xludf.DUMMYFUNCTION("""COMPUTED_VALUE"""),2.0)</f>
        <v>2</v>
      </c>
      <c r="J16" s="47" t="str">
        <f>IFERROR(__xludf.DUMMYFUNCTION("""COMPUTED_VALUE"""),"https:")</f>
        <v>https:</v>
      </c>
      <c r="K16" s="78" t="str">
        <f>IFERROR(__xludf.DUMMYFUNCTION("""COMPUTED_VALUE"""),"www.munzee.com")</f>
        <v>www.munzee.com</v>
      </c>
      <c r="L16" s="47" t="str">
        <f>IFERROR(__xludf.DUMMYFUNCTION("""COMPUTED_VALUE"""),"m")</f>
        <v>m</v>
      </c>
      <c r="M16" s="47" t="str">
        <f>IFERROR(__xludf.DUMMYFUNCTION("""COMPUTED_VALUE"""),"hoekraam")</f>
        <v>hoekraam</v>
      </c>
    </row>
    <row r="17">
      <c r="A17" s="47" t="str">
        <f>IFERROR(__xludf.DUMMYFUNCTION("""COMPUTED_VALUE"""),"Virtual Brown")</f>
        <v>Virtual Brown</v>
      </c>
      <c r="B17" s="47" t="str">
        <f>IFERROR(__xludf.DUMMYFUNCTION("""COMPUTED_VALUE"""),"xrayneex")</f>
        <v>xrayneex</v>
      </c>
      <c r="C17" s="78" t="str">
        <f>IFERROR(__xludf.DUMMYFUNCTION("""COMPUTED_VALUE"""),"https://www.munzee.com/m/xrayneex/1328")</f>
        <v>https://www.munzee.com/m/xrayneex/1328</v>
      </c>
      <c r="D17" s="47"/>
      <c r="E17" s="47" t="b">
        <f>IFERROR(__xludf.DUMMYFUNCTION("""COMPUTED_VALUE"""),TRUE)</f>
        <v>1</v>
      </c>
      <c r="F17" s="47" t="str">
        <f>IFERROR(__xludf.DUMMYFUNCTION("""COMPUTED_VALUE"""),"")</f>
        <v/>
      </c>
      <c r="G17" s="47" t="str">
        <f>IFERROR(__xludf.DUMMYFUNCTION("""COMPUTED_VALUE"""),"")</f>
        <v/>
      </c>
      <c r="H17" s="47"/>
      <c r="I17" s="47">
        <f>IFERROR(__xludf.DUMMYFUNCTION("""COMPUTED_VALUE"""),2.0)</f>
        <v>2</v>
      </c>
      <c r="J17" s="47" t="str">
        <f>IFERROR(__xludf.DUMMYFUNCTION("""COMPUTED_VALUE"""),"https:")</f>
        <v>https:</v>
      </c>
      <c r="K17" s="78" t="str">
        <f>IFERROR(__xludf.DUMMYFUNCTION("""COMPUTED_VALUE"""),"www.munzee.com")</f>
        <v>www.munzee.com</v>
      </c>
      <c r="L17" s="47" t="str">
        <f>IFERROR(__xludf.DUMMYFUNCTION("""COMPUTED_VALUE"""),"m")</f>
        <v>m</v>
      </c>
      <c r="M17" s="47" t="str">
        <f>IFERROR(__xludf.DUMMYFUNCTION("""COMPUTED_VALUE"""),"xrayneex")</f>
        <v>xrayneex</v>
      </c>
    </row>
    <row r="18">
      <c r="A18" s="47" t="str">
        <f>IFERROR(__xludf.DUMMYFUNCTION("""COMPUTED_VALUE"""),"Virtual Brown")</f>
        <v>Virtual Brown</v>
      </c>
      <c r="B18" s="47" t="str">
        <f>IFERROR(__xludf.DUMMYFUNCTION("""COMPUTED_VALUE"""),"barefootguru")</f>
        <v>barefootguru</v>
      </c>
      <c r="C18" s="78" t="str">
        <f>IFERROR(__xludf.DUMMYFUNCTION("""COMPUTED_VALUE"""),"https://www.munzee.com/m/barefootguru/3090/")</f>
        <v>https://www.munzee.com/m/barefootguru/3090/</v>
      </c>
      <c r="D18" s="47"/>
      <c r="E18" s="47" t="b">
        <f>IFERROR(__xludf.DUMMYFUNCTION("""COMPUTED_VALUE"""),TRUE)</f>
        <v>1</v>
      </c>
      <c r="F18" s="47" t="str">
        <f>IFERROR(__xludf.DUMMYFUNCTION("""COMPUTED_VALUE"""),"")</f>
        <v/>
      </c>
      <c r="G18" s="47" t="str">
        <f>IFERROR(__xludf.DUMMYFUNCTION("""COMPUTED_VALUE"""),"")</f>
        <v/>
      </c>
      <c r="H18" s="47"/>
      <c r="I18" s="47">
        <f>IFERROR(__xludf.DUMMYFUNCTION("""COMPUTED_VALUE"""),2.0)</f>
        <v>2</v>
      </c>
      <c r="J18" s="47" t="str">
        <f>IFERROR(__xludf.DUMMYFUNCTION("""COMPUTED_VALUE"""),"https:")</f>
        <v>https:</v>
      </c>
      <c r="K18" s="78" t="str">
        <f>IFERROR(__xludf.DUMMYFUNCTION("""COMPUTED_VALUE"""),"www.munzee.com")</f>
        <v>www.munzee.com</v>
      </c>
      <c r="L18" s="47" t="str">
        <f>IFERROR(__xludf.DUMMYFUNCTION("""COMPUTED_VALUE"""),"m")</f>
        <v>m</v>
      </c>
      <c r="M18" s="47" t="str">
        <f>IFERROR(__xludf.DUMMYFUNCTION("""COMPUTED_VALUE"""),"barefootguru")</f>
        <v>barefootguru</v>
      </c>
    </row>
    <row r="19">
      <c r="A19" s="47" t="str">
        <f>IFERROR(__xludf.DUMMYFUNCTION("""COMPUTED_VALUE"""),"Virtual Brown")</f>
        <v>Virtual Brown</v>
      </c>
      <c r="B19" s="47" t="str">
        <f>IFERROR(__xludf.DUMMYFUNCTION("""COMPUTED_VALUE"""),"BrotherWilliam")</f>
        <v>BrotherWilliam</v>
      </c>
      <c r="C19" s="78" t="str">
        <f>IFERROR(__xludf.DUMMYFUNCTION("""COMPUTED_VALUE"""),"https://www.munzee.com/m/BrotherWilliam/3858/")</f>
        <v>https://www.munzee.com/m/BrotherWilliam/3858/</v>
      </c>
      <c r="D19" s="47"/>
      <c r="E19" s="47" t="b">
        <f>IFERROR(__xludf.DUMMYFUNCTION("""COMPUTED_VALUE"""),TRUE)</f>
        <v>1</v>
      </c>
      <c r="F19" s="47" t="str">
        <f>IFERROR(__xludf.DUMMYFUNCTION("""COMPUTED_VALUE"""),"")</f>
        <v/>
      </c>
      <c r="G19" s="47" t="str">
        <f>IFERROR(__xludf.DUMMYFUNCTION("""COMPUTED_VALUE"""),"")</f>
        <v/>
      </c>
      <c r="H19" s="47"/>
      <c r="I19" s="47">
        <f>IFERROR(__xludf.DUMMYFUNCTION("""COMPUTED_VALUE"""),2.0)</f>
        <v>2</v>
      </c>
      <c r="J19" s="47" t="str">
        <f>IFERROR(__xludf.DUMMYFUNCTION("""COMPUTED_VALUE"""),"https:")</f>
        <v>https:</v>
      </c>
      <c r="K19" s="78" t="str">
        <f>IFERROR(__xludf.DUMMYFUNCTION("""COMPUTED_VALUE"""),"www.munzee.com")</f>
        <v>www.munzee.com</v>
      </c>
      <c r="L19" s="47" t="str">
        <f>IFERROR(__xludf.DUMMYFUNCTION("""COMPUTED_VALUE"""),"m")</f>
        <v>m</v>
      </c>
      <c r="M19" s="47" t="str">
        <f>IFERROR(__xludf.DUMMYFUNCTION("""COMPUTED_VALUE"""),"BrotherWilliam")</f>
        <v>BrotherWilliam</v>
      </c>
    </row>
    <row r="20">
      <c r="A20" s="47" t="str">
        <f>IFERROR(__xludf.DUMMYFUNCTION("""COMPUTED_VALUE"""),"Virtual Raw Sienna")</f>
        <v>Virtual Raw Sienna</v>
      </c>
      <c r="B20" s="47" t="str">
        <f>IFERROR(__xludf.DUMMYFUNCTION("""COMPUTED_VALUE"""),"IggiePiggie")</f>
        <v>IggiePiggie</v>
      </c>
      <c r="C20" s="78" t="str">
        <f>IFERROR(__xludf.DUMMYFUNCTION("""COMPUTED_VALUE"""),"https://www.munzee.com/m/IggiePiggie/1766/")</f>
        <v>https://www.munzee.com/m/IggiePiggie/1766/</v>
      </c>
      <c r="D20" s="47"/>
      <c r="E20" s="47" t="b">
        <f>IFERROR(__xludf.DUMMYFUNCTION("""COMPUTED_VALUE"""),TRUE)</f>
        <v>1</v>
      </c>
      <c r="F20" s="47" t="str">
        <f>IFERROR(__xludf.DUMMYFUNCTION("""COMPUTED_VALUE"""),"")</f>
        <v/>
      </c>
      <c r="G20" s="47" t="str">
        <f>IFERROR(__xludf.DUMMYFUNCTION("""COMPUTED_VALUE"""),"")</f>
        <v/>
      </c>
      <c r="H20" s="47"/>
      <c r="I20" s="47">
        <f>IFERROR(__xludf.DUMMYFUNCTION("""COMPUTED_VALUE"""),2.0)</f>
        <v>2</v>
      </c>
      <c r="J20" s="47" t="str">
        <f>IFERROR(__xludf.DUMMYFUNCTION("""COMPUTED_VALUE"""),"https:")</f>
        <v>https:</v>
      </c>
      <c r="K20" s="78" t="str">
        <f>IFERROR(__xludf.DUMMYFUNCTION("""COMPUTED_VALUE"""),"www.munzee.com")</f>
        <v>www.munzee.com</v>
      </c>
      <c r="L20" s="47" t="str">
        <f>IFERROR(__xludf.DUMMYFUNCTION("""COMPUTED_VALUE"""),"m")</f>
        <v>m</v>
      </c>
      <c r="M20" s="47" t="str">
        <f>IFERROR(__xludf.DUMMYFUNCTION("""COMPUTED_VALUE"""),"IggiePiggie")</f>
        <v>IggiePiggie</v>
      </c>
    </row>
    <row r="21">
      <c r="A21" s="47" t="str">
        <f>IFERROR(__xludf.DUMMYFUNCTION("""COMPUTED_VALUE"""),"Virtual Brown")</f>
        <v>Virtual Brown</v>
      </c>
      <c r="B21" s="47" t="str">
        <f>IFERROR(__xludf.DUMMYFUNCTION("""COMPUTED_VALUE"""),"ArtofEco")</f>
        <v>ArtofEco</v>
      </c>
      <c r="C21" s="78" t="str">
        <f>IFERROR(__xludf.DUMMYFUNCTION("""COMPUTED_VALUE"""),"https://www.munzee.com/m/ArtofEco/2871/")</f>
        <v>https://www.munzee.com/m/ArtofEco/2871/</v>
      </c>
      <c r="D21" s="47"/>
      <c r="E21" s="47" t="b">
        <f>IFERROR(__xludf.DUMMYFUNCTION("""COMPUTED_VALUE"""),TRUE)</f>
        <v>1</v>
      </c>
      <c r="F21" s="47" t="str">
        <f>IFERROR(__xludf.DUMMYFUNCTION("""COMPUTED_VALUE"""),"")</f>
        <v/>
      </c>
      <c r="G21" s="47" t="str">
        <f>IFERROR(__xludf.DUMMYFUNCTION("""COMPUTED_VALUE"""),"")</f>
        <v/>
      </c>
      <c r="H21" s="47"/>
      <c r="I21" s="47">
        <f>IFERROR(__xludf.DUMMYFUNCTION("""COMPUTED_VALUE"""),2.0)</f>
        <v>2</v>
      </c>
      <c r="J21" s="47" t="str">
        <f>IFERROR(__xludf.DUMMYFUNCTION("""COMPUTED_VALUE"""),"https:")</f>
        <v>https:</v>
      </c>
      <c r="K21" s="78" t="str">
        <f>IFERROR(__xludf.DUMMYFUNCTION("""COMPUTED_VALUE"""),"www.munzee.com")</f>
        <v>www.munzee.com</v>
      </c>
      <c r="L21" s="47" t="str">
        <f>IFERROR(__xludf.DUMMYFUNCTION("""COMPUTED_VALUE"""),"m")</f>
        <v>m</v>
      </c>
      <c r="M21" s="47" t="str">
        <f>IFERROR(__xludf.DUMMYFUNCTION("""COMPUTED_VALUE"""),"ArtofEco")</f>
        <v>ArtofEco</v>
      </c>
    </row>
    <row r="22">
      <c r="A22" s="47" t="str">
        <f>IFERROR(__xludf.DUMMYFUNCTION("""COMPUTED_VALUE"""),"Virtual Brown")</f>
        <v>Virtual Brown</v>
      </c>
      <c r="B22" s="47" t="str">
        <f>IFERROR(__xludf.DUMMYFUNCTION("""COMPUTED_VALUE"""),"Anetzet")</f>
        <v>Anetzet</v>
      </c>
      <c r="C22" s="78" t="str">
        <f>IFERROR(__xludf.DUMMYFUNCTION("""COMPUTED_VALUE"""),"https://www.munzee.com/m/Anetzet/2682/")</f>
        <v>https://www.munzee.com/m/Anetzet/2682/</v>
      </c>
      <c r="D22" s="47"/>
      <c r="E22" s="47" t="b">
        <f>IFERROR(__xludf.DUMMYFUNCTION("""COMPUTED_VALUE"""),TRUE)</f>
        <v>1</v>
      </c>
      <c r="F22" s="47" t="str">
        <f>IFERROR(__xludf.DUMMYFUNCTION("""COMPUTED_VALUE"""),"")</f>
        <v/>
      </c>
      <c r="G22" s="47" t="str">
        <f>IFERROR(__xludf.DUMMYFUNCTION("""COMPUTED_VALUE"""),"")</f>
        <v/>
      </c>
      <c r="H22" s="47"/>
      <c r="I22" s="47">
        <f>IFERROR(__xludf.DUMMYFUNCTION("""COMPUTED_VALUE"""),2.0)</f>
        <v>2</v>
      </c>
      <c r="J22" s="47" t="str">
        <f>IFERROR(__xludf.DUMMYFUNCTION("""COMPUTED_VALUE"""),"https:")</f>
        <v>https:</v>
      </c>
      <c r="K22" s="78" t="str">
        <f>IFERROR(__xludf.DUMMYFUNCTION("""COMPUTED_VALUE"""),"www.munzee.com")</f>
        <v>www.munzee.com</v>
      </c>
      <c r="L22" s="47" t="str">
        <f>IFERROR(__xludf.DUMMYFUNCTION("""COMPUTED_VALUE"""),"m")</f>
        <v>m</v>
      </c>
      <c r="M22" s="47" t="str">
        <f>IFERROR(__xludf.DUMMYFUNCTION("""COMPUTED_VALUE"""),"Anetzet")</f>
        <v>Anetzet</v>
      </c>
    </row>
    <row r="23">
      <c r="A23" s="47" t="str">
        <f>IFERROR(__xludf.DUMMYFUNCTION("""COMPUTED_VALUE"""),"Virtual Brown")</f>
        <v>Virtual Brown</v>
      </c>
      <c r="B23" s="47" t="str">
        <f>IFERROR(__xludf.DUMMYFUNCTION("""COMPUTED_VALUE"""),"babyw")</f>
        <v>babyw</v>
      </c>
      <c r="C23" s="78" t="str">
        <f>IFERROR(__xludf.DUMMYFUNCTION("""COMPUTED_VALUE"""),"https://www.munzee.com/m/babyw/2957/")</f>
        <v>https://www.munzee.com/m/babyw/2957/</v>
      </c>
      <c r="D23" s="79"/>
      <c r="E23" s="47" t="b">
        <f>IFERROR(__xludf.DUMMYFUNCTION("""COMPUTED_VALUE"""),TRUE)</f>
        <v>1</v>
      </c>
      <c r="F23" s="47" t="str">
        <f>IFERROR(__xludf.DUMMYFUNCTION("""COMPUTED_VALUE"""),"")</f>
        <v/>
      </c>
      <c r="G23" s="47" t="str">
        <f>IFERROR(__xludf.DUMMYFUNCTION("""COMPUTED_VALUE"""),"")</f>
        <v/>
      </c>
      <c r="H23" s="47"/>
      <c r="I23" s="47">
        <f>IFERROR(__xludf.DUMMYFUNCTION("""COMPUTED_VALUE"""),2.0)</f>
        <v>2</v>
      </c>
      <c r="J23" s="47" t="str">
        <f>IFERROR(__xludf.DUMMYFUNCTION("""COMPUTED_VALUE"""),"https:")</f>
        <v>https:</v>
      </c>
      <c r="K23" s="78" t="str">
        <f>IFERROR(__xludf.DUMMYFUNCTION("""COMPUTED_VALUE"""),"www.munzee.com")</f>
        <v>www.munzee.com</v>
      </c>
      <c r="L23" s="47" t="str">
        <f>IFERROR(__xludf.DUMMYFUNCTION("""COMPUTED_VALUE"""),"m")</f>
        <v>m</v>
      </c>
      <c r="M23" s="47" t="str">
        <f>IFERROR(__xludf.DUMMYFUNCTION("""COMPUTED_VALUE"""),"babyw")</f>
        <v>babyw</v>
      </c>
    </row>
    <row r="24">
      <c r="A24" s="47" t="str">
        <f>IFERROR(__xludf.DUMMYFUNCTION("""COMPUTED_VALUE"""),"Virtual Raw Sienna")</f>
        <v>Virtual Raw Sienna</v>
      </c>
      <c r="B24" s="47" t="str">
        <f>IFERROR(__xludf.DUMMYFUNCTION("""COMPUTED_VALUE"""),"Trappertje")</f>
        <v>Trappertje</v>
      </c>
      <c r="C24" s="78" t="str">
        <f>IFERROR(__xludf.DUMMYFUNCTION("""COMPUTED_VALUE"""),"https://www.munzee.com/m/Trappertje/4583/")</f>
        <v>https://www.munzee.com/m/Trappertje/4583/</v>
      </c>
      <c r="D24" s="47"/>
      <c r="E24" s="47" t="b">
        <f>IFERROR(__xludf.DUMMYFUNCTION("""COMPUTED_VALUE"""),TRUE)</f>
        <v>1</v>
      </c>
      <c r="F24" s="47" t="str">
        <f>IFERROR(__xludf.DUMMYFUNCTION("""COMPUTED_VALUE"""),"")</f>
        <v/>
      </c>
      <c r="G24" s="47" t="str">
        <f>IFERROR(__xludf.DUMMYFUNCTION("""COMPUTED_VALUE"""),"")</f>
        <v/>
      </c>
      <c r="H24" s="47"/>
      <c r="I24" s="47">
        <f>IFERROR(__xludf.DUMMYFUNCTION("""COMPUTED_VALUE"""),2.0)</f>
        <v>2</v>
      </c>
      <c r="J24" s="47" t="str">
        <f>IFERROR(__xludf.DUMMYFUNCTION("""COMPUTED_VALUE"""),"https:")</f>
        <v>https:</v>
      </c>
      <c r="K24" s="78" t="str">
        <f>IFERROR(__xludf.DUMMYFUNCTION("""COMPUTED_VALUE"""),"www.munzee.com")</f>
        <v>www.munzee.com</v>
      </c>
      <c r="L24" s="47" t="str">
        <f>IFERROR(__xludf.DUMMYFUNCTION("""COMPUTED_VALUE"""),"m")</f>
        <v>m</v>
      </c>
      <c r="M24" s="47" t="str">
        <f>IFERROR(__xludf.DUMMYFUNCTION("""COMPUTED_VALUE"""),"Trappertje")</f>
        <v>Trappertje</v>
      </c>
    </row>
    <row r="25">
      <c r="A25" s="47" t="str">
        <f>IFERROR(__xludf.DUMMYFUNCTION("""COMPUTED_VALUE"""),"Virtual Brown")</f>
        <v>Virtual Brown</v>
      </c>
      <c r="B25" s="47" t="str">
        <f>IFERROR(__xludf.DUMMYFUNCTION("""COMPUTED_VALUE"""),"Belladivadee")</f>
        <v>Belladivadee</v>
      </c>
      <c r="C25" s="78" t="str">
        <f>IFERROR(__xludf.DUMMYFUNCTION("""COMPUTED_VALUE"""),"https://www.munzee.com/m/belladivadee/2988/")</f>
        <v>https://www.munzee.com/m/belladivadee/2988/</v>
      </c>
      <c r="D25" s="47"/>
      <c r="E25" s="47" t="b">
        <f>IFERROR(__xludf.DUMMYFUNCTION("""COMPUTED_VALUE"""),TRUE)</f>
        <v>1</v>
      </c>
      <c r="F25" s="47" t="str">
        <f>IFERROR(__xludf.DUMMYFUNCTION("""COMPUTED_VALUE"""),"")</f>
        <v/>
      </c>
      <c r="G25" s="47" t="str">
        <f>IFERROR(__xludf.DUMMYFUNCTION("""COMPUTED_VALUE"""),"")</f>
        <v/>
      </c>
      <c r="H25" s="47"/>
      <c r="I25" s="47">
        <f>IFERROR(__xludf.DUMMYFUNCTION("""COMPUTED_VALUE"""),2.0)</f>
        <v>2</v>
      </c>
      <c r="J25" s="47" t="str">
        <f>IFERROR(__xludf.DUMMYFUNCTION("""COMPUTED_VALUE"""),"https:")</f>
        <v>https:</v>
      </c>
      <c r="K25" s="78" t="str">
        <f>IFERROR(__xludf.DUMMYFUNCTION("""COMPUTED_VALUE"""),"www.munzee.com")</f>
        <v>www.munzee.com</v>
      </c>
      <c r="L25" s="47" t="str">
        <f>IFERROR(__xludf.DUMMYFUNCTION("""COMPUTED_VALUE"""),"m")</f>
        <v>m</v>
      </c>
      <c r="M25" s="47" t="str">
        <f>IFERROR(__xludf.DUMMYFUNCTION("""COMPUTED_VALUE"""),"belladivadee")</f>
        <v>belladivadee</v>
      </c>
    </row>
    <row r="26">
      <c r="A26" s="47" t="str">
        <f>IFERROR(__xludf.DUMMYFUNCTION("""COMPUTED_VALUE"""),"Virtual Brown")</f>
        <v>Virtual Brown</v>
      </c>
      <c r="B26" s="47" t="str">
        <f>IFERROR(__xludf.DUMMYFUNCTION("""COMPUTED_VALUE"""),"geckofreund")</f>
        <v>geckofreund</v>
      </c>
      <c r="C26" s="78" t="str">
        <f>IFERROR(__xludf.DUMMYFUNCTION("""COMPUTED_VALUE"""),"https://www.munzee.com/m/geckofreund/4323/")</f>
        <v>https://www.munzee.com/m/geckofreund/4323/</v>
      </c>
      <c r="D26" s="47"/>
      <c r="E26" s="47" t="b">
        <f>IFERROR(__xludf.DUMMYFUNCTION("""COMPUTED_VALUE"""),TRUE)</f>
        <v>1</v>
      </c>
      <c r="F26" s="47" t="str">
        <f>IFERROR(__xludf.DUMMYFUNCTION("""COMPUTED_VALUE"""),"")</f>
        <v/>
      </c>
      <c r="G26" s="47" t="str">
        <f>IFERROR(__xludf.DUMMYFUNCTION("""COMPUTED_VALUE"""),"")</f>
        <v/>
      </c>
      <c r="H26" s="47"/>
      <c r="I26" s="47">
        <f>IFERROR(__xludf.DUMMYFUNCTION("""COMPUTED_VALUE"""),2.0)</f>
        <v>2</v>
      </c>
      <c r="J26" s="47" t="str">
        <f>IFERROR(__xludf.DUMMYFUNCTION("""COMPUTED_VALUE"""),"https:")</f>
        <v>https:</v>
      </c>
      <c r="K26" s="78" t="str">
        <f>IFERROR(__xludf.DUMMYFUNCTION("""COMPUTED_VALUE"""),"www.munzee.com")</f>
        <v>www.munzee.com</v>
      </c>
      <c r="L26" s="47" t="str">
        <f>IFERROR(__xludf.DUMMYFUNCTION("""COMPUTED_VALUE"""),"m")</f>
        <v>m</v>
      </c>
      <c r="M26" s="47" t="str">
        <f>IFERROR(__xludf.DUMMYFUNCTION("""COMPUTED_VALUE"""),"geckofreund")</f>
        <v>geckofreund</v>
      </c>
    </row>
    <row r="27">
      <c r="A27" s="47" t="str">
        <f>IFERROR(__xludf.DUMMYFUNCTION("""COMPUTED_VALUE"""),"Virtual Raw Sienna")</f>
        <v>Virtual Raw Sienna</v>
      </c>
      <c r="B27" s="47" t="str">
        <f>IFERROR(__xludf.DUMMYFUNCTION("""COMPUTED_VALUE"""),"Benotje")</f>
        <v>Benotje</v>
      </c>
      <c r="C27" s="78" t="str">
        <f>IFERROR(__xludf.DUMMYFUNCTION("""COMPUTED_VALUE"""),"https://www.munzee.com/m/benotje/1327/")</f>
        <v>https://www.munzee.com/m/benotje/1327/</v>
      </c>
      <c r="D27" s="47"/>
      <c r="E27" s="47" t="b">
        <f>IFERROR(__xludf.DUMMYFUNCTION("""COMPUTED_VALUE"""),TRUE)</f>
        <v>1</v>
      </c>
      <c r="F27" s="47" t="str">
        <f>IFERROR(__xludf.DUMMYFUNCTION("""COMPUTED_VALUE"""),"")</f>
        <v/>
      </c>
      <c r="G27" s="47" t="str">
        <f>IFERROR(__xludf.DUMMYFUNCTION("""COMPUTED_VALUE"""),"")</f>
        <v/>
      </c>
      <c r="H27" s="47"/>
      <c r="I27" s="47">
        <f>IFERROR(__xludf.DUMMYFUNCTION("""COMPUTED_VALUE"""),2.0)</f>
        <v>2</v>
      </c>
      <c r="J27" s="47" t="str">
        <f>IFERROR(__xludf.DUMMYFUNCTION("""COMPUTED_VALUE"""),"https:")</f>
        <v>https:</v>
      </c>
      <c r="K27" s="78" t="str">
        <f>IFERROR(__xludf.DUMMYFUNCTION("""COMPUTED_VALUE"""),"www.munzee.com")</f>
        <v>www.munzee.com</v>
      </c>
      <c r="L27" s="47" t="str">
        <f>IFERROR(__xludf.DUMMYFUNCTION("""COMPUTED_VALUE"""),"m")</f>
        <v>m</v>
      </c>
      <c r="M27" s="47" t="str">
        <f>IFERROR(__xludf.DUMMYFUNCTION("""COMPUTED_VALUE"""),"benotje")</f>
        <v>benotje</v>
      </c>
    </row>
    <row r="28">
      <c r="A28" s="47" t="str">
        <f>IFERROR(__xludf.DUMMYFUNCTION("""COMPUTED_VALUE"""),"Virtual Brown")</f>
        <v>Virtual Brown</v>
      </c>
      <c r="B28" s="47" t="str">
        <f>IFERROR(__xludf.DUMMYFUNCTION("""COMPUTED_VALUE"""),"cbf600")</f>
        <v>cbf600</v>
      </c>
      <c r="C28" s="78" t="str">
        <f>IFERROR(__xludf.DUMMYFUNCTION("""COMPUTED_VALUE"""),"https://www.munzee.com/m/cbf600/2384")</f>
        <v>https://www.munzee.com/m/cbf600/2384</v>
      </c>
      <c r="D28" s="47"/>
      <c r="E28" s="47" t="b">
        <f>IFERROR(__xludf.DUMMYFUNCTION("""COMPUTED_VALUE"""),TRUE)</f>
        <v>1</v>
      </c>
      <c r="F28" s="47" t="str">
        <f>IFERROR(__xludf.DUMMYFUNCTION("""COMPUTED_VALUE"""),"")</f>
        <v/>
      </c>
      <c r="G28" s="47" t="str">
        <f>IFERROR(__xludf.DUMMYFUNCTION("""COMPUTED_VALUE"""),"")</f>
        <v/>
      </c>
      <c r="H28" s="47"/>
      <c r="I28" s="47">
        <f>IFERROR(__xludf.DUMMYFUNCTION("""COMPUTED_VALUE"""),2.0)</f>
        <v>2</v>
      </c>
      <c r="J28" s="47" t="str">
        <f>IFERROR(__xludf.DUMMYFUNCTION("""COMPUTED_VALUE"""),"https:")</f>
        <v>https:</v>
      </c>
      <c r="K28" s="78" t="str">
        <f>IFERROR(__xludf.DUMMYFUNCTION("""COMPUTED_VALUE"""),"www.munzee.com")</f>
        <v>www.munzee.com</v>
      </c>
      <c r="L28" s="47" t="str">
        <f>IFERROR(__xludf.DUMMYFUNCTION("""COMPUTED_VALUE"""),"m")</f>
        <v>m</v>
      </c>
      <c r="M28" s="47" t="str">
        <f>IFERROR(__xludf.DUMMYFUNCTION("""COMPUTED_VALUE"""),"cbf600")</f>
        <v>cbf600</v>
      </c>
    </row>
    <row r="29">
      <c r="A29" s="47" t="str">
        <f>IFERROR(__xludf.DUMMYFUNCTION("""COMPUTED_VALUE"""),"Virtual Raw Sienna")</f>
        <v>Virtual Raw Sienna</v>
      </c>
      <c r="B29" s="47" t="str">
        <f>IFERROR(__xludf.DUMMYFUNCTION("""COMPUTED_VALUE"""),"Bisquick2")</f>
        <v>Bisquick2</v>
      </c>
      <c r="C29" s="78" t="str">
        <f>IFERROR(__xludf.DUMMYFUNCTION("""COMPUTED_VALUE"""),"https://www.munzee.com/m/Bisquick2/3976/")</f>
        <v>https://www.munzee.com/m/Bisquick2/3976/</v>
      </c>
      <c r="D29" s="47"/>
      <c r="E29" s="47" t="b">
        <f>IFERROR(__xludf.DUMMYFUNCTION("""COMPUTED_VALUE"""),TRUE)</f>
        <v>1</v>
      </c>
      <c r="F29" s="47" t="str">
        <f>IFERROR(__xludf.DUMMYFUNCTION("""COMPUTED_VALUE"""),"")</f>
        <v/>
      </c>
      <c r="G29" s="47" t="str">
        <f>IFERROR(__xludf.DUMMYFUNCTION("""COMPUTED_VALUE"""),"")</f>
        <v/>
      </c>
      <c r="H29" s="47"/>
      <c r="I29" s="47">
        <f>IFERROR(__xludf.DUMMYFUNCTION("""COMPUTED_VALUE"""),2.0)</f>
        <v>2</v>
      </c>
      <c r="J29" s="47" t="str">
        <f>IFERROR(__xludf.DUMMYFUNCTION("""COMPUTED_VALUE"""),"https:")</f>
        <v>https:</v>
      </c>
      <c r="K29" s="78" t="str">
        <f>IFERROR(__xludf.DUMMYFUNCTION("""COMPUTED_VALUE"""),"www.munzee.com")</f>
        <v>www.munzee.com</v>
      </c>
      <c r="L29" s="47" t="str">
        <f>IFERROR(__xludf.DUMMYFUNCTION("""COMPUTED_VALUE"""),"m")</f>
        <v>m</v>
      </c>
      <c r="M29" s="47" t="str">
        <f>IFERROR(__xludf.DUMMYFUNCTION("""COMPUTED_VALUE"""),"Bisquick2")</f>
        <v>Bisquick2</v>
      </c>
    </row>
    <row r="30">
      <c r="A30" s="47" t="str">
        <f>IFERROR(__xludf.DUMMYFUNCTION("""COMPUTED_VALUE"""),"Virtual Brown")</f>
        <v>Virtual Brown</v>
      </c>
      <c r="B30" s="47" t="str">
        <f>IFERROR(__xludf.DUMMYFUNCTION("""COMPUTED_VALUE"""),"chickenrun")</f>
        <v>chickenrun</v>
      </c>
      <c r="C30" s="78" t="str">
        <f>IFERROR(__xludf.DUMMYFUNCTION("""COMPUTED_VALUE"""),"https://www.munzee.com/m/ChickenRun/10578")</f>
        <v>https://www.munzee.com/m/ChickenRun/10578</v>
      </c>
      <c r="D30" s="47"/>
      <c r="E30" s="47" t="b">
        <f>IFERROR(__xludf.DUMMYFUNCTION("""COMPUTED_VALUE"""),TRUE)</f>
        <v>1</v>
      </c>
      <c r="F30" s="47" t="str">
        <f>IFERROR(__xludf.DUMMYFUNCTION("""COMPUTED_VALUE"""),"")</f>
        <v/>
      </c>
      <c r="G30" s="47" t="str">
        <f>IFERROR(__xludf.DUMMYFUNCTION("""COMPUTED_VALUE"""),"")</f>
        <v/>
      </c>
      <c r="H30" s="47"/>
      <c r="I30" s="47">
        <f>IFERROR(__xludf.DUMMYFUNCTION("""COMPUTED_VALUE"""),2.0)</f>
        <v>2</v>
      </c>
      <c r="J30" s="47" t="str">
        <f>IFERROR(__xludf.DUMMYFUNCTION("""COMPUTED_VALUE"""),"https:")</f>
        <v>https:</v>
      </c>
      <c r="K30" s="78" t="str">
        <f>IFERROR(__xludf.DUMMYFUNCTION("""COMPUTED_VALUE"""),"www.munzee.com")</f>
        <v>www.munzee.com</v>
      </c>
      <c r="L30" s="47" t="str">
        <f>IFERROR(__xludf.DUMMYFUNCTION("""COMPUTED_VALUE"""),"m")</f>
        <v>m</v>
      </c>
      <c r="M30" s="47" t="str">
        <f>IFERROR(__xludf.DUMMYFUNCTION("""COMPUTED_VALUE"""),"ChickenRun")</f>
        <v>ChickenRun</v>
      </c>
    </row>
    <row r="31">
      <c r="A31" s="47" t="str">
        <f>IFERROR(__xludf.DUMMYFUNCTION("""COMPUTED_VALUE"""),"Virtual Brown")</f>
        <v>Virtual Brown</v>
      </c>
      <c r="B31" s="47" t="str">
        <f>IFERROR(__xludf.DUMMYFUNCTION("""COMPUTED_VALUE"""),"jacksparrow")</f>
        <v>jacksparrow</v>
      </c>
      <c r="C31" s="78" t="str">
        <f>IFERROR(__xludf.DUMMYFUNCTION("""COMPUTED_VALUE"""),"https://www.munzee.com/m/JackSparrow/19344")</f>
        <v>https://www.munzee.com/m/JackSparrow/19344</v>
      </c>
      <c r="D31" s="47"/>
      <c r="E31" s="47" t="b">
        <f>IFERROR(__xludf.DUMMYFUNCTION("""COMPUTED_VALUE"""),TRUE)</f>
        <v>1</v>
      </c>
      <c r="F31" s="47" t="str">
        <f>IFERROR(__xludf.DUMMYFUNCTION("""COMPUTED_VALUE"""),"")</f>
        <v/>
      </c>
      <c r="G31" s="47" t="str">
        <f>IFERROR(__xludf.DUMMYFUNCTION("""COMPUTED_VALUE"""),"")</f>
        <v/>
      </c>
      <c r="H31" s="47"/>
      <c r="I31" s="47">
        <f>IFERROR(__xludf.DUMMYFUNCTION("""COMPUTED_VALUE"""),2.0)</f>
        <v>2</v>
      </c>
      <c r="J31" s="47" t="str">
        <f>IFERROR(__xludf.DUMMYFUNCTION("""COMPUTED_VALUE"""),"https:")</f>
        <v>https:</v>
      </c>
      <c r="K31" s="78" t="str">
        <f>IFERROR(__xludf.DUMMYFUNCTION("""COMPUTED_VALUE"""),"www.munzee.com")</f>
        <v>www.munzee.com</v>
      </c>
      <c r="L31" s="47" t="str">
        <f>IFERROR(__xludf.DUMMYFUNCTION("""COMPUTED_VALUE"""),"m")</f>
        <v>m</v>
      </c>
      <c r="M31" s="47" t="str">
        <f>IFERROR(__xludf.DUMMYFUNCTION("""COMPUTED_VALUE"""),"JackSparrow")</f>
        <v>JackSparrow</v>
      </c>
    </row>
    <row r="32">
      <c r="A32" s="47" t="str">
        <f>IFERROR(__xludf.DUMMYFUNCTION("""COMPUTED_VALUE"""),"Virtual Brown")</f>
        <v>Virtual Brown</v>
      </c>
      <c r="B32" s="47" t="str">
        <f>IFERROR(__xludf.DUMMYFUNCTION("""COMPUTED_VALUE"""),"MeanderingMonkeys")</f>
        <v>MeanderingMonkeys</v>
      </c>
      <c r="C32" s="78" t="str">
        <f>IFERROR(__xludf.DUMMYFUNCTION("""COMPUTED_VALUE"""),"https://www.munzee.com/m/MeanderingMonkeys/13289/")</f>
        <v>https://www.munzee.com/m/MeanderingMonkeys/13289/</v>
      </c>
      <c r="D32" s="47"/>
      <c r="E32" s="47" t="b">
        <f>IFERROR(__xludf.DUMMYFUNCTION("""COMPUTED_VALUE"""),TRUE)</f>
        <v>1</v>
      </c>
      <c r="F32" s="47" t="str">
        <f>IFERROR(__xludf.DUMMYFUNCTION("""COMPUTED_VALUE"""),"")</f>
        <v/>
      </c>
      <c r="G32" s="47" t="str">
        <f>IFERROR(__xludf.DUMMYFUNCTION("""COMPUTED_VALUE"""),"")</f>
        <v/>
      </c>
      <c r="H32" s="47"/>
      <c r="I32" s="47">
        <f>IFERROR(__xludf.DUMMYFUNCTION("""COMPUTED_VALUE"""),2.0)</f>
        <v>2</v>
      </c>
      <c r="J32" s="47" t="str">
        <f>IFERROR(__xludf.DUMMYFUNCTION("""COMPUTED_VALUE"""),"https:")</f>
        <v>https:</v>
      </c>
      <c r="K32" s="78" t="str">
        <f>IFERROR(__xludf.DUMMYFUNCTION("""COMPUTED_VALUE"""),"www.munzee.com")</f>
        <v>www.munzee.com</v>
      </c>
      <c r="L32" s="47" t="str">
        <f>IFERROR(__xludf.DUMMYFUNCTION("""COMPUTED_VALUE"""),"m")</f>
        <v>m</v>
      </c>
      <c r="M32" s="47" t="str">
        <f>IFERROR(__xludf.DUMMYFUNCTION("""COMPUTED_VALUE"""),"MeanderingMonkeys")</f>
        <v>MeanderingMonkeys</v>
      </c>
    </row>
    <row r="33">
      <c r="A33" s="47" t="str">
        <f>IFERROR(__xludf.DUMMYFUNCTION("""COMPUTED_VALUE"""),"Virtual Brown")</f>
        <v>Virtual Brown</v>
      </c>
      <c r="B33" s="47" t="str">
        <f>IFERROR(__xludf.DUMMYFUNCTION("""COMPUTED_VALUE"""),"Clareppuccino")</f>
        <v>Clareppuccino</v>
      </c>
      <c r="C33" s="78" t="str">
        <f>IFERROR(__xludf.DUMMYFUNCTION("""COMPUTED_VALUE"""),"https://www.munzee.com/m/Clareppuccino/4003/")</f>
        <v>https://www.munzee.com/m/Clareppuccino/4003/</v>
      </c>
      <c r="D33" s="47"/>
      <c r="E33" s="47" t="b">
        <f>IFERROR(__xludf.DUMMYFUNCTION("""COMPUTED_VALUE"""),TRUE)</f>
        <v>1</v>
      </c>
      <c r="F33" s="47" t="str">
        <f>IFERROR(__xludf.DUMMYFUNCTION("""COMPUTED_VALUE"""),"")</f>
        <v/>
      </c>
      <c r="G33" s="47" t="str">
        <f>IFERROR(__xludf.DUMMYFUNCTION("""COMPUTED_VALUE"""),"")</f>
        <v/>
      </c>
      <c r="H33" s="47"/>
      <c r="I33" s="47">
        <f>IFERROR(__xludf.DUMMYFUNCTION("""COMPUTED_VALUE"""),2.0)</f>
        <v>2</v>
      </c>
      <c r="J33" s="47" t="str">
        <f>IFERROR(__xludf.DUMMYFUNCTION("""COMPUTED_VALUE"""),"https:")</f>
        <v>https:</v>
      </c>
      <c r="K33" s="78" t="str">
        <f>IFERROR(__xludf.DUMMYFUNCTION("""COMPUTED_VALUE"""),"www.munzee.com")</f>
        <v>www.munzee.com</v>
      </c>
      <c r="L33" s="47" t="str">
        <f>IFERROR(__xludf.DUMMYFUNCTION("""COMPUTED_VALUE"""),"m")</f>
        <v>m</v>
      </c>
      <c r="M33" s="47" t="str">
        <f>IFERROR(__xludf.DUMMYFUNCTION("""COMPUTED_VALUE"""),"Clareppuccino")</f>
        <v>Clareppuccino</v>
      </c>
    </row>
    <row r="34">
      <c r="A34" s="47" t="str">
        <f>IFERROR(__xludf.DUMMYFUNCTION("""COMPUTED_VALUE"""),"Virtual Brown")</f>
        <v>Virtual Brown</v>
      </c>
      <c r="B34" s="47" t="str">
        <f>IFERROR(__xludf.DUMMYFUNCTION("""COMPUTED_VALUE"""),"jacksparrow")</f>
        <v>jacksparrow</v>
      </c>
      <c r="C34" s="78" t="str">
        <f>IFERROR(__xludf.DUMMYFUNCTION("""COMPUTED_VALUE"""),"https://www.munzee.com/m/JackSparrow/19419")</f>
        <v>https://www.munzee.com/m/JackSparrow/19419</v>
      </c>
      <c r="D34" s="47"/>
      <c r="E34" s="47" t="b">
        <f>IFERROR(__xludf.DUMMYFUNCTION("""COMPUTED_VALUE"""),TRUE)</f>
        <v>1</v>
      </c>
      <c r="F34" s="47" t="str">
        <f>IFERROR(__xludf.DUMMYFUNCTION("""COMPUTED_VALUE"""),"")</f>
        <v/>
      </c>
      <c r="G34" s="47" t="str">
        <f>IFERROR(__xludf.DUMMYFUNCTION("""COMPUTED_VALUE"""),"")</f>
        <v/>
      </c>
      <c r="H34" s="47"/>
      <c r="I34" s="47">
        <f>IFERROR(__xludf.DUMMYFUNCTION("""COMPUTED_VALUE"""),2.0)</f>
        <v>2</v>
      </c>
      <c r="J34" s="47" t="str">
        <f>IFERROR(__xludf.DUMMYFUNCTION("""COMPUTED_VALUE"""),"https:")</f>
        <v>https:</v>
      </c>
      <c r="K34" s="78" t="str">
        <f>IFERROR(__xludf.DUMMYFUNCTION("""COMPUTED_VALUE"""),"www.munzee.com")</f>
        <v>www.munzee.com</v>
      </c>
      <c r="L34" s="47" t="str">
        <f>IFERROR(__xludf.DUMMYFUNCTION("""COMPUTED_VALUE"""),"m")</f>
        <v>m</v>
      </c>
      <c r="M34" s="47" t="str">
        <f>IFERROR(__xludf.DUMMYFUNCTION("""COMPUTED_VALUE"""),"JackSparrow")</f>
        <v>JackSparrow</v>
      </c>
    </row>
    <row r="35">
      <c r="A35" s="47" t="str">
        <f>IFERROR(__xludf.DUMMYFUNCTION("""COMPUTED_VALUE"""),"Virtual Brown")</f>
        <v>Virtual Brown</v>
      </c>
      <c r="B35" s="47" t="str">
        <f>IFERROR(__xludf.DUMMYFUNCTION("""COMPUTED_VALUE"""),"Hoekraam")</f>
        <v>Hoekraam</v>
      </c>
      <c r="C35" s="78" t="str">
        <f>IFERROR(__xludf.DUMMYFUNCTION("""COMPUTED_VALUE"""),"https://www.munzee.com/m/hoekraam/6624")</f>
        <v>https://www.munzee.com/m/hoekraam/6624</v>
      </c>
      <c r="D35" s="47"/>
      <c r="E35" s="47" t="b">
        <f>IFERROR(__xludf.DUMMYFUNCTION("""COMPUTED_VALUE"""),TRUE)</f>
        <v>1</v>
      </c>
      <c r="F35" s="47" t="str">
        <f>IFERROR(__xludf.DUMMYFUNCTION("""COMPUTED_VALUE"""),"")</f>
        <v/>
      </c>
      <c r="G35" s="47" t="str">
        <f>IFERROR(__xludf.DUMMYFUNCTION("""COMPUTED_VALUE"""),"")</f>
        <v/>
      </c>
      <c r="H35" s="47"/>
      <c r="I35" s="47">
        <f>IFERROR(__xludf.DUMMYFUNCTION("""COMPUTED_VALUE"""),2.0)</f>
        <v>2</v>
      </c>
      <c r="J35" s="47" t="str">
        <f>IFERROR(__xludf.DUMMYFUNCTION("""COMPUTED_VALUE"""),"https:")</f>
        <v>https:</v>
      </c>
      <c r="K35" s="78" t="str">
        <f>IFERROR(__xludf.DUMMYFUNCTION("""COMPUTED_VALUE"""),"www.munzee.com")</f>
        <v>www.munzee.com</v>
      </c>
      <c r="L35" s="47" t="str">
        <f>IFERROR(__xludf.DUMMYFUNCTION("""COMPUTED_VALUE"""),"m")</f>
        <v>m</v>
      </c>
      <c r="M35" s="47" t="str">
        <f>IFERROR(__xludf.DUMMYFUNCTION("""COMPUTED_VALUE"""),"hoekraam")</f>
        <v>hoekraam</v>
      </c>
    </row>
    <row r="36">
      <c r="A36" s="47" t="str">
        <f>IFERROR(__xludf.DUMMYFUNCTION("""COMPUTED_VALUE"""),"Virtual Brown")</f>
        <v>Virtual Brown</v>
      </c>
      <c r="B36" s="47" t="str">
        <f>IFERROR(__xludf.DUMMYFUNCTION("""COMPUTED_VALUE"""),"GroteSufferd")</f>
        <v>GroteSufferd</v>
      </c>
      <c r="C36" s="78" t="str">
        <f>IFERROR(__xludf.DUMMYFUNCTION("""COMPUTED_VALUE"""),"https://www.munzee.com/m/GroteSufferd/300/")</f>
        <v>https://www.munzee.com/m/GroteSufferd/300/</v>
      </c>
      <c r="D36" s="47"/>
      <c r="E36" s="47" t="b">
        <f>IFERROR(__xludf.DUMMYFUNCTION("""COMPUTED_VALUE"""),TRUE)</f>
        <v>1</v>
      </c>
      <c r="F36" s="47" t="str">
        <f>IFERROR(__xludf.DUMMYFUNCTION("""COMPUTED_VALUE"""),"")</f>
        <v/>
      </c>
      <c r="G36" s="47" t="str">
        <f>IFERROR(__xludf.DUMMYFUNCTION("""COMPUTED_VALUE"""),"")</f>
        <v/>
      </c>
      <c r="H36" s="47"/>
      <c r="I36" s="47">
        <f>IFERROR(__xludf.DUMMYFUNCTION("""COMPUTED_VALUE"""),2.0)</f>
        <v>2</v>
      </c>
      <c r="J36" s="47" t="str">
        <f>IFERROR(__xludf.DUMMYFUNCTION("""COMPUTED_VALUE"""),"https:")</f>
        <v>https:</v>
      </c>
      <c r="K36" s="78" t="str">
        <f>IFERROR(__xludf.DUMMYFUNCTION("""COMPUTED_VALUE"""),"www.munzee.com")</f>
        <v>www.munzee.com</v>
      </c>
      <c r="L36" s="47" t="str">
        <f>IFERROR(__xludf.DUMMYFUNCTION("""COMPUTED_VALUE"""),"m")</f>
        <v>m</v>
      </c>
      <c r="M36" s="47" t="str">
        <f>IFERROR(__xludf.DUMMYFUNCTION("""COMPUTED_VALUE"""),"GroteSufferd")</f>
        <v>GroteSufferd</v>
      </c>
    </row>
    <row r="37">
      <c r="A37" s="47" t="str">
        <f>IFERROR(__xludf.DUMMYFUNCTION("""COMPUTED_VALUE"""),"Virtual Raw Sienna")</f>
        <v>Virtual Raw Sienna</v>
      </c>
      <c r="B37" s="47" t="str">
        <f>IFERROR(__xludf.DUMMYFUNCTION("""COMPUTED_VALUE"""),"bambinacattiva")</f>
        <v>bambinacattiva</v>
      </c>
      <c r="C37" s="78" t="str">
        <f>IFERROR(__xludf.DUMMYFUNCTION("""COMPUTED_VALUE"""),"https://www.munzee.com/m/Bambinacattiva/700")</f>
        <v>https://www.munzee.com/m/Bambinacattiva/700</v>
      </c>
      <c r="D37" s="47"/>
      <c r="E37" s="47" t="b">
        <f>IFERROR(__xludf.DUMMYFUNCTION("""COMPUTED_VALUE"""),TRUE)</f>
        <v>1</v>
      </c>
      <c r="F37" s="47" t="str">
        <f>IFERROR(__xludf.DUMMYFUNCTION("""COMPUTED_VALUE"""),"")</f>
        <v/>
      </c>
      <c r="G37" s="47" t="str">
        <f>IFERROR(__xludf.DUMMYFUNCTION("""COMPUTED_VALUE"""),"")</f>
        <v/>
      </c>
      <c r="H37" s="47"/>
      <c r="I37" s="47">
        <f>IFERROR(__xludf.DUMMYFUNCTION("""COMPUTED_VALUE"""),2.0)</f>
        <v>2</v>
      </c>
      <c r="J37" s="47" t="str">
        <f>IFERROR(__xludf.DUMMYFUNCTION("""COMPUTED_VALUE"""),"https:")</f>
        <v>https:</v>
      </c>
      <c r="K37" s="78" t="str">
        <f>IFERROR(__xludf.DUMMYFUNCTION("""COMPUTED_VALUE"""),"www.munzee.com")</f>
        <v>www.munzee.com</v>
      </c>
      <c r="L37" s="47" t="str">
        <f>IFERROR(__xludf.DUMMYFUNCTION("""COMPUTED_VALUE"""),"m")</f>
        <v>m</v>
      </c>
      <c r="M37" s="47" t="str">
        <f>IFERROR(__xludf.DUMMYFUNCTION("""COMPUTED_VALUE"""),"Bambinacattiva")</f>
        <v>Bambinacattiva</v>
      </c>
    </row>
    <row r="38">
      <c r="A38" s="47" t="str">
        <f>IFERROR(__xludf.DUMMYFUNCTION("""COMPUTED_VALUE"""),"Virtual Brown")</f>
        <v>Virtual Brown</v>
      </c>
      <c r="B38" s="47" t="str">
        <f>IFERROR(__xludf.DUMMYFUNCTION("""COMPUTED_VALUE"""),"Hoekraam")</f>
        <v>Hoekraam</v>
      </c>
      <c r="C38" s="78" t="str">
        <f>IFERROR(__xludf.DUMMYFUNCTION("""COMPUTED_VALUE"""),"https://www.munzee.com/m/hoekraam/6629")</f>
        <v>https://www.munzee.com/m/hoekraam/6629</v>
      </c>
      <c r="D38" s="47"/>
      <c r="E38" s="47" t="b">
        <f>IFERROR(__xludf.DUMMYFUNCTION("""COMPUTED_VALUE"""),TRUE)</f>
        <v>1</v>
      </c>
      <c r="F38" s="47" t="str">
        <f>IFERROR(__xludf.DUMMYFUNCTION("""COMPUTED_VALUE"""),"")</f>
        <v/>
      </c>
      <c r="G38" s="47" t="str">
        <f>IFERROR(__xludf.DUMMYFUNCTION("""COMPUTED_VALUE"""),"")</f>
        <v/>
      </c>
      <c r="H38" s="47"/>
      <c r="I38" s="47">
        <f>IFERROR(__xludf.DUMMYFUNCTION("""COMPUTED_VALUE"""),2.0)</f>
        <v>2</v>
      </c>
      <c r="J38" s="47" t="str">
        <f>IFERROR(__xludf.DUMMYFUNCTION("""COMPUTED_VALUE"""),"https:")</f>
        <v>https:</v>
      </c>
      <c r="K38" s="78" t="str">
        <f>IFERROR(__xludf.DUMMYFUNCTION("""COMPUTED_VALUE"""),"www.munzee.com")</f>
        <v>www.munzee.com</v>
      </c>
      <c r="L38" s="47" t="str">
        <f>IFERROR(__xludf.DUMMYFUNCTION("""COMPUTED_VALUE"""),"m")</f>
        <v>m</v>
      </c>
      <c r="M38" s="47" t="str">
        <f>IFERROR(__xludf.DUMMYFUNCTION("""COMPUTED_VALUE"""),"hoekraam")</f>
        <v>hoekraam</v>
      </c>
    </row>
    <row r="39">
      <c r="A39" s="47" t="str">
        <f>IFERROR(__xludf.DUMMYFUNCTION("""COMPUTED_VALUE"""),"Virtual Brown")</f>
        <v>Virtual Brown</v>
      </c>
      <c r="B39" s="47" t="str">
        <f>IFERROR(__xludf.DUMMYFUNCTION("""COMPUTED_VALUE"""),"Drazoria")</f>
        <v>Drazoria</v>
      </c>
      <c r="C39" s="78" t="str">
        <f>IFERROR(__xludf.DUMMYFUNCTION("""COMPUTED_VALUE"""),"https://www.munzee.com/m/Drazoria/642")</f>
        <v>https://www.munzee.com/m/Drazoria/642</v>
      </c>
      <c r="D39" s="47"/>
      <c r="E39" s="47" t="b">
        <f>IFERROR(__xludf.DUMMYFUNCTION("""COMPUTED_VALUE"""),TRUE)</f>
        <v>1</v>
      </c>
      <c r="F39" s="47" t="str">
        <f>IFERROR(__xludf.DUMMYFUNCTION("""COMPUTED_VALUE"""),"")</f>
        <v/>
      </c>
      <c r="G39" s="47" t="str">
        <f>IFERROR(__xludf.DUMMYFUNCTION("""COMPUTED_VALUE"""),"")</f>
        <v/>
      </c>
      <c r="H39" s="47"/>
      <c r="I39" s="47">
        <f>IFERROR(__xludf.DUMMYFUNCTION("""COMPUTED_VALUE"""),2.0)</f>
        <v>2</v>
      </c>
      <c r="J39" s="47" t="str">
        <f>IFERROR(__xludf.DUMMYFUNCTION("""COMPUTED_VALUE"""),"https:")</f>
        <v>https:</v>
      </c>
      <c r="K39" s="78" t="str">
        <f>IFERROR(__xludf.DUMMYFUNCTION("""COMPUTED_VALUE"""),"www.munzee.com")</f>
        <v>www.munzee.com</v>
      </c>
      <c r="L39" s="47" t="str">
        <f>IFERROR(__xludf.DUMMYFUNCTION("""COMPUTED_VALUE"""),"m")</f>
        <v>m</v>
      </c>
      <c r="M39" s="47" t="str">
        <f>IFERROR(__xludf.DUMMYFUNCTION("""COMPUTED_VALUE"""),"Drazoria")</f>
        <v>Drazoria</v>
      </c>
    </row>
    <row r="40">
      <c r="A40" s="47" t="str">
        <f>IFERROR(__xludf.DUMMYFUNCTION("""COMPUTED_VALUE"""),"Virtual Raw Sienna")</f>
        <v>Virtual Raw Sienna</v>
      </c>
      <c r="B40" s="47" t="str">
        <f>IFERROR(__xludf.DUMMYFUNCTION("""COMPUTED_VALUE"""),"xrayneex")</f>
        <v>xrayneex</v>
      </c>
      <c r="C40" s="78" t="str">
        <f>IFERROR(__xludf.DUMMYFUNCTION("""COMPUTED_VALUE"""),"https://www.munzee.com/m/xrayneex/1321/")</f>
        <v>https://www.munzee.com/m/xrayneex/1321/</v>
      </c>
      <c r="D40" s="47"/>
      <c r="E40" s="47" t="b">
        <f>IFERROR(__xludf.DUMMYFUNCTION("""COMPUTED_VALUE"""),TRUE)</f>
        <v>1</v>
      </c>
      <c r="F40" s="47" t="str">
        <f>IFERROR(__xludf.DUMMYFUNCTION("""COMPUTED_VALUE"""),"")</f>
        <v/>
      </c>
      <c r="G40" s="47" t="str">
        <f>IFERROR(__xludf.DUMMYFUNCTION("""COMPUTED_VALUE"""),"")</f>
        <v/>
      </c>
      <c r="H40" s="47"/>
      <c r="I40" s="47">
        <f>IFERROR(__xludf.DUMMYFUNCTION("""COMPUTED_VALUE"""),2.0)</f>
        <v>2</v>
      </c>
      <c r="J40" s="47" t="str">
        <f>IFERROR(__xludf.DUMMYFUNCTION("""COMPUTED_VALUE"""),"https:")</f>
        <v>https:</v>
      </c>
      <c r="K40" s="78" t="str">
        <f>IFERROR(__xludf.DUMMYFUNCTION("""COMPUTED_VALUE"""),"www.munzee.com")</f>
        <v>www.munzee.com</v>
      </c>
      <c r="L40" s="47" t="str">
        <f>IFERROR(__xludf.DUMMYFUNCTION("""COMPUTED_VALUE"""),"m")</f>
        <v>m</v>
      </c>
      <c r="M40" s="47" t="str">
        <f>IFERROR(__xludf.DUMMYFUNCTION("""COMPUTED_VALUE"""),"xrayneex")</f>
        <v>xrayneex</v>
      </c>
    </row>
    <row r="41">
      <c r="A41" s="47" t="str">
        <f>IFERROR(__xludf.DUMMYFUNCTION("""COMPUTED_VALUE"""),"Virtual Brown")</f>
        <v>Virtual Brown</v>
      </c>
      <c r="B41" s="47" t="str">
        <f>IFERROR(__xludf.DUMMYFUNCTION("""COMPUTED_VALUE"""),"TheFrog")</f>
        <v>TheFrog</v>
      </c>
      <c r="C41" s="78" t="str">
        <f>IFERROR(__xludf.DUMMYFUNCTION("""COMPUTED_VALUE"""),"https://www.munzee.com/m/TheFrog/4046/")</f>
        <v>https://www.munzee.com/m/TheFrog/4046/</v>
      </c>
      <c r="D41" s="47"/>
      <c r="E41" s="47" t="b">
        <f>IFERROR(__xludf.DUMMYFUNCTION("""COMPUTED_VALUE"""),TRUE)</f>
        <v>1</v>
      </c>
      <c r="F41" s="47" t="str">
        <f>IFERROR(__xludf.DUMMYFUNCTION("""COMPUTED_VALUE"""),"")</f>
        <v/>
      </c>
      <c r="G41" s="47" t="str">
        <f>IFERROR(__xludf.DUMMYFUNCTION("""COMPUTED_VALUE"""),"")</f>
        <v/>
      </c>
      <c r="H41" s="47"/>
      <c r="I41" s="47">
        <f>IFERROR(__xludf.DUMMYFUNCTION("""COMPUTED_VALUE"""),2.0)</f>
        <v>2</v>
      </c>
      <c r="J41" s="47" t="str">
        <f>IFERROR(__xludf.DUMMYFUNCTION("""COMPUTED_VALUE"""),"https:")</f>
        <v>https:</v>
      </c>
      <c r="K41" s="78" t="str">
        <f>IFERROR(__xludf.DUMMYFUNCTION("""COMPUTED_VALUE"""),"www.munzee.com")</f>
        <v>www.munzee.com</v>
      </c>
      <c r="L41" s="47" t="str">
        <f>IFERROR(__xludf.DUMMYFUNCTION("""COMPUTED_VALUE"""),"m")</f>
        <v>m</v>
      </c>
      <c r="M41" s="47" t="str">
        <f>IFERROR(__xludf.DUMMYFUNCTION("""COMPUTED_VALUE"""),"TheFrog")</f>
        <v>TheFrog</v>
      </c>
    </row>
    <row r="42">
      <c r="A42" s="47" t="str">
        <f>IFERROR(__xludf.DUMMYFUNCTION("""COMPUTED_VALUE"""),"Virtual Brown")</f>
        <v>Virtual Brown</v>
      </c>
      <c r="B42" s="47" t="str">
        <f>IFERROR(__xludf.DUMMYFUNCTION("""COMPUTED_VALUE"""),"123xilef")</f>
        <v>123xilef</v>
      </c>
      <c r="C42" s="78" t="str">
        <f>IFERROR(__xludf.DUMMYFUNCTION("""COMPUTED_VALUE"""),"https://www.munzee.com/m/123xilef/6737/")</f>
        <v>https://www.munzee.com/m/123xilef/6737/</v>
      </c>
      <c r="D42" s="47"/>
      <c r="E42" s="47" t="b">
        <f>IFERROR(__xludf.DUMMYFUNCTION("""COMPUTED_VALUE"""),TRUE)</f>
        <v>1</v>
      </c>
      <c r="F42" s="47" t="str">
        <f>IFERROR(__xludf.DUMMYFUNCTION("""COMPUTED_VALUE"""),"")</f>
        <v/>
      </c>
      <c r="G42" s="47" t="str">
        <f>IFERROR(__xludf.DUMMYFUNCTION("""COMPUTED_VALUE"""),"")</f>
        <v/>
      </c>
      <c r="H42" s="47"/>
      <c r="I42" s="47">
        <f>IFERROR(__xludf.DUMMYFUNCTION("""COMPUTED_VALUE"""),2.0)</f>
        <v>2</v>
      </c>
      <c r="J42" s="47" t="str">
        <f>IFERROR(__xludf.DUMMYFUNCTION("""COMPUTED_VALUE"""),"https:")</f>
        <v>https:</v>
      </c>
      <c r="K42" s="78" t="str">
        <f>IFERROR(__xludf.DUMMYFUNCTION("""COMPUTED_VALUE"""),"www.munzee.com")</f>
        <v>www.munzee.com</v>
      </c>
      <c r="L42" s="47" t="str">
        <f>IFERROR(__xludf.DUMMYFUNCTION("""COMPUTED_VALUE"""),"m")</f>
        <v>m</v>
      </c>
      <c r="M42" s="47" t="str">
        <f>IFERROR(__xludf.DUMMYFUNCTION("""COMPUTED_VALUE"""),"123xilef")</f>
        <v>123xilef</v>
      </c>
    </row>
    <row r="43">
      <c r="A43" s="47" t="str">
        <f>IFERROR(__xludf.DUMMYFUNCTION("""COMPUTED_VALUE"""),"Virtual Raw Sienna")</f>
        <v>Virtual Raw Sienna</v>
      </c>
      <c r="B43" s="47" t="str">
        <f>IFERROR(__xludf.DUMMYFUNCTION("""COMPUTED_VALUE"""),"amigoth2de")</f>
        <v>amigoth2de</v>
      </c>
      <c r="C43" s="78" t="str">
        <f>IFERROR(__xludf.DUMMYFUNCTION("""COMPUTED_VALUE"""),"https://www.munzee.com/m/amigoth2de/1659/")</f>
        <v>https://www.munzee.com/m/amigoth2de/1659/</v>
      </c>
      <c r="D43" s="47"/>
      <c r="E43" s="47" t="b">
        <f>IFERROR(__xludf.DUMMYFUNCTION("""COMPUTED_VALUE"""),TRUE)</f>
        <v>1</v>
      </c>
      <c r="F43" s="47" t="str">
        <f>IFERROR(__xludf.DUMMYFUNCTION("""COMPUTED_VALUE"""),"")</f>
        <v/>
      </c>
      <c r="G43" s="47" t="str">
        <f>IFERROR(__xludf.DUMMYFUNCTION("""COMPUTED_VALUE"""),"")</f>
        <v/>
      </c>
      <c r="H43" s="47"/>
      <c r="I43" s="47">
        <f>IFERROR(__xludf.DUMMYFUNCTION("""COMPUTED_VALUE"""),2.0)</f>
        <v>2</v>
      </c>
      <c r="J43" s="47" t="str">
        <f>IFERROR(__xludf.DUMMYFUNCTION("""COMPUTED_VALUE"""),"https:")</f>
        <v>https:</v>
      </c>
      <c r="K43" s="78" t="str">
        <f>IFERROR(__xludf.DUMMYFUNCTION("""COMPUTED_VALUE"""),"www.munzee.com")</f>
        <v>www.munzee.com</v>
      </c>
      <c r="L43" s="47" t="str">
        <f>IFERROR(__xludf.DUMMYFUNCTION("""COMPUTED_VALUE"""),"m")</f>
        <v>m</v>
      </c>
      <c r="M43" s="47" t="str">
        <f>IFERROR(__xludf.DUMMYFUNCTION("""COMPUTED_VALUE"""),"amigoth2de")</f>
        <v>amigoth2de</v>
      </c>
    </row>
    <row r="44">
      <c r="A44" s="47" t="str">
        <f>IFERROR(__xludf.DUMMYFUNCTION("""COMPUTED_VALUE"""),"Virtual Brown")</f>
        <v>Virtual Brown</v>
      </c>
      <c r="B44" s="47" t="str">
        <f>IFERROR(__xludf.DUMMYFUNCTION("""COMPUTED_VALUE"""),"halizwein")</f>
        <v>halizwein</v>
      </c>
      <c r="C44" s="78" t="str">
        <f>IFERROR(__xludf.DUMMYFUNCTION("""COMPUTED_VALUE"""),"https://www.munzee.com/m/halizwein/11149/")</f>
        <v>https://www.munzee.com/m/halizwein/11149/</v>
      </c>
      <c r="D44" s="47"/>
      <c r="E44" s="47" t="b">
        <f>IFERROR(__xludf.DUMMYFUNCTION("""COMPUTED_VALUE"""),TRUE)</f>
        <v>1</v>
      </c>
      <c r="F44" s="47" t="str">
        <f>IFERROR(__xludf.DUMMYFUNCTION("""COMPUTED_VALUE"""),"")</f>
        <v/>
      </c>
      <c r="G44" s="47" t="str">
        <f>IFERROR(__xludf.DUMMYFUNCTION("""COMPUTED_VALUE"""),"")</f>
        <v/>
      </c>
      <c r="H44" s="47"/>
      <c r="I44" s="47">
        <f>IFERROR(__xludf.DUMMYFUNCTION("""COMPUTED_VALUE"""),2.0)</f>
        <v>2</v>
      </c>
      <c r="J44" s="47" t="str">
        <f>IFERROR(__xludf.DUMMYFUNCTION("""COMPUTED_VALUE"""),"https:")</f>
        <v>https:</v>
      </c>
      <c r="K44" s="78" t="str">
        <f>IFERROR(__xludf.DUMMYFUNCTION("""COMPUTED_VALUE"""),"www.munzee.com")</f>
        <v>www.munzee.com</v>
      </c>
      <c r="L44" s="47" t="str">
        <f>IFERROR(__xludf.DUMMYFUNCTION("""COMPUTED_VALUE"""),"m")</f>
        <v>m</v>
      </c>
      <c r="M44" s="47" t="str">
        <f>IFERROR(__xludf.DUMMYFUNCTION("""COMPUTED_VALUE"""),"halizwein")</f>
        <v>halizwein</v>
      </c>
    </row>
    <row r="45">
      <c r="A45" s="47" t="str">
        <f>IFERROR(__xludf.DUMMYFUNCTION("""COMPUTED_VALUE"""),"Virtual Brown")</f>
        <v>Virtual Brown</v>
      </c>
      <c r="B45" s="47" t="str">
        <f>IFERROR(__xludf.DUMMYFUNCTION("""COMPUTED_VALUE"""),"Tinake1309")</f>
        <v>Tinake1309</v>
      </c>
      <c r="C45" s="78" t="str">
        <f>IFERROR(__xludf.DUMMYFUNCTION("""COMPUTED_VALUE"""),"https://www.munzee.com/m/Tinake1309/642")</f>
        <v>https://www.munzee.com/m/Tinake1309/642</v>
      </c>
      <c r="D45" s="47"/>
      <c r="E45" s="47" t="b">
        <f>IFERROR(__xludf.DUMMYFUNCTION("""COMPUTED_VALUE"""),TRUE)</f>
        <v>1</v>
      </c>
      <c r="F45" s="47" t="str">
        <f>IFERROR(__xludf.DUMMYFUNCTION("""COMPUTED_VALUE"""),"")</f>
        <v/>
      </c>
      <c r="G45" s="47" t="str">
        <f>IFERROR(__xludf.DUMMYFUNCTION("""COMPUTED_VALUE"""),"")</f>
        <v/>
      </c>
      <c r="H45" s="47"/>
      <c r="I45" s="47">
        <f>IFERROR(__xludf.DUMMYFUNCTION("""COMPUTED_VALUE"""),2.0)</f>
        <v>2</v>
      </c>
      <c r="J45" s="47" t="str">
        <f>IFERROR(__xludf.DUMMYFUNCTION("""COMPUTED_VALUE"""),"https:")</f>
        <v>https:</v>
      </c>
      <c r="K45" s="78" t="str">
        <f>IFERROR(__xludf.DUMMYFUNCTION("""COMPUTED_VALUE"""),"www.munzee.com")</f>
        <v>www.munzee.com</v>
      </c>
      <c r="L45" s="47" t="str">
        <f>IFERROR(__xludf.DUMMYFUNCTION("""COMPUTED_VALUE"""),"m")</f>
        <v>m</v>
      </c>
      <c r="M45" s="47" t="str">
        <f>IFERROR(__xludf.DUMMYFUNCTION("""COMPUTED_VALUE"""),"Tinake1309")</f>
        <v>Tinake1309</v>
      </c>
    </row>
    <row r="46">
      <c r="A46" s="47" t="str">
        <f>IFERROR(__xludf.DUMMYFUNCTION("""COMPUTED_VALUE"""),"Virtual Brown")</f>
        <v>Virtual Brown</v>
      </c>
      <c r="B46" s="47" t="str">
        <f>IFERROR(__xludf.DUMMYFUNCTION("""COMPUTED_VALUE"""),"Berg14")</f>
        <v>Berg14</v>
      </c>
      <c r="C46" s="78" t="str">
        <f>IFERROR(__xludf.DUMMYFUNCTION("""COMPUTED_VALUE"""),"https://www.munzee.com/m/Berg14/428/")</f>
        <v>https://www.munzee.com/m/Berg14/428/</v>
      </c>
      <c r="D46" s="47"/>
      <c r="E46" s="47" t="b">
        <f>IFERROR(__xludf.DUMMYFUNCTION("""COMPUTED_VALUE"""),TRUE)</f>
        <v>1</v>
      </c>
      <c r="F46" s="47" t="str">
        <f>IFERROR(__xludf.DUMMYFUNCTION("""COMPUTED_VALUE"""),"")</f>
        <v/>
      </c>
      <c r="G46" s="47" t="str">
        <f>IFERROR(__xludf.DUMMYFUNCTION("""COMPUTED_VALUE"""),"")</f>
        <v/>
      </c>
      <c r="H46" s="47"/>
      <c r="I46" s="47">
        <f>IFERROR(__xludf.DUMMYFUNCTION("""COMPUTED_VALUE"""),2.0)</f>
        <v>2</v>
      </c>
      <c r="J46" s="47" t="str">
        <f>IFERROR(__xludf.DUMMYFUNCTION("""COMPUTED_VALUE"""),"https:")</f>
        <v>https:</v>
      </c>
      <c r="K46" s="78" t="str">
        <f>IFERROR(__xludf.DUMMYFUNCTION("""COMPUTED_VALUE"""),"www.munzee.com")</f>
        <v>www.munzee.com</v>
      </c>
      <c r="L46" s="47" t="str">
        <f>IFERROR(__xludf.DUMMYFUNCTION("""COMPUTED_VALUE"""),"m")</f>
        <v>m</v>
      </c>
      <c r="M46" s="47" t="str">
        <f>IFERROR(__xludf.DUMMYFUNCTION("""COMPUTED_VALUE"""),"Berg14")</f>
        <v>Berg14</v>
      </c>
    </row>
    <row r="47">
      <c r="A47" s="47" t="str">
        <f>IFERROR(__xludf.DUMMYFUNCTION("""COMPUTED_VALUE"""),"Virtual Brown")</f>
        <v>Virtual Brown</v>
      </c>
      <c r="B47" s="47" t="str">
        <f>IFERROR(__xludf.DUMMYFUNCTION("""COMPUTED_VALUE"""),"Niks13")</f>
        <v>Niks13</v>
      </c>
      <c r="C47" s="78" t="str">
        <f>IFERROR(__xludf.DUMMYFUNCTION("""COMPUTED_VALUE"""),"https://www.munzee.com/m/Niks13/395/")</f>
        <v>https://www.munzee.com/m/Niks13/395/</v>
      </c>
      <c r="D47" s="47"/>
      <c r="E47" s="47" t="b">
        <f>IFERROR(__xludf.DUMMYFUNCTION("""COMPUTED_VALUE"""),TRUE)</f>
        <v>1</v>
      </c>
      <c r="F47" s="47" t="str">
        <f>IFERROR(__xludf.DUMMYFUNCTION("""COMPUTED_VALUE"""),"")</f>
        <v/>
      </c>
      <c r="G47" s="47" t="str">
        <f>IFERROR(__xludf.DUMMYFUNCTION("""COMPUTED_VALUE"""),"")</f>
        <v/>
      </c>
      <c r="H47" s="47"/>
      <c r="I47" s="47">
        <f>IFERROR(__xludf.DUMMYFUNCTION("""COMPUTED_VALUE"""),2.0)</f>
        <v>2</v>
      </c>
      <c r="J47" s="47" t="str">
        <f>IFERROR(__xludf.DUMMYFUNCTION("""COMPUTED_VALUE"""),"https:")</f>
        <v>https:</v>
      </c>
      <c r="K47" s="78" t="str">
        <f>IFERROR(__xludf.DUMMYFUNCTION("""COMPUTED_VALUE"""),"www.munzee.com")</f>
        <v>www.munzee.com</v>
      </c>
      <c r="L47" s="47" t="str">
        <f>IFERROR(__xludf.DUMMYFUNCTION("""COMPUTED_VALUE"""),"m")</f>
        <v>m</v>
      </c>
      <c r="M47" s="47" t="str">
        <f>IFERROR(__xludf.DUMMYFUNCTION("""COMPUTED_VALUE"""),"Niks13")</f>
        <v>Niks13</v>
      </c>
    </row>
    <row r="48">
      <c r="A48" s="47" t="str">
        <f>IFERROR(__xludf.DUMMYFUNCTION("""COMPUTED_VALUE"""),"Virtual Brown")</f>
        <v>Virtual Brown</v>
      </c>
      <c r="B48" s="47" t="str">
        <f>IFERROR(__xludf.DUMMYFUNCTION("""COMPUTED_VALUE"""),"Derlame ")</f>
        <v>Derlame </v>
      </c>
      <c r="C48" s="78" t="str">
        <f>IFERROR(__xludf.DUMMYFUNCTION("""COMPUTED_VALUE"""),"https://www.munzee.com/m/Derlame/12347/")</f>
        <v>https://www.munzee.com/m/Derlame/12347/</v>
      </c>
      <c r="D48" s="47"/>
      <c r="E48" s="47" t="b">
        <f>IFERROR(__xludf.DUMMYFUNCTION("""COMPUTED_VALUE"""),TRUE)</f>
        <v>1</v>
      </c>
      <c r="F48" s="47" t="str">
        <f>IFERROR(__xludf.DUMMYFUNCTION("""COMPUTED_VALUE"""),"")</f>
        <v/>
      </c>
      <c r="G48" s="47" t="str">
        <f>IFERROR(__xludf.DUMMYFUNCTION("""COMPUTED_VALUE"""),"")</f>
        <v/>
      </c>
      <c r="H48" s="47"/>
      <c r="I48" s="47">
        <f>IFERROR(__xludf.DUMMYFUNCTION("""COMPUTED_VALUE"""),2.0)</f>
        <v>2</v>
      </c>
      <c r="J48" s="47" t="str">
        <f>IFERROR(__xludf.DUMMYFUNCTION("""COMPUTED_VALUE"""),"https:")</f>
        <v>https:</v>
      </c>
      <c r="K48" s="78" t="str">
        <f>IFERROR(__xludf.DUMMYFUNCTION("""COMPUTED_VALUE"""),"www.munzee.com")</f>
        <v>www.munzee.com</v>
      </c>
      <c r="L48" s="47" t="str">
        <f>IFERROR(__xludf.DUMMYFUNCTION("""COMPUTED_VALUE"""),"m")</f>
        <v>m</v>
      </c>
      <c r="M48" s="47" t="str">
        <f>IFERROR(__xludf.DUMMYFUNCTION("""COMPUTED_VALUE"""),"Derlame")</f>
        <v>Derlame</v>
      </c>
    </row>
    <row r="49">
      <c r="A49" s="47" t="str">
        <f>IFERROR(__xludf.DUMMYFUNCTION("""COMPUTED_VALUE"""),"Virtual Brown")</f>
        <v>Virtual Brown</v>
      </c>
      <c r="B49" s="47" t="str">
        <f>IFERROR(__xludf.DUMMYFUNCTION("""COMPUTED_VALUE"""),"jacksparrow")</f>
        <v>jacksparrow</v>
      </c>
      <c r="C49" s="78" t="str">
        <f>IFERROR(__xludf.DUMMYFUNCTION("""COMPUTED_VALUE"""),"https://www.munzee.com/m/JackSparrow/19320")</f>
        <v>https://www.munzee.com/m/JackSparrow/19320</v>
      </c>
      <c r="D49" s="47"/>
      <c r="E49" s="47" t="b">
        <f>IFERROR(__xludf.DUMMYFUNCTION("""COMPUTED_VALUE"""),TRUE)</f>
        <v>1</v>
      </c>
      <c r="F49" s="47" t="str">
        <f>IFERROR(__xludf.DUMMYFUNCTION("""COMPUTED_VALUE"""),"")</f>
        <v/>
      </c>
      <c r="G49" s="47" t="str">
        <f>IFERROR(__xludf.DUMMYFUNCTION("""COMPUTED_VALUE"""),"")</f>
        <v/>
      </c>
      <c r="H49" s="47"/>
      <c r="I49" s="47">
        <f>IFERROR(__xludf.DUMMYFUNCTION("""COMPUTED_VALUE"""),2.0)</f>
        <v>2</v>
      </c>
      <c r="J49" s="47" t="str">
        <f>IFERROR(__xludf.DUMMYFUNCTION("""COMPUTED_VALUE"""),"https:")</f>
        <v>https:</v>
      </c>
      <c r="K49" s="78" t="str">
        <f>IFERROR(__xludf.DUMMYFUNCTION("""COMPUTED_VALUE"""),"www.munzee.com")</f>
        <v>www.munzee.com</v>
      </c>
      <c r="L49" s="47" t="str">
        <f>IFERROR(__xludf.DUMMYFUNCTION("""COMPUTED_VALUE"""),"m")</f>
        <v>m</v>
      </c>
      <c r="M49" s="47" t="str">
        <f>IFERROR(__xludf.DUMMYFUNCTION("""COMPUTED_VALUE"""),"JackSparrow")</f>
        <v>JackSparrow</v>
      </c>
    </row>
    <row r="50">
      <c r="A50" s="47" t="str">
        <f>IFERROR(__xludf.DUMMYFUNCTION("""COMPUTED_VALUE"""),"Virtual Raw Sienna")</f>
        <v>Virtual Raw Sienna</v>
      </c>
      <c r="B50" s="47" t="str">
        <f>IFERROR(__xludf.DUMMYFUNCTION("""COMPUTED_VALUE"""),"Aniara")</f>
        <v>Aniara</v>
      </c>
      <c r="C50" s="78" t="str">
        <f>IFERROR(__xludf.DUMMYFUNCTION("""COMPUTED_VALUE"""),"https://www.munzee.com/m/Aniara/6516/")</f>
        <v>https://www.munzee.com/m/Aniara/6516/</v>
      </c>
      <c r="D50" s="47"/>
      <c r="E50" s="47" t="b">
        <f>IFERROR(__xludf.DUMMYFUNCTION("""COMPUTED_VALUE"""),TRUE)</f>
        <v>1</v>
      </c>
      <c r="F50" s="47" t="str">
        <f>IFERROR(__xludf.DUMMYFUNCTION("""COMPUTED_VALUE"""),"")</f>
        <v/>
      </c>
      <c r="G50" s="47" t="str">
        <f>IFERROR(__xludf.DUMMYFUNCTION("""COMPUTED_VALUE"""),"")</f>
        <v/>
      </c>
      <c r="H50" s="47"/>
      <c r="I50" s="47">
        <f>IFERROR(__xludf.DUMMYFUNCTION("""COMPUTED_VALUE"""),2.0)</f>
        <v>2</v>
      </c>
      <c r="J50" s="47" t="str">
        <f>IFERROR(__xludf.DUMMYFUNCTION("""COMPUTED_VALUE"""),"https:")</f>
        <v>https:</v>
      </c>
      <c r="K50" s="78" t="str">
        <f>IFERROR(__xludf.DUMMYFUNCTION("""COMPUTED_VALUE"""),"www.munzee.com")</f>
        <v>www.munzee.com</v>
      </c>
      <c r="L50" s="47" t="str">
        <f>IFERROR(__xludf.DUMMYFUNCTION("""COMPUTED_VALUE"""),"m")</f>
        <v>m</v>
      </c>
      <c r="M50" s="47" t="str">
        <f>IFERROR(__xludf.DUMMYFUNCTION("""COMPUTED_VALUE"""),"Aniara")</f>
        <v>Aniara</v>
      </c>
    </row>
    <row r="51">
      <c r="A51" s="47" t="str">
        <f>IFERROR(__xludf.DUMMYFUNCTION("""COMPUTED_VALUE"""),"Virtual Raw Sienna")</f>
        <v>Virtual Raw Sienna</v>
      </c>
      <c r="B51" s="47" t="str">
        <f>IFERROR(__xludf.DUMMYFUNCTION("""COMPUTED_VALUE"""),"LonelyWalker")</f>
        <v>LonelyWalker</v>
      </c>
      <c r="C51" s="78" t="str">
        <f>IFERROR(__xludf.DUMMYFUNCTION("""COMPUTED_VALUE"""),"https://www.munzee.com/m/LonelyWalker/403/")</f>
        <v>https://www.munzee.com/m/LonelyWalker/403/</v>
      </c>
      <c r="D51" s="47"/>
      <c r="E51" s="47" t="b">
        <f>IFERROR(__xludf.DUMMYFUNCTION("""COMPUTED_VALUE"""),TRUE)</f>
        <v>1</v>
      </c>
      <c r="F51" s="47" t="str">
        <f>IFERROR(__xludf.DUMMYFUNCTION("""COMPUTED_VALUE"""),"")</f>
        <v/>
      </c>
      <c r="G51" s="47" t="str">
        <f>IFERROR(__xludf.DUMMYFUNCTION("""COMPUTED_VALUE"""),"")</f>
        <v/>
      </c>
      <c r="H51" s="47"/>
      <c r="I51" s="47">
        <f>IFERROR(__xludf.DUMMYFUNCTION("""COMPUTED_VALUE"""),2.0)</f>
        <v>2</v>
      </c>
      <c r="J51" s="47" t="str">
        <f>IFERROR(__xludf.DUMMYFUNCTION("""COMPUTED_VALUE"""),"https:")</f>
        <v>https:</v>
      </c>
      <c r="K51" s="78" t="str">
        <f>IFERROR(__xludf.DUMMYFUNCTION("""COMPUTED_VALUE"""),"www.munzee.com")</f>
        <v>www.munzee.com</v>
      </c>
      <c r="L51" s="47" t="str">
        <f>IFERROR(__xludf.DUMMYFUNCTION("""COMPUTED_VALUE"""),"m")</f>
        <v>m</v>
      </c>
      <c r="M51" s="47" t="str">
        <f>IFERROR(__xludf.DUMMYFUNCTION("""COMPUTED_VALUE"""),"LonelyWalker")</f>
        <v>LonelyWalker</v>
      </c>
    </row>
    <row r="52">
      <c r="A52" s="47" t="str">
        <f>IFERROR(__xludf.DUMMYFUNCTION("""COMPUTED_VALUE"""),"Virtual Brown")</f>
        <v>Virtual Brown</v>
      </c>
      <c r="B52" s="47" t="str">
        <f>IFERROR(__xludf.DUMMYFUNCTION("""COMPUTED_VALUE"""),"jacksparrow")</f>
        <v>jacksparrow</v>
      </c>
      <c r="C52" s="78" t="str">
        <f>IFERROR(__xludf.DUMMYFUNCTION("""COMPUTED_VALUE"""),"https://www.munzee.com/m/JackSparrow/19420")</f>
        <v>https://www.munzee.com/m/JackSparrow/19420</v>
      </c>
      <c r="D52" s="47"/>
      <c r="E52" s="47" t="b">
        <f>IFERROR(__xludf.DUMMYFUNCTION("""COMPUTED_VALUE"""),TRUE)</f>
        <v>1</v>
      </c>
      <c r="F52" s="47" t="str">
        <f>IFERROR(__xludf.DUMMYFUNCTION("""COMPUTED_VALUE"""),"")</f>
        <v/>
      </c>
      <c r="G52" s="47" t="str">
        <f>IFERROR(__xludf.DUMMYFUNCTION("""COMPUTED_VALUE"""),"")</f>
        <v/>
      </c>
      <c r="H52" s="47"/>
      <c r="I52" s="47">
        <f>IFERROR(__xludf.DUMMYFUNCTION("""COMPUTED_VALUE"""),2.0)</f>
        <v>2</v>
      </c>
      <c r="J52" s="47" t="str">
        <f>IFERROR(__xludf.DUMMYFUNCTION("""COMPUTED_VALUE"""),"https:")</f>
        <v>https:</v>
      </c>
      <c r="K52" s="78" t="str">
        <f>IFERROR(__xludf.DUMMYFUNCTION("""COMPUTED_VALUE"""),"www.munzee.com")</f>
        <v>www.munzee.com</v>
      </c>
      <c r="L52" s="47" t="str">
        <f>IFERROR(__xludf.DUMMYFUNCTION("""COMPUTED_VALUE"""),"m")</f>
        <v>m</v>
      </c>
      <c r="M52" s="47" t="str">
        <f>IFERROR(__xludf.DUMMYFUNCTION("""COMPUTED_VALUE"""),"JackSparrow")</f>
        <v>JackSparrow</v>
      </c>
    </row>
    <row r="53">
      <c r="A53" s="47" t="str">
        <f>IFERROR(__xludf.DUMMYFUNCTION("""COMPUTED_VALUE"""),"Virtual Brown")</f>
        <v>Virtual Brown</v>
      </c>
      <c r="B53" s="47" t="str">
        <f>IFERROR(__xludf.DUMMYFUNCTION("""COMPUTED_VALUE"""),"Andrew81")</f>
        <v>Andrew81</v>
      </c>
      <c r="C53" s="78" t="str">
        <f>IFERROR(__xludf.DUMMYFUNCTION("""COMPUTED_VALUE"""),"https://www.munzee.com/m/Andrew81/1325")</f>
        <v>https://www.munzee.com/m/Andrew81/1325</v>
      </c>
      <c r="D53" s="47"/>
      <c r="E53" s="47" t="b">
        <f>IFERROR(__xludf.DUMMYFUNCTION("""COMPUTED_VALUE"""),TRUE)</f>
        <v>1</v>
      </c>
      <c r="F53" s="47" t="str">
        <f>IFERROR(__xludf.DUMMYFUNCTION("""COMPUTED_VALUE"""),"")</f>
        <v/>
      </c>
      <c r="G53" s="47" t="str">
        <f>IFERROR(__xludf.DUMMYFUNCTION("""COMPUTED_VALUE"""),"")</f>
        <v/>
      </c>
      <c r="H53" s="47"/>
      <c r="I53" s="47">
        <f>IFERROR(__xludf.DUMMYFUNCTION("""COMPUTED_VALUE"""),2.0)</f>
        <v>2</v>
      </c>
      <c r="J53" s="47" t="str">
        <f>IFERROR(__xludf.DUMMYFUNCTION("""COMPUTED_VALUE"""),"https:")</f>
        <v>https:</v>
      </c>
      <c r="K53" s="78" t="str">
        <f>IFERROR(__xludf.DUMMYFUNCTION("""COMPUTED_VALUE"""),"www.munzee.com")</f>
        <v>www.munzee.com</v>
      </c>
      <c r="L53" s="47" t="str">
        <f>IFERROR(__xludf.DUMMYFUNCTION("""COMPUTED_VALUE"""),"m")</f>
        <v>m</v>
      </c>
      <c r="M53" s="47" t="str">
        <f>IFERROR(__xludf.DUMMYFUNCTION("""COMPUTED_VALUE"""),"Andrew81")</f>
        <v>Andrew81</v>
      </c>
    </row>
    <row r="54">
      <c r="A54" s="47" t="str">
        <f>IFERROR(__xludf.DUMMYFUNCTION("""COMPUTED_VALUE"""),"Virtual Brown")</f>
        <v>Virtual Brown</v>
      </c>
      <c r="B54" s="47" t="str">
        <f>IFERROR(__xludf.DUMMYFUNCTION("""COMPUTED_VALUE"""),"DHitz")</f>
        <v>DHitz</v>
      </c>
      <c r="C54" s="78" t="str">
        <f>IFERROR(__xludf.DUMMYFUNCTION("""COMPUTED_VALUE"""),"https://www.munzee.com/m/DHitz/3720/")</f>
        <v>https://www.munzee.com/m/DHitz/3720/</v>
      </c>
      <c r="D54" s="47"/>
      <c r="E54" s="47" t="b">
        <f>IFERROR(__xludf.DUMMYFUNCTION("""COMPUTED_VALUE"""),TRUE)</f>
        <v>1</v>
      </c>
      <c r="F54" s="47" t="str">
        <f>IFERROR(__xludf.DUMMYFUNCTION("""COMPUTED_VALUE"""),"")</f>
        <v/>
      </c>
      <c r="G54" s="47" t="str">
        <f>IFERROR(__xludf.DUMMYFUNCTION("""COMPUTED_VALUE"""),"")</f>
        <v/>
      </c>
      <c r="H54" s="47"/>
      <c r="I54" s="47">
        <f>IFERROR(__xludf.DUMMYFUNCTION("""COMPUTED_VALUE"""),2.0)</f>
        <v>2</v>
      </c>
      <c r="J54" s="47" t="str">
        <f>IFERROR(__xludf.DUMMYFUNCTION("""COMPUTED_VALUE"""),"https:")</f>
        <v>https:</v>
      </c>
      <c r="K54" s="78" t="str">
        <f>IFERROR(__xludf.DUMMYFUNCTION("""COMPUTED_VALUE"""),"www.munzee.com")</f>
        <v>www.munzee.com</v>
      </c>
      <c r="L54" s="47" t="str">
        <f>IFERROR(__xludf.DUMMYFUNCTION("""COMPUTED_VALUE"""),"m")</f>
        <v>m</v>
      </c>
      <c r="M54" s="47" t="str">
        <f>IFERROR(__xludf.DUMMYFUNCTION("""COMPUTED_VALUE"""),"DHitz")</f>
        <v>DHitz</v>
      </c>
    </row>
    <row r="55">
      <c r="A55" s="47" t="str">
        <f>IFERROR(__xludf.DUMMYFUNCTION("""COMPUTED_VALUE"""),"Virtual Raw Sienna")</f>
        <v>Virtual Raw Sienna</v>
      </c>
      <c r="B55" s="47" t="str">
        <f>IFERROR(__xludf.DUMMYFUNCTION("""COMPUTED_VALUE"""),"lison55")</f>
        <v>lison55</v>
      </c>
      <c r="C55" s="78" t="str">
        <f>IFERROR(__xludf.DUMMYFUNCTION("""COMPUTED_VALUE"""),"https://www.munzee.com/m/lison55/5132/")</f>
        <v>https://www.munzee.com/m/lison55/5132/</v>
      </c>
      <c r="D55" s="47"/>
      <c r="E55" s="47" t="b">
        <f>IFERROR(__xludf.DUMMYFUNCTION("""COMPUTED_VALUE"""),TRUE)</f>
        <v>1</v>
      </c>
      <c r="F55" s="47" t="str">
        <f>IFERROR(__xludf.DUMMYFUNCTION("""COMPUTED_VALUE"""),"")</f>
        <v/>
      </c>
      <c r="G55" s="47" t="str">
        <f>IFERROR(__xludf.DUMMYFUNCTION("""COMPUTED_VALUE"""),"")</f>
        <v/>
      </c>
      <c r="H55" s="47"/>
      <c r="I55" s="47">
        <f>IFERROR(__xludf.DUMMYFUNCTION("""COMPUTED_VALUE"""),2.0)</f>
        <v>2</v>
      </c>
      <c r="J55" s="47" t="str">
        <f>IFERROR(__xludf.DUMMYFUNCTION("""COMPUTED_VALUE"""),"https:")</f>
        <v>https:</v>
      </c>
      <c r="K55" s="78" t="str">
        <f>IFERROR(__xludf.DUMMYFUNCTION("""COMPUTED_VALUE"""),"www.munzee.com")</f>
        <v>www.munzee.com</v>
      </c>
      <c r="L55" s="47" t="str">
        <f>IFERROR(__xludf.DUMMYFUNCTION("""COMPUTED_VALUE"""),"m")</f>
        <v>m</v>
      </c>
      <c r="M55" s="47" t="str">
        <f>IFERROR(__xludf.DUMMYFUNCTION("""COMPUTED_VALUE"""),"lison55")</f>
        <v>lison55</v>
      </c>
    </row>
    <row r="56">
      <c r="A56" s="47" t="str">
        <f>IFERROR(__xludf.DUMMYFUNCTION("""COMPUTED_VALUE"""),"Virtual Raw Sienna")</f>
        <v>Virtual Raw Sienna</v>
      </c>
      <c r="B56" s="47" t="str">
        <f>IFERROR(__xludf.DUMMYFUNCTION("""COMPUTED_VALUE"""),"fsafranek")</f>
        <v>fsafranek</v>
      </c>
      <c r="C56" s="78" t="str">
        <f>IFERROR(__xludf.DUMMYFUNCTION("""COMPUTED_VALUE"""),"https://www.munzee.com/m/fsafranek/3676/")</f>
        <v>https://www.munzee.com/m/fsafranek/3676/</v>
      </c>
      <c r="D56" s="47"/>
      <c r="E56" s="47" t="b">
        <f>IFERROR(__xludf.DUMMYFUNCTION("""COMPUTED_VALUE"""),TRUE)</f>
        <v>1</v>
      </c>
      <c r="F56" s="47" t="str">
        <f>IFERROR(__xludf.DUMMYFUNCTION("""COMPUTED_VALUE"""),"")</f>
        <v/>
      </c>
      <c r="G56" s="47" t="str">
        <f>IFERROR(__xludf.DUMMYFUNCTION("""COMPUTED_VALUE"""),"")</f>
        <v/>
      </c>
      <c r="H56" s="47"/>
      <c r="I56" s="47">
        <f>IFERROR(__xludf.DUMMYFUNCTION("""COMPUTED_VALUE"""),2.0)</f>
        <v>2</v>
      </c>
      <c r="J56" s="47" t="str">
        <f>IFERROR(__xludf.DUMMYFUNCTION("""COMPUTED_VALUE"""),"https:")</f>
        <v>https:</v>
      </c>
      <c r="K56" s="78" t="str">
        <f>IFERROR(__xludf.DUMMYFUNCTION("""COMPUTED_VALUE"""),"www.munzee.com")</f>
        <v>www.munzee.com</v>
      </c>
      <c r="L56" s="47" t="str">
        <f>IFERROR(__xludf.DUMMYFUNCTION("""COMPUTED_VALUE"""),"m")</f>
        <v>m</v>
      </c>
      <c r="M56" s="47" t="str">
        <f>IFERROR(__xludf.DUMMYFUNCTION("""COMPUTED_VALUE"""),"fsafranek")</f>
        <v>fsafranek</v>
      </c>
    </row>
    <row r="57">
      <c r="A57" s="47" t="str">
        <f>IFERROR(__xludf.DUMMYFUNCTION("""COMPUTED_VALUE"""),"Virtual Brown")</f>
        <v>Virtual Brown</v>
      </c>
      <c r="B57" s="47" t="str">
        <f>IFERROR(__xludf.DUMMYFUNCTION("""COMPUTED_VALUE"""),"FromTheTardis")</f>
        <v>FromTheTardis</v>
      </c>
      <c r="C57" s="78" t="str">
        <f>IFERROR(__xludf.DUMMYFUNCTION("""COMPUTED_VALUE"""),"https://www.munzee.com/m/FromTheTardis/1300/")</f>
        <v>https://www.munzee.com/m/FromTheTardis/1300/</v>
      </c>
      <c r="D57" s="47"/>
      <c r="E57" s="47" t="b">
        <f>IFERROR(__xludf.DUMMYFUNCTION("""COMPUTED_VALUE"""),TRUE)</f>
        <v>1</v>
      </c>
      <c r="F57" s="47" t="str">
        <f>IFERROR(__xludf.DUMMYFUNCTION("""COMPUTED_VALUE"""),"")</f>
        <v/>
      </c>
      <c r="G57" s="47" t="str">
        <f>IFERROR(__xludf.DUMMYFUNCTION("""COMPUTED_VALUE"""),"")</f>
        <v/>
      </c>
      <c r="H57" s="47"/>
      <c r="I57" s="47">
        <f>IFERROR(__xludf.DUMMYFUNCTION("""COMPUTED_VALUE"""),2.0)</f>
        <v>2</v>
      </c>
      <c r="J57" s="47" t="str">
        <f>IFERROR(__xludf.DUMMYFUNCTION("""COMPUTED_VALUE"""),"https:")</f>
        <v>https:</v>
      </c>
      <c r="K57" s="78" t="str">
        <f>IFERROR(__xludf.DUMMYFUNCTION("""COMPUTED_VALUE"""),"www.munzee.com")</f>
        <v>www.munzee.com</v>
      </c>
      <c r="L57" s="47" t="str">
        <f>IFERROR(__xludf.DUMMYFUNCTION("""COMPUTED_VALUE"""),"m")</f>
        <v>m</v>
      </c>
      <c r="M57" s="47" t="str">
        <f>IFERROR(__xludf.DUMMYFUNCTION("""COMPUTED_VALUE"""),"FromTheTardis")</f>
        <v>FromTheTardis</v>
      </c>
    </row>
    <row r="58">
      <c r="A58" s="47" t="str">
        <f>IFERROR(__xludf.DUMMYFUNCTION("""COMPUTED_VALUE"""),"Virtual Brown")</f>
        <v>Virtual Brown</v>
      </c>
      <c r="B58" s="47" t="str">
        <f>IFERROR(__xludf.DUMMYFUNCTION("""COMPUTED_VALUE"""),"lanyasummer")</f>
        <v>lanyasummer</v>
      </c>
      <c r="C58" s="78" t="str">
        <f>IFERROR(__xludf.DUMMYFUNCTION("""COMPUTED_VALUE"""),"https://www.munzee.com/m/Lanyasummer/4106/")</f>
        <v>https://www.munzee.com/m/Lanyasummer/4106/</v>
      </c>
      <c r="D58" s="47"/>
      <c r="E58" s="47" t="b">
        <f>IFERROR(__xludf.DUMMYFUNCTION("""COMPUTED_VALUE"""),TRUE)</f>
        <v>1</v>
      </c>
      <c r="F58" s="47" t="str">
        <f>IFERROR(__xludf.DUMMYFUNCTION("""COMPUTED_VALUE"""),"")</f>
        <v/>
      </c>
      <c r="G58" s="47" t="str">
        <f>IFERROR(__xludf.DUMMYFUNCTION("""COMPUTED_VALUE"""),"")</f>
        <v/>
      </c>
      <c r="H58" s="47"/>
      <c r="I58" s="47">
        <f>IFERROR(__xludf.DUMMYFUNCTION("""COMPUTED_VALUE"""),2.0)</f>
        <v>2</v>
      </c>
      <c r="J58" s="47" t="str">
        <f>IFERROR(__xludf.DUMMYFUNCTION("""COMPUTED_VALUE"""),"https:")</f>
        <v>https:</v>
      </c>
      <c r="K58" s="78" t="str">
        <f>IFERROR(__xludf.DUMMYFUNCTION("""COMPUTED_VALUE"""),"www.munzee.com")</f>
        <v>www.munzee.com</v>
      </c>
      <c r="L58" s="47" t="str">
        <f>IFERROR(__xludf.DUMMYFUNCTION("""COMPUTED_VALUE"""),"m")</f>
        <v>m</v>
      </c>
      <c r="M58" s="47" t="str">
        <f>IFERROR(__xludf.DUMMYFUNCTION("""COMPUTED_VALUE"""),"Lanyasummer")</f>
        <v>Lanyasummer</v>
      </c>
    </row>
    <row r="59">
      <c r="A59" s="47" t="str">
        <f>IFERROR(__xludf.DUMMYFUNCTION("""COMPUTED_VALUE"""),"Virtual Brown")</f>
        <v>Virtual Brown</v>
      </c>
      <c r="B59" s="47" t="str">
        <f>IFERROR(__xludf.DUMMYFUNCTION("""COMPUTED_VALUE"""),"J1Huisman")</f>
        <v>J1Huisman</v>
      </c>
      <c r="C59" s="78" t="str">
        <f>IFERROR(__xludf.DUMMYFUNCTION("""COMPUTED_VALUE"""),"https://www.munzee.com/m/J1Huisman/11170/")</f>
        <v>https://www.munzee.com/m/J1Huisman/11170/</v>
      </c>
      <c r="D59" s="47"/>
      <c r="E59" s="47" t="b">
        <f>IFERROR(__xludf.DUMMYFUNCTION("""COMPUTED_VALUE"""),TRUE)</f>
        <v>1</v>
      </c>
      <c r="F59" s="47" t="str">
        <f>IFERROR(__xludf.DUMMYFUNCTION("""COMPUTED_VALUE"""),"")</f>
        <v/>
      </c>
      <c r="G59" s="47" t="str">
        <f>IFERROR(__xludf.DUMMYFUNCTION("""COMPUTED_VALUE"""),"")</f>
        <v/>
      </c>
      <c r="H59" s="47"/>
      <c r="I59" s="47">
        <f>IFERROR(__xludf.DUMMYFUNCTION("""COMPUTED_VALUE"""),2.0)</f>
        <v>2</v>
      </c>
      <c r="J59" s="47" t="str">
        <f>IFERROR(__xludf.DUMMYFUNCTION("""COMPUTED_VALUE"""),"https:")</f>
        <v>https:</v>
      </c>
      <c r="K59" s="78" t="str">
        <f>IFERROR(__xludf.DUMMYFUNCTION("""COMPUTED_VALUE"""),"www.munzee.com")</f>
        <v>www.munzee.com</v>
      </c>
      <c r="L59" s="47" t="str">
        <f>IFERROR(__xludf.DUMMYFUNCTION("""COMPUTED_VALUE"""),"m")</f>
        <v>m</v>
      </c>
      <c r="M59" s="47" t="str">
        <f>IFERROR(__xludf.DUMMYFUNCTION("""COMPUTED_VALUE"""),"J1Huisman")</f>
        <v>J1Huisman</v>
      </c>
    </row>
    <row r="60">
      <c r="A60" s="47" t="str">
        <f>IFERROR(__xludf.DUMMYFUNCTION("""COMPUTED_VALUE"""),"Virtual Raw Sienna")</f>
        <v>Virtual Raw Sienna</v>
      </c>
      <c r="B60" s="47" t="str">
        <f>IFERROR(__xludf.DUMMYFUNCTION("""COMPUTED_VALUE"""),"bambinacattiva")</f>
        <v>bambinacattiva</v>
      </c>
      <c r="C60" s="78" t="str">
        <f>IFERROR(__xludf.DUMMYFUNCTION("""COMPUTED_VALUE"""),"https://www.munzee.com/m/Bambinacattiva/699/")</f>
        <v>https://www.munzee.com/m/Bambinacattiva/699/</v>
      </c>
      <c r="D60" s="47"/>
      <c r="E60" s="47" t="b">
        <f>IFERROR(__xludf.DUMMYFUNCTION("""COMPUTED_VALUE"""),TRUE)</f>
        <v>1</v>
      </c>
      <c r="F60" s="47" t="str">
        <f>IFERROR(__xludf.DUMMYFUNCTION("""COMPUTED_VALUE"""),"")</f>
        <v/>
      </c>
      <c r="G60" s="47" t="str">
        <f>IFERROR(__xludf.DUMMYFUNCTION("""COMPUTED_VALUE"""),"")</f>
        <v/>
      </c>
      <c r="H60" s="47"/>
      <c r="I60" s="47">
        <f>IFERROR(__xludf.DUMMYFUNCTION("""COMPUTED_VALUE"""),2.0)</f>
        <v>2</v>
      </c>
      <c r="J60" s="47" t="str">
        <f>IFERROR(__xludf.DUMMYFUNCTION("""COMPUTED_VALUE"""),"https:")</f>
        <v>https:</v>
      </c>
      <c r="K60" s="78" t="str">
        <f>IFERROR(__xludf.DUMMYFUNCTION("""COMPUTED_VALUE"""),"www.munzee.com")</f>
        <v>www.munzee.com</v>
      </c>
      <c r="L60" s="47" t="str">
        <f>IFERROR(__xludf.DUMMYFUNCTION("""COMPUTED_VALUE"""),"m")</f>
        <v>m</v>
      </c>
      <c r="M60" s="47" t="str">
        <f>IFERROR(__xludf.DUMMYFUNCTION("""COMPUTED_VALUE"""),"Bambinacattiva")</f>
        <v>Bambinacattiva</v>
      </c>
    </row>
    <row r="61">
      <c r="A61" s="47" t="str">
        <f>IFERROR(__xludf.DUMMYFUNCTION("""COMPUTED_VALUE"""),"Virtual Brown")</f>
        <v>Virtual Brown</v>
      </c>
      <c r="B61" s="47" t="str">
        <f>IFERROR(__xludf.DUMMYFUNCTION("""COMPUTED_VALUE"""),"Pinkeltje")</f>
        <v>Pinkeltje</v>
      </c>
      <c r="C61" s="78" t="str">
        <f>IFERROR(__xludf.DUMMYFUNCTION("""COMPUTED_VALUE"""),"https://www.munzee.com/m/Pinkeltje/1112/")</f>
        <v>https://www.munzee.com/m/Pinkeltje/1112/</v>
      </c>
      <c r="D61" s="47"/>
      <c r="E61" s="47" t="b">
        <f>IFERROR(__xludf.DUMMYFUNCTION("""COMPUTED_VALUE"""),TRUE)</f>
        <v>1</v>
      </c>
      <c r="F61" s="47" t="str">
        <f>IFERROR(__xludf.DUMMYFUNCTION("""COMPUTED_VALUE"""),"")</f>
        <v/>
      </c>
      <c r="G61" s="47" t="str">
        <f>IFERROR(__xludf.DUMMYFUNCTION("""COMPUTED_VALUE"""),"")</f>
        <v/>
      </c>
      <c r="H61" s="47"/>
      <c r="I61" s="47">
        <f>IFERROR(__xludf.DUMMYFUNCTION("""COMPUTED_VALUE"""),2.0)</f>
        <v>2</v>
      </c>
      <c r="J61" s="47" t="str">
        <f>IFERROR(__xludf.DUMMYFUNCTION("""COMPUTED_VALUE"""),"https:")</f>
        <v>https:</v>
      </c>
      <c r="K61" s="78" t="str">
        <f>IFERROR(__xludf.DUMMYFUNCTION("""COMPUTED_VALUE"""),"www.munzee.com")</f>
        <v>www.munzee.com</v>
      </c>
      <c r="L61" s="47" t="str">
        <f>IFERROR(__xludf.DUMMYFUNCTION("""COMPUTED_VALUE"""),"m")</f>
        <v>m</v>
      </c>
      <c r="M61" s="47" t="str">
        <f>IFERROR(__xludf.DUMMYFUNCTION("""COMPUTED_VALUE"""),"Pinkeltje")</f>
        <v>Pinkeltje</v>
      </c>
    </row>
    <row r="62">
      <c r="A62" s="47" t="str">
        <f>IFERROR(__xludf.DUMMYFUNCTION("""COMPUTED_VALUE"""),"Virtual Brown")</f>
        <v>Virtual Brown</v>
      </c>
      <c r="B62" s="47" t="str">
        <f>IFERROR(__xludf.DUMMYFUNCTION("""COMPUTED_VALUE"""),"5Star")</f>
        <v>5Star</v>
      </c>
      <c r="C62" s="78" t="str">
        <f>IFERROR(__xludf.DUMMYFUNCTION("""COMPUTED_VALUE"""),"https://www.munzee.com/m/5Star/5637/")</f>
        <v>https://www.munzee.com/m/5Star/5637/</v>
      </c>
      <c r="D62" s="47"/>
      <c r="E62" s="47" t="b">
        <f>IFERROR(__xludf.DUMMYFUNCTION("""COMPUTED_VALUE"""),TRUE)</f>
        <v>1</v>
      </c>
      <c r="F62" s="47" t="str">
        <f>IFERROR(__xludf.DUMMYFUNCTION("""COMPUTED_VALUE"""),"")</f>
        <v/>
      </c>
      <c r="G62" s="47" t="str">
        <f>IFERROR(__xludf.DUMMYFUNCTION("""COMPUTED_VALUE"""),"")</f>
        <v/>
      </c>
      <c r="H62" s="47"/>
      <c r="I62" s="47">
        <f>IFERROR(__xludf.DUMMYFUNCTION("""COMPUTED_VALUE"""),2.0)</f>
        <v>2</v>
      </c>
      <c r="J62" s="47" t="str">
        <f>IFERROR(__xludf.DUMMYFUNCTION("""COMPUTED_VALUE"""),"https:")</f>
        <v>https:</v>
      </c>
      <c r="K62" s="78" t="str">
        <f>IFERROR(__xludf.DUMMYFUNCTION("""COMPUTED_VALUE"""),"www.munzee.com")</f>
        <v>www.munzee.com</v>
      </c>
      <c r="L62" s="47" t="str">
        <f>IFERROR(__xludf.DUMMYFUNCTION("""COMPUTED_VALUE"""),"m")</f>
        <v>m</v>
      </c>
      <c r="M62" s="47" t="str">
        <f>IFERROR(__xludf.DUMMYFUNCTION("""COMPUTED_VALUE"""),"5Star")</f>
        <v>5Star</v>
      </c>
    </row>
    <row r="63">
      <c r="A63" s="47" t="str">
        <f>IFERROR(__xludf.DUMMYFUNCTION("""COMPUTED_VALUE"""),"Virtual Brown")</f>
        <v>Virtual Brown</v>
      </c>
      <c r="B63" s="47" t="str">
        <f>IFERROR(__xludf.DUMMYFUNCTION("""COMPUTED_VALUE"""),"sverlaan")</f>
        <v>sverlaan</v>
      </c>
      <c r="C63" s="78" t="str">
        <f>IFERROR(__xludf.DUMMYFUNCTION("""COMPUTED_VALUE"""),"https://www.munzee.com/m/sverlaan/4134/")</f>
        <v>https://www.munzee.com/m/sverlaan/4134/</v>
      </c>
      <c r="D63" s="47"/>
      <c r="E63" s="47" t="b">
        <f>IFERROR(__xludf.DUMMYFUNCTION("""COMPUTED_VALUE"""),TRUE)</f>
        <v>1</v>
      </c>
      <c r="F63" s="47" t="str">
        <f>IFERROR(__xludf.DUMMYFUNCTION("""COMPUTED_VALUE"""),"")</f>
        <v/>
      </c>
      <c r="G63" s="47" t="str">
        <f>IFERROR(__xludf.DUMMYFUNCTION("""COMPUTED_VALUE"""),"")</f>
        <v/>
      </c>
      <c r="H63" s="47"/>
      <c r="I63" s="47">
        <f>IFERROR(__xludf.DUMMYFUNCTION("""COMPUTED_VALUE"""),2.0)</f>
        <v>2</v>
      </c>
      <c r="J63" s="47" t="str">
        <f>IFERROR(__xludf.DUMMYFUNCTION("""COMPUTED_VALUE"""),"https:")</f>
        <v>https:</v>
      </c>
      <c r="K63" s="78" t="str">
        <f>IFERROR(__xludf.DUMMYFUNCTION("""COMPUTED_VALUE"""),"www.munzee.com")</f>
        <v>www.munzee.com</v>
      </c>
      <c r="L63" s="47" t="str">
        <f>IFERROR(__xludf.DUMMYFUNCTION("""COMPUTED_VALUE"""),"m")</f>
        <v>m</v>
      </c>
      <c r="M63" s="47" t="str">
        <f>IFERROR(__xludf.DUMMYFUNCTION("""COMPUTED_VALUE"""),"sverlaan")</f>
        <v>sverlaan</v>
      </c>
    </row>
    <row r="64">
      <c r="A64" s="47" t="str">
        <f>IFERROR(__xludf.DUMMYFUNCTION("""COMPUTED_VALUE"""),"Virtual Brown")</f>
        <v>Virtual Brown</v>
      </c>
      <c r="B64" s="47" t="str">
        <f>IFERROR(__xludf.DUMMYFUNCTION("""COMPUTED_VALUE"""),"Emilep68 ")</f>
        <v>Emilep68 </v>
      </c>
      <c r="C64" s="78" t="str">
        <f>IFERROR(__xludf.DUMMYFUNCTION("""COMPUTED_VALUE"""),"https://www.munzee.com/m/EmileP68/2917/")</f>
        <v>https://www.munzee.com/m/EmileP68/2917/</v>
      </c>
      <c r="D64" s="47"/>
      <c r="E64" s="47" t="b">
        <f>IFERROR(__xludf.DUMMYFUNCTION("""COMPUTED_VALUE"""),TRUE)</f>
        <v>1</v>
      </c>
      <c r="F64" s="47" t="str">
        <f>IFERROR(__xludf.DUMMYFUNCTION("""COMPUTED_VALUE"""),"")</f>
        <v/>
      </c>
      <c r="G64" s="47" t="str">
        <f>IFERROR(__xludf.DUMMYFUNCTION("""COMPUTED_VALUE"""),"")</f>
        <v/>
      </c>
      <c r="H64" s="47"/>
      <c r="I64" s="47">
        <f>IFERROR(__xludf.DUMMYFUNCTION("""COMPUTED_VALUE"""),2.0)</f>
        <v>2</v>
      </c>
      <c r="J64" s="47" t="str">
        <f>IFERROR(__xludf.DUMMYFUNCTION("""COMPUTED_VALUE"""),"https:")</f>
        <v>https:</v>
      </c>
      <c r="K64" s="78" t="str">
        <f>IFERROR(__xludf.DUMMYFUNCTION("""COMPUTED_VALUE"""),"www.munzee.com")</f>
        <v>www.munzee.com</v>
      </c>
      <c r="L64" s="47" t="str">
        <f>IFERROR(__xludf.DUMMYFUNCTION("""COMPUTED_VALUE"""),"m")</f>
        <v>m</v>
      </c>
      <c r="M64" s="47" t="str">
        <f>IFERROR(__xludf.DUMMYFUNCTION("""COMPUTED_VALUE"""),"EmileP68")</f>
        <v>EmileP68</v>
      </c>
    </row>
    <row r="65">
      <c r="A65" s="47" t="str">
        <f>IFERROR(__xludf.DUMMYFUNCTION("""COMPUTED_VALUE"""),"Virtual Brown")</f>
        <v>Virtual Brown</v>
      </c>
      <c r="B65" s="47" t="str">
        <f>IFERROR(__xludf.DUMMYFUNCTION("""COMPUTED_VALUE"""),"Pawpatrolthomas ")</f>
        <v>Pawpatrolthomas </v>
      </c>
      <c r="C65" s="78" t="str">
        <f>IFERROR(__xludf.DUMMYFUNCTION("""COMPUTED_VALUE"""),"https://www.munzee.com/m/PawPatrolThomas/2213/")</f>
        <v>https://www.munzee.com/m/PawPatrolThomas/2213/</v>
      </c>
      <c r="D65" s="47"/>
      <c r="E65" s="47" t="b">
        <f>IFERROR(__xludf.DUMMYFUNCTION("""COMPUTED_VALUE"""),TRUE)</f>
        <v>1</v>
      </c>
      <c r="F65" s="47" t="str">
        <f>IFERROR(__xludf.DUMMYFUNCTION("""COMPUTED_VALUE"""),"")</f>
        <v/>
      </c>
      <c r="G65" s="47" t="str">
        <f>IFERROR(__xludf.DUMMYFUNCTION("""COMPUTED_VALUE"""),"")</f>
        <v/>
      </c>
      <c r="H65" s="47"/>
      <c r="I65" s="47">
        <f>IFERROR(__xludf.DUMMYFUNCTION("""COMPUTED_VALUE"""),2.0)</f>
        <v>2</v>
      </c>
      <c r="J65" s="47" t="str">
        <f>IFERROR(__xludf.DUMMYFUNCTION("""COMPUTED_VALUE"""),"https:")</f>
        <v>https:</v>
      </c>
      <c r="K65" s="78" t="str">
        <f>IFERROR(__xludf.DUMMYFUNCTION("""COMPUTED_VALUE"""),"www.munzee.com")</f>
        <v>www.munzee.com</v>
      </c>
      <c r="L65" s="47" t="str">
        <f>IFERROR(__xludf.DUMMYFUNCTION("""COMPUTED_VALUE"""),"m")</f>
        <v>m</v>
      </c>
      <c r="M65" s="47" t="str">
        <f>IFERROR(__xludf.DUMMYFUNCTION("""COMPUTED_VALUE"""),"PawPatrolThomas")</f>
        <v>PawPatrolThomas</v>
      </c>
    </row>
    <row r="66">
      <c r="A66" s="47" t="str">
        <f>IFERROR(__xludf.DUMMYFUNCTION("""COMPUTED_VALUE"""),"Virtual Brown")</f>
        <v>Virtual Brown</v>
      </c>
      <c r="B66" s="47" t="str">
        <f>IFERROR(__xludf.DUMMYFUNCTION("""COMPUTED_VALUE"""),"Hoekraam")</f>
        <v>Hoekraam</v>
      </c>
      <c r="C66" s="78" t="str">
        <f>IFERROR(__xludf.DUMMYFUNCTION("""COMPUTED_VALUE"""),"https://www.munzee.com/m/hoekraam/6630")</f>
        <v>https://www.munzee.com/m/hoekraam/6630</v>
      </c>
      <c r="D66" s="47"/>
      <c r="E66" s="47" t="b">
        <f>IFERROR(__xludf.DUMMYFUNCTION("""COMPUTED_VALUE"""),TRUE)</f>
        <v>1</v>
      </c>
      <c r="F66" s="47" t="str">
        <f>IFERROR(__xludf.DUMMYFUNCTION("""COMPUTED_VALUE"""),"")</f>
        <v/>
      </c>
      <c r="G66" s="47" t="str">
        <f>IFERROR(__xludf.DUMMYFUNCTION("""COMPUTED_VALUE"""),"")</f>
        <v/>
      </c>
      <c r="H66" s="47"/>
      <c r="I66" s="47">
        <f>IFERROR(__xludf.DUMMYFUNCTION("""COMPUTED_VALUE"""),2.0)</f>
        <v>2</v>
      </c>
      <c r="J66" s="47" t="str">
        <f>IFERROR(__xludf.DUMMYFUNCTION("""COMPUTED_VALUE"""),"https:")</f>
        <v>https:</v>
      </c>
      <c r="K66" s="78" t="str">
        <f>IFERROR(__xludf.DUMMYFUNCTION("""COMPUTED_VALUE"""),"www.munzee.com")</f>
        <v>www.munzee.com</v>
      </c>
      <c r="L66" s="47" t="str">
        <f>IFERROR(__xludf.DUMMYFUNCTION("""COMPUTED_VALUE"""),"m")</f>
        <v>m</v>
      </c>
      <c r="M66" s="47" t="str">
        <f>IFERROR(__xludf.DUMMYFUNCTION("""COMPUTED_VALUE"""),"hoekraam")</f>
        <v>hoekraam</v>
      </c>
    </row>
    <row r="67">
      <c r="A67" s="47" t="str">
        <f>IFERROR(__xludf.DUMMYFUNCTION("""COMPUTED_VALUE"""),"Virtual Brown")</f>
        <v>Virtual Brown</v>
      </c>
      <c r="B67" s="47" t="str">
        <f>IFERROR(__xludf.DUMMYFUNCTION("""COMPUTED_VALUE"""),"xrayneex")</f>
        <v>xrayneex</v>
      </c>
      <c r="C67" s="78" t="str">
        <f>IFERROR(__xludf.DUMMYFUNCTION("""COMPUTED_VALUE"""),"https://www.munzee.com/m/xrayneex/1314/")</f>
        <v>https://www.munzee.com/m/xrayneex/1314/</v>
      </c>
      <c r="D67" s="47"/>
      <c r="E67" s="47" t="b">
        <f>IFERROR(__xludf.DUMMYFUNCTION("""COMPUTED_VALUE"""),TRUE)</f>
        <v>1</v>
      </c>
      <c r="F67" s="47" t="str">
        <f>IFERROR(__xludf.DUMMYFUNCTION("""COMPUTED_VALUE"""),"")</f>
        <v/>
      </c>
      <c r="G67" s="47" t="str">
        <f>IFERROR(__xludf.DUMMYFUNCTION("""COMPUTED_VALUE"""),"")</f>
        <v/>
      </c>
      <c r="H67" s="47"/>
      <c r="I67" s="47">
        <f>IFERROR(__xludf.DUMMYFUNCTION("""COMPUTED_VALUE"""),2.0)</f>
        <v>2</v>
      </c>
      <c r="J67" s="47" t="str">
        <f>IFERROR(__xludf.DUMMYFUNCTION("""COMPUTED_VALUE"""),"https:")</f>
        <v>https:</v>
      </c>
      <c r="K67" s="78" t="str">
        <f>IFERROR(__xludf.DUMMYFUNCTION("""COMPUTED_VALUE"""),"www.munzee.com")</f>
        <v>www.munzee.com</v>
      </c>
      <c r="L67" s="47" t="str">
        <f>IFERROR(__xludf.DUMMYFUNCTION("""COMPUTED_VALUE"""),"m")</f>
        <v>m</v>
      </c>
      <c r="M67" s="47" t="str">
        <f>IFERROR(__xludf.DUMMYFUNCTION("""COMPUTED_VALUE"""),"xrayneex")</f>
        <v>xrayneex</v>
      </c>
    </row>
    <row r="68">
      <c r="A68" s="47" t="str">
        <f>IFERROR(__xludf.DUMMYFUNCTION("""COMPUTED_VALUE"""),"Virtual Brown")</f>
        <v>Virtual Brown</v>
      </c>
      <c r="B68" s="47" t="str">
        <f>IFERROR(__xludf.DUMMYFUNCTION("""COMPUTED_VALUE"""),"BrotherWilliam")</f>
        <v>BrotherWilliam</v>
      </c>
      <c r="C68" s="78" t="str">
        <f>IFERROR(__xludf.DUMMYFUNCTION("""COMPUTED_VALUE"""),"https://www.munzee.com/m/BrotherWilliam/3859/")</f>
        <v>https://www.munzee.com/m/BrotherWilliam/3859/</v>
      </c>
      <c r="D68" s="47"/>
      <c r="E68" s="47" t="b">
        <f>IFERROR(__xludf.DUMMYFUNCTION("""COMPUTED_VALUE"""),TRUE)</f>
        <v>1</v>
      </c>
      <c r="F68" s="47" t="str">
        <f>IFERROR(__xludf.DUMMYFUNCTION("""COMPUTED_VALUE"""),"")</f>
        <v/>
      </c>
      <c r="G68" s="47" t="str">
        <f>IFERROR(__xludf.DUMMYFUNCTION("""COMPUTED_VALUE"""),"")</f>
        <v/>
      </c>
      <c r="H68" s="47"/>
      <c r="I68" s="47">
        <f>IFERROR(__xludf.DUMMYFUNCTION("""COMPUTED_VALUE"""),2.0)</f>
        <v>2</v>
      </c>
      <c r="J68" s="47" t="str">
        <f>IFERROR(__xludf.DUMMYFUNCTION("""COMPUTED_VALUE"""),"https:")</f>
        <v>https:</v>
      </c>
      <c r="K68" s="78" t="str">
        <f>IFERROR(__xludf.DUMMYFUNCTION("""COMPUTED_VALUE"""),"www.munzee.com")</f>
        <v>www.munzee.com</v>
      </c>
      <c r="L68" s="47" t="str">
        <f>IFERROR(__xludf.DUMMYFUNCTION("""COMPUTED_VALUE"""),"m")</f>
        <v>m</v>
      </c>
      <c r="M68" s="47" t="str">
        <f>IFERROR(__xludf.DUMMYFUNCTION("""COMPUTED_VALUE"""),"BrotherWilliam")</f>
        <v>BrotherWilliam</v>
      </c>
    </row>
    <row r="69">
      <c r="A69" s="47" t="str">
        <f>IFERROR(__xludf.DUMMYFUNCTION("""COMPUTED_VALUE"""),"Virtual Brown")</f>
        <v>Virtual Brown</v>
      </c>
      <c r="B69" s="47" t="str">
        <f>IFERROR(__xludf.DUMMYFUNCTION("""COMPUTED_VALUE"""),"Hoekraam")</f>
        <v>Hoekraam</v>
      </c>
      <c r="C69" s="78" t="str">
        <f>IFERROR(__xludf.DUMMYFUNCTION("""COMPUTED_VALUE"""),"https://www.munzee.com/m/hoekraam/6640/")</f>
        <v>https://www.munzee.com/m/hoekraam/6640/</v>
      </c>
      <c r="D69" s="47"/>
      <c r="E69" s="47" t="b">
        <f>IFERROR(__xludf.DUMMYFUNCTION("""COMPUTED_VALUE"""),TRUE)</f>
        <v>1</v>
      </c>
      <c r="F69" s="47" t="str">
        <f>IFERROR(__xludf.DUMMYFUNCTION("""COMPUTED_VALUE"""),"")</f>
        <v/>
      </c>
      <c r="G69" s="47" t="str">
        <f>IFERROR(__xludf.DUMMYFUNCTION("""COMPUTED_VALUE"""),"")</f>
        <v/>
      </c>
      <c r="H69" s="47"/>
      <c r="I69" s="47">
        <f>IFERROR(__xludf.DUMMYFUNCTION("""COMPUTED_VALUE"""),2.0)</f>
        <v>2</v>
      </c>
      <c r="J69" s="47" t="str">
        <f>IFERROR(__xludf.DUMMYFUNCTION("""COMPUTED_VALUE"""),"https:")</f>
        <v>https:</v>
      </c>
      <c r="K69" s="78" t="str">
        <f>IFERROR(__xludf.DUMMYFUNCTION("""COMPUTED_VALUE"""),"www.munzee.com")</f>
        <v>www.munzee.com</v>
      </c>
      <c r="L69" s="47" t="str">
        <f>IFERROR(__xludf.DUMMYFUNCTION("""COMPUTED_VALUE"""),"m")</f>
        <v>m</v>
      </c>
      <c r="M69" s="47" t="str">
        <f>IFERROR(__xludf.DUMMYFUNCTION("""COMPUTED_VALUE"""),"hoekraam")</f>
        <v>hoekraam</v>
      </c>
    </row>
    <row r="70">
      <c r="A70" s="47" t="str">
        <f>IFERROR(__xludf.DUMMYFUNCTION("""COMPUTED_VALUE"""),"Virtual Brown")</f>
        <v>Virtual Brown</v>
      </c>
      <c r="B70" s="47" t="str">
        <f>IFERROR(__xludf.DUMMYFUNCTION("""COMPUTED_VALUE"""),"barefootguru")</f>
        <v>barefootguru</v>
      </c>
      <c r="C70" s="78" t="str">
        <f>IFERROR(__xludf.DUMMYFUNCTION("""COMPUTED_VALUE"""),"https://www.munzee.com/m/barefootguru/3091/")</f>
        <v>https://www.munzee.com/m/barefootguru/3091/</v>
      </c>
      <c r="D70" s="47"/>
      <c r="E70" s="47" t="b">
        <f>IFERROR(__xludf.DUMMYFUNCTION("""COMPUTED_VALUE"""),TRUE)</f>
        <v>1</v>
      </c>
      <c r="F70" s="47" t="str">
        <f>IFERROR(__xludf.DUMMYFUNCTION("""COMPUTED_VALUE"""),"")</f>
        <v/>
      </c>
      <c r="G70" s="47" t="str">
        <f>IFERROR(__xludf.DUMMYFUNCTION("""COMPUTED_VALUE"""),"")</f>
        <v/>
      </c>
      <c r="H70" s="47"/>
      <c r="I70" s="47">
        <f>IFERROR(__xludf.DUMMYFUNCTION("""COMPUTED_VALUE"""),2.0)</f>
        <v>2</v>
      </c>
      <c r="J70" s="47" t="str">
        <f>IFERROR(__xludf.DUMMYFUNCTION("""COMPUTED_VALUE"""),"https:")</f>
        <v>https:</v>
      </c>
      <c r="K70" s="78" t="str">
        <f>IFERROR(__xludf.DUMMYFUNCTION("""COMPUTED_VALUE"""),"www.munzee.com")</f>
        <v>www.munzee.com</v>
      </c>
      <c r="L70" s="47" t="str">
        <f>IFERROR(__xludf.DUMMYFUNCTION("""COMPUTED_VALUE"""),"m")</f>
        <v>m</v>
      </c>
      <c r="M70" s="47" t="str">
        <f>IFERROR(__xludf.DUMMYFUNCTION("""COMPUTED_VALUE"""),"barefootguru")</f>
        <v>barefootguru</v>
      </c>
    </row>
    <row r="71">
      <c r="A71" s="47" t="str">
        <f>IFERROR(__xludf.DUMMYFUNCTION("""COMPUTED_VALUE"""),"Virtual Brown")</f>
        <v>Virtual Brown</v>
      </c>
      <c r="B71" s="47" t="str">
        <f>IFERROR(__xludf.DUMMYFUNCTION("""COMPUTED_VALUE"""),"Andrew81")</f>
        <v>Andrew81</v>
      </c>
      <c r="C71" s="78" t="str">
        <f>IFERROR(__xludf.DUMMYFUNCTION("""COMPUTED_VALUE"""),"https://www.munzee.com/m/Andrew81/1331")</f>
        <v>https://www.munzee.com/m/Andrew81/1331</v>
      </c>
      <c r="D71" s="47"/>
      <c r="E71" s="47" t="b">
        <f>IFERROR(__xludf.DUMMYFUNCTION("""COMPUTED_VALUE"""),TRUE)</f>
        <v>1</v>
      </c>
      <c r="F71" s="47" t="str">
        <f>IFERROR(__xludf.DUMMYFUNCTION("""COMPUTED_VALUE"""),"")</f>
        <v/>
      </c>
      <c r="G71" s="47" t="str">
        <f>IFERROR(__xludf.DUMMYFUNCTION("""COMPUTED_VALUE"""),"")</f>
        <v/>
      </c>
      <c r="H71" s="47"/>
      <c r="I71" s="47">
        <f>IFERROR(__xludf.DUMMYFUNCTION("""COMPUTED_VALUE"""),2.0)</f>
        <v>2</v>
      </c>
      <c r="J71" s="47" t="str">
        <f>IFERROR(__xludf.DUMMYFUNCTION("""COMPUTED_VALUE"""),"https:")</f>
        <v>https:</v>
      </c>
      <c r="K71" s="78" t="str">
        <f>IFERROR(__xludf.DUMMYFUNCTION("""COMPUTED_VALUE"""),"www.munzee.com")</f>
        <v>www.munzee.com</v>
      </c>
      <c r="L71" s="47" t="str">
        <f>IFERROR(__xludf.DUMMYFUNCTION("""COMPUTED_VALUE"""),"m")</f>
        <v>m</v>
      </c>
      <c r="M71" s="47" t="str">
        <f>IFERROR(__xludf.DUMMYFUNCTION("""COMPUTED_VALUE"""),"Andrew81")</f>
        <v>Andrew81</v>
      </c>
    </row>
    <row r="72">
      <c r="A72" s="47" t="str">
        <f>IFERROR(__xludf.DUMMYFUNCTION("""COMPUTED_VALUE"""),"Virtual Raw Sienna")</f>
        <v>Virtual Raw Sienna</v>
      </c>
      <c r="B72" s="47" t="str">
        <f>IFERROR(__xludf.DUMMYFUNCTION("""COMPUTED_VALUE"""),"IggiePiggie")</f>
        <v>IggiePiggie</v>
      </c>
      <c r="C72" s="78" t="str">
        <f>IFERROR(__xludf.DUMMYFUNCTION("""COMPUTED_VALUE"""),"https://www.munzee.com/m/IggiePiggie/1769/")</f>
        <v>https://www.munzee.com/m/IggiePiggie/1769/</v>
      </c>
      <c r="D72" s="47"/>
      <c r="E72" s="47" t="b">
        <f>IFERROR(__xludf.DUMMYFUNCTION("""COMPUTED_VALUE"""),TRUE)</f>
        <v>1</v>
      </c>
      <c r="F72" s="47" t="str">
        <f>IFERROR(__xludf.DUMMYFUNCTION("""COMPUTED_VALUE"""),"")</f>
        <v/>
      </c>
      <c r="G72" s="47" t="str">
        <f>IFERROR(__xludf.DUMMYFUNCTION("""COMPUTED_VALUE"""),"")</f>
        <v/>
      </c>
      <c r="H72" s="47"/>
      <c r="I72" s="47">
        <f>IFERROR(__xludf.DUMMYFUNCTION("""COMPUTED_VALUE"""),2.0)</f>
        <v>2</v>
      </c>
      <c r="J72" s="47" t="str">
        <f>IFERROR(__xludf.DUMMYFUNCTION("""COMPUTED_VALUE"""),"https:")</f>
        <v>https:</v>
      </c>
      <c r="K72" s="78" t="str">
        <f>IFERROR(__xludf.DUMMYFUNCTION("""COMPUTED_VALUE"""),"www.munzee.com")</f>
        <v>www.munzee.com</v>
      </c>
      <c r="L72" s="47" t="str">
        <f>IFERROR(__xludf.DUMMYFUNCTION("""COMPUTED_VALUE"""),"m")</f>
        <v>m</v>
      </c>
      <c r="M72" s="47" t="str">
        <f>IFERROR(__xludf.DUMMYFUNCTION("""COMPUTED_VALUE"""),"IggiePiggie")</f>
        <v>IggiePiggie</v>
      </c>
    </row>
    <row r="73">
      <c r="A73" s="47" t="str">
        <f>IFERROR(__xludf.DUMMYFUNCTION("""COMPUTED_VALUE"""),"Virtual Brown")</f>
        <v>Virtual Brown</v>
      </c>
      <c r="B73" s="47" t="str">
        <f>IFERROR(__xludf.DUMMYFUNCTION("""COMPUTED_VALUE"""),"ArtofEco")</f>
        <v>ArtofEco</v>
      </c>
      <c r="C73" s="78" t="str">
        <f>IFERROR(__xludf.DUMMYFUNCTION("""COMPUTED_VALUE"""),"https://www.munzee.com/m/ArtofEco/2886/")</f>
        <v>https://www.munzee.com/m/ArtofEco/2886/</v>
      </c>
      <c r="D73" s="47"/>
      <c r="E73" s="47" t="b">
        <f>IFERROR(__xludf.DUMMYFUNCTION("""COMPUTED_VALUE"""),TRUE)</f>
        <v>1</v>
      </c>
      <c r="F73" s="47" t="str">
        <f>IFERROR(__xludf.DUMMYFUNCTION("""COMPUTED_VALUE"""),"")</f>
        <v/>
      </c>
      <c r="G73" s="47" t="str">
        <f>IFERROR(__xludf.DUMMYFUNCTION("""COMPUTED_VALUE"""),"")</f>
        <v/>
      </c>
      <c r="H73" s="47"/>
      <c r="I73" s="47">
        <f>IFERROR(__xludf.DUMMYFUNCTION("""COMPUTED_VALUE"""),2.0)</f>
        <v>2</v>
      </c>
      <c r="J73" s="47" t="str">
        <f>IFERROR(__xludf.DUMMYFUNCTION("""COMPUTED_VALUE"""),"https:")</f>
        <v>https:</v>
      </c>
      <c r="K73" s="78" t="str">
        <f>IFERROR(__xludf.DUMMYFUNCTION("""COMPUTED_VALUE"""),"www.munzee.com")</f>
        <v>www.munzee.com</v>
      </c>
      <c r="L73" s="47" t="str">
        <f>IFERROR(__xludf.DUMMYFUNCTION("""COMPUTED_VALUE"""),"m")</f>
        <v>m</v>
      </c>
      <c r="M73" s="47" t="str">
        <f>IFERROR(__xludf.DUMMYFUNCTION("""COMPUTED_VALUE"""),"ArtofEco")</f>
        <v>ArtofEco</v>
      </c>
    </row>
    <row r="74">
      <c r="A74" s="47" t="str">
        <f>IFERROR(__xludf.DUMMYFUNCTION("""COMPUTED_VALUE"""),"Virtual Brown")</f>
        <v>Virtual Brown</v>
      </c>
      <c r="B74" s="47" t="str">
        <f>IFERROR(__xludf.DUMMYFUNCTION("""COMPUTED_VALUE"""),"Anetzet ")</f>
        <v>Anetzet </v>
      </c>
      <c r="C74" s="78" t="str">
        <f>IFERROR(__xludf.DUMMYFUNCTION("""COMPUTED_VALUE"""),"https://www.munzee.com/m/Anetzet/2523/")</f>
        <v>https://www.munzee.com/m/Anetzet/2523/</v>
      </c>
      <c r="D74" s="79"/>
      <c r="E74" s="47" t="b">
        <f>IFERROR(__xludf.DUMMYFUNCTION("""COMPUTED_VALUE"""),TRUE)</f>
        <v>1</v>
      </c>
      <c r="F74" s="47" t="str">
        <f>IFERROR(__xludf.DUMMYFUNCTION("""COMPUTED_VALUE"""),"")</f>
        <v/>
      </c>
      <c r="G74" s="47" t="str">
        <f>IFERROR(__xludf.DUMMYFUNCTION("""COMPUTED_VALUE"""),"")</f>
        <v/>
      </c>
      <c r="H74" s="47"/>
      <c r="I74" s="47">
        <f>IFERROR(__xludf.DUMMYFUNCTION("""COMPUTED_VALUE"""),2.0)</f>
        <v>2</v>
      </c>
      <c r="J74" s="47" t="str">
        <f>IFERROR(__xludf.DUMMYFUNCTION("""COMPUTED_VALUE"""),"https:")</f>
        <v>https:</v>
      </c>
      <c r="K74" s="78" t="str">
        <f>IFERROR(__xludf.DUMMYFUNCTION("""COMPUTED_VALUE"""),"www.munzee.com")</f>
        <v>www.munzee.com</v>
      </c>
      <c r="L74" s="47" t="str">
        <f>IFERROR(__xludf.DUMMYFUNCTION("""COMPUTED_VALUE"""),"m")</f>
        <v>m</v>
      </c>
      <c r="M74" s="47" t="str">
        <f>IFERROR(__xludf.DUMMYFUNCTION("""COMPUTED_VALUE"""),"Anetzet")</f>
        <v>Anetzet</v>
      </c>
    </row>
    <row r="75">
      <c r="A75" s="47" t="str">
        <f>IFERROR(__xludf.DUMMYFUNCTION("""COMPUTED_VALUE"""),"Virtual Brown")</f>
        <v>Virtual Brown</v>
      </c>
      <c r="B75" s="47" t="str">
        <f>IFERROR(__xludf.DUMMYFUNCTION("""COMPUTED_VALUE"""),"babyw")</f>
        <v>babyw</v>
      </c>
      <c r="C75" s="78" t="str">
        <f>IFERROR(__xludf.DUMMYFUNCTION("""COMPUTED_VALUE"""),"https://www.munzee.com/m/babyw/2848/")</f>
        <v>https://www.munzee.com/m/babyw/2848/</v>
      </c>
      <c r="D75" s="79"/>
      <c r="E75" s="47" t="b">
        <f>IFERROR(__xludf.DUMMYFUNCTION("""COMPUTED_VALUE"""),TRUE)</f>
        <v>1</v>
      </c>
      <c r="F75" s="47" t="str">
        <f>IFERROR(__xludf.DUMMYFUNCTION("""COMPUTED_VALUE"""),"")</f>
        <v/>
      </c>
      <c r="G75" s="47" t="str">
        <f>IFERROR(__xludf.DUMMYFUNCTION("""COMPUTED_VALUE"""),"")</f>
        <v/>
      </c>
      <c r="H75" s="47"/>
      <c r="I75" s="47">
        <f>IFERROR(__xludf.DUMMYFUNCTION("""COMPUTED_VALUE"""),2.0)</f>
        <v>2</v>
      </c>
      <c r="J75" s="47" t="str">
        <f>IFERROR(__xludf.DUMMYFUNCTION("""COMPUTED_VALUE"""),"https:")</f>
        <v>https:</v>
      </c>
      <c r="K75" s="78" t="str">
        <f>IFERROR(__xludf.DUMMYFUNCTION("""COMPUTED_VALUE"""),"www.munzee.com")</f>
        <v>www.munzee.com</v>
      </c>
      <c r="L75" s="47" t="str">
        <f>IFERROR(__xludf.DUMMYFUNCTION("""COMPUTED_VALUE"""),"m")</f>
        <v>m</v>
      </c>
      <c r="M75" s="47" t="str">
        <f>IFERROR(__xludf.DUMMYFUNCTION("""COMPUTED_VALUE"""),"babyw")</f>
        <v>babyw</v>
      </c>
    </row>
    <row r="76">
      <c r="A76" s="47" t="str">
        <f>IFERROR(__xludf.DUMMYFUNCTION("""COMPUTED_VALUE"""),"Virtual Raw Sienna")</f>
        <v>Virtual Raw Sienna</v>
      </c>
      <c r="B76" s="47" t="str">
        <f>IFERROR(__xludf.DUMMYFUNCTION("""COMPUTED_VALUE"""),"WiseOldWizard")</f>
        <v>WiseOldWizard</v>
      </c>
      <c r="C76" s="78" t="str">
        <f>IFERROR(__xludf.DUMMYFUNCTION("""COMPUTED_VALUE"""),"https://www.munzee.com/m/WiseOldWizard/3935/")</f>
        <v>https://www.munzee.com/m/WiseOldWizard/3935/</v>
      </c>
      <c r="D76" s="47"/>
      <c r="E76" s="47" t="b">
        <f>IFERROR(__xludf.DUMMYFUNCTION("""COMPUTED_VALUE"""),TRUE)</f>
        <v>1</v>
      </c>
      <c r="F76" s="47" t="str">
        <f>IFERROR(__xludf.DUMMYFUNCTION("""COMPUTED_VALUE"""),"")</f>
        <v/>
      </c>
      <c r="G76" s="47" t="str">
        <f>IFERROR(__xludf.DUMMYFUNCTION("""COMPUTED_VALUE"""),"")</f>
        <v/>
      </c>
      <c r="H76" s="47"/>
      <c r="I76" s="47">
        <f>IFERROR(__xludf.DUMMYFUNCTION("""COMPUTED_VALUE"""),2.0)</f>
        <v>2</v>
      </c>
      <c r="J76" s="47" t="str">
        <f>IFERROR(__xludf.DUMMYFUNCTION("""COMPUTED_VALUE"""),"https:")</f>
        <v>https:</v>
      </c>
      <c r="K76" s="78" t="str">
        <f>IFERROR(__xludf.DUMMYFUNCTION("""COMPUTED_VALUE"""),"www.munzee.com")</f>
        <v>www.munzee.com</v>
      </c>
      <c r="L76" s="47" t="str">
        <f>IFERROR(__xludf.DUMMYFUNCTION("""COMPUTED_VALUE"""),"m")</f>
        <v>m</v>
      </c>
      <c r="M76" s="47" t="str">
        <f>IFERROR(__xludf.DUMMYFUNCTION("""COMPUTED_VALUE"""),"WiseOldWizard")</f>
        <v>WiseOldWizard</v>
      </c>
    </row>
    <row r="77">
      <c r="A77" s="47" t="str">
        <f>IFERROR(__xludf.DUMMYFUNCTION("""COMPUTED_VALUE"""),"Virtual Brown")</f>
        <v>Virtual Brown</v>
      </c>
      <c r="B77" s="47" t="str">
        <f>IFERROR(__xludf.DUMMYFUNCTION("""COMPUTED_VALUE"""),"cbf600")</f>
        <v>cbf600</v>
      </c>
      <c r="C77" s="78" t="str">
        <f>IFERROR(__xludf.DUMMYFUNCTION("""COMPUTED_VALUE"""),"https://www.munzee.com/m/cbf600/2349/")</f>
        <v>https://www.munzee.com/m/cbf600/2349/</v>
      </c>
      <c r="D77" s="47"/>
      <c r="E77" s="47" t="b">
        <f>IFERROR(__xludf.DUMMYFUNCTION("""COMPUTED_VALUE"""),TRUE)</f>
        <v>1</v>
      </c>
      <c r="F77" s="47" t="str">
        <f>IFERROR(__xludf.DUMMYFUNCTION("""COMPUTED_VALUE"""),"")</f>
        <v/>
      </c>
      <c r="G77" s="47" t="str">
        <f>IFERROR(__xludf.DUMMYFUNCTION("""COMPUTED_VALUE"""),"")</f>
        <v/>
      </c>
      <c r="H77" s="47"/>
      <c r="I77" s="47">
        <f>IFERROR(__xludf.DUMMYFUNCTION("""COMPUTED_VALUE"""),2.0)</f>
        <v>2</v>
      </c>
      <c r="J77" s="47" t="str">
        <f>IFERROR(__xludf.DUMMYFUNCTION("""COMPUTED_VALUE"""),"https:")</f>
        <v>https:</v>
      </c>
      <c r="K77" s="78" t="str">
        <f>IFERROR(__xludf.DUMMYFUNCTION("""COMPUTED_VALUE"""),"www.munzee.com")</f>
        <v>www.munzee.com</v>
      </c>
      <c r="L77" s="47" t="str">
        <f>IFERROR(__xludf.DUMMYFUNCTION("""COMPUTED_VALUE"""),"m")</f>
        <v>m</v>
      </c>
      <c r="M77" s="47" t="str">
        <f>IFERROR(__xludf.DUMMYFUNCTION("""COMPUTED_VALUE"""),"cbf600")</f>
        <v>cbf600</v>
      </c>
    </row>
    <row r="78">
      <c r="A78" s="47" t="str">
        <f>IFERROR(__xludf.DUMMYFUNCTION("""COMPUTED_VALUE"""),"Virtual Brown")</f>
        <v>Virtual Brown</v>
      </c>
      <c r="B78" s="47" t="str">
        <f>IFERROR(__xludf.DUMMYFUNCTION("""COMPUTED_VALUE"""),"Lonelywalker")</f>
        <v>Lonelywalker</v>
      </c>
      <c r="C78" s="78" t="str">
        <f>IFERROR(__xludf.DUMMYFUNCTION("""COMPUTED_VALUE"""),"https://www.munzee.com/m/LonelyWalker/412/")</f>
        <v>https://www.munzee.com/m/LonelyWalker/412/</v>
      </c>
      <c r="D78" s="47"/>
      <c r="E78" s="47" t="b">
        <f>IFERROR(__xludf.DUMMYFUNCTION("""COMPUTED_VALUE"""),TRUE)</f>
        <v>1</v>
      </c>
      <c r="F78" s="80"/>
      <c r="G78" s="47" t="str">
        <f>IFERROR(__xludf.DUMMYFUNCTION("""COMPUTED_VALUE"""),"")</f>
        <v/>
      </c>
      <c r="H78" s="47"/>
      <c r="I78" s="47">
        <f>IFERROR(__xludf.DUMMYFUNCTION("""COMPUTED_VALUE"""),2.0)</f>
        <v>2</v>
      </c>
      <c r="J78" s="47" t="str">
        <f>IFERROR(__xludf.DUMMYFUNCTION("""COMPUTED_VALUE"""),"https:")</f>
        <v>https:</v>
      </c>
      <c r="K78" s="78" t="str">
        <f>IFERROR(__xludf.DUMMYFUNCTION("""COMPUTED_VALUE"""),"www.munzee.com")</f>
        <v>www.munzee.com</v>
      </c>
      <c r="L78" s="47" t="str">
        <f>IFERROR(__xludf.DUMMYFUNCTION("""COMPUTED_VALUE"""),"m")</f>
        <v>m</v>
      </c>
      <c r="M78" s="47" t="str">
        <f>IFERROR(__xludf.DUMMYFUNCTION("""COMPUTED_VALUE"""),"LonelyWalker")</f>
        <v>LonelyWalker</v>
      </c>
    </row>
    <row r="79">
      <c r="A79" s="47" t="str">
        <f>IFERROR(__xludf.DUMMYFUNCTION("""COMPUTED_VALUE"""),"Virtual Raw Sienna")</f>
        <v>Virtual Raw Sienna</v>
      </c>
      <c r="B79" s="47" t="str">
        <f>IFERROR(__xludf.DUMMYFUNCTION("""COMPUTED_VALUE"""),"Aniara")</f>
        <v>Aniara</v>
      </c>
      <c r="C79" s="78" t="str">
        <f>IFERROR(__xludf.DUMMYFUNCTION("""COMPUTED_VALUE"""),"https://www.munzee.com/m/Aniara/6512/")</f>
        <v>https://www.munzee.com/m/Aniara/6512/</v>
      </c>
      <c r="D79" s="47"/>
      <c r="E79" s="47" t="b">
        <f>IFERROR(__xludf.DUMMYFUNCTION("""COMPUTED_VALUE"""),TRUE)</f>
        <v>1</v>
      </c>
      <c r="F79" s="47" t="str">
        <f>IFERROR(__xludf.DUMMYFUNCTION("""COMPUTED_VALUE"""),"")</f>
        <v/>
      </c>
      <c r="G79" s="47" t="str">
        <f>IFERROR(__xludf.DUMMYFUNCTION("""COMPUTED_VALUE"""),"")</f>
        <v/>
      </c>
      <c r="H79" s="47"/>
      <c r="I79" s="47">
        <f>IFERROR(__xludf.DUMMYFUNCTION("""COMPUTED_VALUE"""),2.0)</f>
        <v>2</v>
      </c>
      <c r="J79" s="47" t="str">
        <f>IFERROR(__xludf.DUMMYFUNCTION("""COMPUTED_VALUE"""),"https:")</f>
        <v>https:</v>
      </c>
      <c r="K79" s="78" t="str">
        <f>IFERROR(__xludf.DUMMYFUNCTION("""COMPUTED_VALUE"""),"www.munzee.com")</f>
        <v>www.munzee.com</v>
      </c>
      <c r="L79" s="47" t="str">
        <f>IFERROR(__xludf.DUMMYFUNCTION("""COMPUTED_VALUE"""),"m")</f>
        <v>m</v>
      </c>
      <c r="M79" s="47" t="str">
        <f>IFERROR(__xludf.DUMMYFUNCTION("""COMPUTED_VALUE"""),"Aniara")</f>
        <v>Aniara</v>
      </c>
    </row>
    <row r="80">
      <c r="A80" s="47" t="str">
        <f>IFERROR(__xludf.DUMMYFUNCTION("""COMPUTED_VALUE"""),"Virtual Brown")</f>
        <v>Virtual Brown</v>
      </c>
      <c r="B80" s="47" t="str">
        <f>IFERROR(__xludf.DUMMYFUNCTION("""COMPUTED_VALUE"""),"Drazoria")</f>
        <v>Drazoria</v>
      </c>
      <c r="C80" s="78" t="str">
        <f>IFERROR(__xludf.DUMMYFUNCTION("""COMPUTED_VALUE"""),"https://www.munzee.com/m/Drazoria/657/")</f>
        <v>https://www.munzee.com/m/Drazoria/657/</v>
      </c>
      <c r="D80" s="47"/>
      <c r="E80" s="47" t="b">
        <f>IFERROR(__xludf.DUMMYFUNCTION("""COMPUTED_VALUE"""),TRUE)</f>
        <v>1</v>
      </c>
      <c r="F80" s="47" t="str">
        <f>IFERROR(__xludf.DUMMYFUNCTION("""COMPUTED_VALUE"""),"")</f>
        <v/>
      </c>
      <c r="G80" s="47" t="str">
        <f>IFERROR(__xludf.DUMMYFUNCTION("""COMPUTED_VALUE"""),"")</f>
        <v/>
      </c>
      <c r="H80" s="47"/>
      <c r="I80" s="47">
        <f>IFERROR(__xludf.DUMMYFUNCTION("""COMPUTED_VALUE"""),2.0)</f>
        <v>2</v>
      </c>
      <c r="J80" s="47" t="str">
        <f>IFERROR(__xludf.DUMMYFUNCTION("""COMPUTED_VALUE"""),"https:")</f>
        <v>https:</v>
      </c>
      <c r="K80" s="78" t="str">
        <f>IFERROR(__xludf.DUMMYFUNCTION("""COMPUTED_VALUE"""),"www.munzee.com")</f>
        <v>www.munzee.com</v>
      </c>
      <c r="L80" s="47" t="str">
        <f>IFERROR(__xludf.DUMMYFUNCTION("""COMPUTED_VALUE"""),"m")</f>
        <v>m</v>
      </c>
      <c r="M80" s="47" t="str">
        <f>IFERROR(__xludf.DUMMYFUNCTION("""COMPUTED_VALUE"""),"Drazoria")</f>
        <v>Drazoria</v>
      </c>
    </row>
    <row r="81">
      <c r="A81" s="47" t="str">
        <f>IFERROR(__xludf.DUMMYFUNCTION("""COMPUTED_VALUE"""),"Virtual Raw Sienna")</f>
        <v>Virtual Raw Sienna</v>
      </c>
      <c r="B81" s="47" t="str">
        <f>IFERROR(__xludf.DUMMYFUNCTION("""COMPUTED_VALUE"""),"Tinake1309")</f>
        <v>Tinake1309</v>
      </c>
      <c r="C81" s="78" t="str">
        <f>IFERROR(__xludf.DUMMYFUNCTION("""COMPUTED_VALUE"""),"https://www.munzee.com/m/Tinake1309/647/")</f>
        <v>https://www.munzee.com/m/Tinake1309/647/</v>
      </c>
      <c r="D81" s="47"/>
      <c r="E81" s="47" t="b">
        <f>IFERROR(__xludf.DUMMYFUNCTION("""COMPUTED_VALUE"""),TRUE)</f>
        <v>1</v>
      </c>
      <c r="F81" s="47" t="str">
        <f>IFERROR(__xludf.DUMMYFUNCTION("""COMPUTED_VALUE"""),"")</f>
        <v/>
      </c>
      <c r="G81" s="47" t="str">
        <f>IFERROR(__xludf.DUMMYFUNCTION("""COMPUTED_VALUE"""),"")</f>
        <v/>
      </c>
      <c r="H81" s="47"/>
      <c r="I81" s="47">
        <f>IFERROR(__xludf.DUMMYFUNCTION("""COMPUTED_VALUE"""),2.0)</f>
        <v>2</v>
      </c>
      <c r="J81" s="47" t="str">
        <f>IFERROR(__xludf.DUMMYFUNCTION("""COMPUTED_VALUE"""),"https:")</f>
        <v>https:</v>
      </c>
      <c r="K81" s="78" t="str">
        <f>IFERROR(__xludf.DUMMYFUNCTION("""COMPUTED_VALUE"""),"www.munzee.com")</f>
        <v>www.munzee.com</v>
      </c>
      <c r="L81" s="47" t="str">
        <f>IFERROR(__xludf.DUMMYFUNCTION("""COMPUTED_VALUE"""),"m")</f>
        <v>m</v>
      </c>
      <c r="M81" s="47" t="str">
        <f>IFERROR(__xludf.DUMMYFUNCTION("""COMPUTED_VALUE"""),"Tinake1309")</f>
        <v>Tinake1309</v>
      </c>
    </row>
    <row r="82">
      <c r="A82" s="47" t="str">
        <f>IFERROR(__xludf.DUMMYFUNCTION("""COMPUTED_VALUE"""),"Virtual Brown")</f>
        <v>Virtual Brown</v>
      </c>
      <c r="B82" s="47" t="str">
        <f>IFERROR(__xludf.DUMMYFUNCTION("""COMPUTED_VALUE"""),"Berg14 ")</f>
        <v>Berg14 </v>
      </c>
      <c r="C82" s="78" t="str">
        <f>IFERROR(__xludf.DUMMYFUNCTION("""COMPUTED_VALUE"""),"https://www.munzee.com/m/Berg14/441/")</f>
        <v>https://www.munzee.com/m/Berg14/441/</v>
      </c>
      <c r="D82" s="47"/>
      <c r="E82" s="47" t="b">
        <f>IFERROR(__xludf.DUMMYFUNCTION("""COMPUTED_VALUE"""),TRUE)</f>
        <v>1</v>
      </c>
      <c r="F82" s="47" t="str">
        <f>IFERROR(__xludf.DUMMYFUNCTION("""COMPUTED_VALUE"""),"")</f>
        <v/>
      </c>
      <c r="G82" s="47" t="str">
        <f>IFERROR(__xludf.DUMMYFUNCTION("""COMPUTED_VALUE"""),"")</f>
        <v/>
      </c>
      <c r="H82" s="47"/>
      <c r="I82" s="47">
        <f>IFERROR(__xludf.DUMMYFUNCTION("""COMPUTED_VALUE"""),2.0)</f>
        <v>2</v>
      </c>
      <c r="J82" s="47" t="str">
        <f>IFERROR(__xludf.DUMMYFUNCTION("""COMPUTED_VALUE"""),"https:")</f>
        <v>https:</v>
      </c>
      <c r="K82" s="78" t="str">
        <f>IFERROR(__xludf.DUMMYFUNCTION("""COMPUTED_VALUE"""),"www.munzee.com")</f>
        <v>www.munzee.com</v>
      </c>
      <c r="L82" s="47" t="str">
        <f>IFERROR(__xludf.DUMMYFUNCTION("""COMPUTED_VALUE"""),"m")</f>
        <v>m</v>
      </c>
      <c r="M82" s="47" t="str">
        <f>IFERROR(__xludf.DUMMYFUNCTION("""COMPUTED_VALUE"""),"Berg14")</f>
        <v>Berg14</v>
      </c>
    </row>
    <row r="83">
      <c r="A83" s="47" t="str">
        <f>IFERROR(__xludf.DUMMYFUNCTION("""COMPUTED_VALUE"""),"Virtual Brown")</f>
        <v>Virtual Brown</v>
      </c>
      <c r="B83" s="47" t="str">
        <f>IFERROR(__xludf.DUMMYFUNCTION("""COMPUTED_VALUE"""),"Niks13")</f>
        <v>Niks13</v>
      </c>
      <c r="C83" s="78" t="str">
        <f>IFERROR(__xludf.DUMMYFUNCTION("""COMPUTED_VALUE"""),"https://www.munzee.com/m/Niks13/411/")</f>
        <v>https://www.munzee.com/m/Niks13/411/</v>
      </c>
      <c r="D83" s="47"/>
      <c r="E83" s="47" t="b">
        <f>IFERROR(__xludf.DUMMYFUNCTION("""COMPUTED_VALUE"""),TRUE)</f>
        <v>1</v>
      </c>
      <c r="F83" s="47" t="str">
        <f>IFERROR(__xludf.DUMMYFUNCTION("""COMPUTED_VALUE"""),"")</f>
        <v/>
      </c>
      <c r="G83" s="47" t="str">
        <f>IFERROR(__xludf.DUMMYFUNCTION("""COMPUTED_VALUE"""),"")</f>
        <v/>
      </c>
      <c r="H83" s="47"/>
      <c r="I83" s="47">
        <f>IFERROR(__xludf.DUMMYFUNCTION("""COMPUTED_VALUE"""),2.0)</f>
        <v>2</v>
      </c>
      <c r="J83" s="47" t="str">
        <f>IFERROR(__xludf.DUMMYFUNCTION("""COMPUTED_VALUE"""),"https:")</f>
        <v>https:</v>
      </c>
      <c r="K83" s="78" t="str">
        <f>IFERROR(__xludf.DUMMYFUNCTION("""COMPUTED_VALUE"""),"www.munzee.com")</f>
        <v>www.munzee.com</v>
      </c>
      <c r="L83" s="47" t="str">
        <f>IFERROR(__xludf.DUMMYFUNCTION("""COMPUTED_VALUE"""),"m")</f>
        <v>m</v>
      </c>
      <c r="M83" s="47" t="str">
        <f>IFERROR(__xludf.DUMMYFUNCTION("""COMPUTED_VALUE"""),"Niks13")</f>
        <v>Niks13</v>
      </c>
    </row>
    <row r="84">
      <c r="A84" s="47" t="str">
        <f>IFERROR(__xludf.DUMMYFUNCTION("""COMPUTED_VALUE"""),"Virtual Brown")</f>
        <v>Virtual Brown</v>
      </c>
      <c r="B84" s="47" t="str">
        <f>IFERROR(__xludf.DUMMYFUNCTION("""COMPUTED_VALUE"""),"bambinacattiva")</f>
        <v>bambinacattiva</v>
      </c>
      <c r="C84" s="78" t="str">
        <f>IFERROR(__xludf.DUMMYFUNCTION("""COMPUTED_VALUE"""),"https://www.munzee.com/m/Bambinacattiva/614")</f>
        <v>https://www.munzee.com/m/Bambinacattiva/614</v>
      </c>
      <c r="D84" s="47"/>
      <c r="E84" s="47" t="b">
        <f>IFERROR(__xludf.DUMMYFUNCTION("""COMPUTED_VALUE"""),TRUE)</f>
        <v>1</v>
      </c>
      <c r="F84" s="47" t="str">
        <f>IFERROR(__xludf.DUMMYFUNCTION("""COMPUTED_VALUE"""),"")</f>
        <v/>
      </c>
      <c r="G84" s="47" t="str">
        <f>IFERROR(__xludf.DUMMYFUNCTION("""COMPUTED_VALUE"""),"")</f>
        <v/>
      </c>
      <c r="H84" s="47"/>
      <c r="I84" s="47">
        <f>IFERROR(__xludf.DUMMYFUNCTION("""COMPUTED_VALUE"""),2.0)</f>
        <v>2</v>
      </c>
      <c r="J84" s="47" t="str">
        <f>IFERROR(__xludf.DUMMYFUNCTION("""COMPUTED_VALUE"""),"https:")</f>
        <v>https:</v>
      </c>
      <c r="K84" s="78" t="str">
        <f>IFERROR(__xludf.DUMMYFUNCTION("""COMPUTED_VALUE"""),"www.munzee.com")</f>
        <v>www.munzee.com</v>
      </c>
      <c r="L84" s="47" t="str">
        <f>IFERROR(__xludf.DUMMYFUNCTION("""COMPUTED_VALUE"""),"m")</f>
        <v>m</v>
      </c>
      <c r="M84" s="47" t="str">
        <f>IFERROR(__xludf.DUMMYFUNCTION("""COMPUTED_VALUE"""),"Bambinacattiva")</f>
        <v>Bambinacattiva</v>
      </c>
    </row>
    <row r="85">
      <c r="A85" s="47" t="str">
        <f>IFERROR(__xludf.DUMMYFUNCTION("""COMPUTED_VALUE"""),"Virtual Brown")</f>
        <v>Virtual Brown</v>
      </c>
      <c r="B85" s="47" t="str">
        <f>IFERROR(__xludf.DUMMYFUNCTION("""COMPUTED_VALUE"""),"amigoth2de")</f>
        <v>amigoth2de</v>
      </c>
      <c r="C85" s="78" t="str">
        <f>IFERROR(__xludf.DUMMYFUNCTION("""COMPUTED_VALUE"""),"https://www.munzee.com/m/amigoth2de/1661/")</f>
        <v>https://www.munzee.com/m/amigoth2de/1661/</v>
      </c>
      <c r="D85" s="47"/>
      <c r="E85" s="47" t="b">
        <f>IFERROR(__xludf.DUMMYFUNCTION("""COMPUTED_VALUE"""),TRUE)</f>
        <v>1</v>
      </c>
      <c r="F85" s="47" t="str">
        <f>IFERROR(__xludf.DUMMYFUNCTION("""COMPUTED_VALUE"""),"")</f>
        <v/>
      </c>
      <c r="G85" s="47" t="str">
        <f>IFERROR(__xludf.DUMMYFUNCTION("""COMPUTED_VALUE"""),"")</f>
        <v/>
      </c>
      <c r="H85" s="47"/>
      <c r="I85" s="47">
        <f>IFERROR(__xludf.DUMMYFUNCTION("""COMPUTED_VALUE"""),2.0)</f>
        <v>2</v>
      </c>
      <c r="J85" s="47" t="str">
        <f>IFERROR(__xludf.DUMMYFUNCTION("""COMPUTED_VALUE"""),"https:")</f>
        <v>https:</v>
      </c>
      <c r="K85" s="78" t="str">
        <f>IFERROR(__xludf.DUMMYFUNCTION("""COMPUTED_VALUE"""),"www.munzee.com")</f>
        <v>www.munzee.com</v>
      </c>
      <c r="L85" s="47" t="str">
        <f>IFERROR(__xludf.DUMMYFUNCTION("""COMPUTED_VALUE"""),"m")</f>
        <v>m</v>
      </c>
      <c r="M85" s="47" t="str">
        <f>IFERROR(__xludf.DUMMYFUNCTION("""COMPUTED_VALUE"""),"amigoth2de")</f>
        <v>amigoth2de</v>
      </c>
    </row>
    <row r="86">
      <c r="A86" s="47" t="str">
        <f>IFERROR(__xludf.DUMMYFUNCTION("""COMPUTED_VALUE"""),"Virtual Brown")</f>
        <v>Virtual Brown</v>
      </c>
      <c r="B86" s="47" t="str">
        <f>IFERROR(__xludf.DUMMYFUNCTION("""COMPUTED_VALUE"""),"GroteSufferd")</f>
        <v>GroteSufferd</v>
      </c>
      <c r="C86" s="78" t="str">
        <f>IFERROR(__xludf.DUMMYFUNCTION("""COMPUTED_VALUE"""),"https://www.munzee.com/m/GroteSufferd/306/")</f>
        <v>https://www.munzee.com/m/GroteSufferd/306/</v>
      </c>
      <c r="D86" s="47"/>
      <c r="E86" s="47" t="b">
        <f>IFERROR(__xludf.DUMMYFUNCTION("""COMPUTED_VALUE"""),TRUE)</f>
        <v>1</v>
      </c>
      <c r="F86" s="47" t="str">
        <f>IFERROR(__xludf.DUMMYFUNCTION("""COMPUTED_VALUE"""),"")</f>
        <v/>
      </c>
      <c r="G86" s="47" t="str">
        <f>IFERROR(__xludf.DUMMYFUNCTION("""COMPUTED_VALUE"""),"")</f>
        <v/>
      </c>
      <c r="H86" s="47"/>
      <c r="I86" s="47">
        <f>IFERROR(__xludf.DUMMYFUNCTION("""COMPUTED_VALUE"""),2.0)</f>
        <v>2</v>
      </c>
      <c r="J86" s="47" t="str">
        <f>IFERROR(__xludf.DUMMYFUNCTION("""COMPUTED_VALUE"""),"https:")</f>
        <v>https:</v>
      </c>
      <c r="K86" s="78" t="str">
        <f>IFERROR(__xludf.DUMMYFUNCTION("""COMPUTED_VALUE"""),"www.munzee.com")</f>
        <v>www.munzee.com</v>
      </c>
      <c r="L86" s="47" t="str">
        <f>IFERROR(__xludf.DUMMYFUNCTION("""COMPUTED_VALUE"""),"m")</f>
        <v>m</v>
      </c>
      <c r="M86" s="47" t="str">
        <f>IFERROR(__xludf.DUMMYFUNCTION("""COMPUTED_VALUE"""),"GroteSufferd")</f>
        <v>GroteSufferd</v>
      </c>
    </row>
    <row r="87">
      <c r="A87" s="47" t="str">
        <f>IFERROR(__xludf.DUMMYFUNCTION("""COMPUTED_VALUE"""),"Virtual Brown")</f>
        <v>Virtual Brown</v>
      </c>
      <c r="B87" s="47" t="str">
        <f>IFERROR(__xludf.DUMMYFUNCTION("""COMPUTED_VALUE"""),"Hoekraam")</f>
        <v>Hoekraam</v>
      </c>
      <c r="C87" s="78" t="str">
        <f>IFERROR(__xludf.DUMMYFUNCTION("""COMPUTED_VALUE"""),"https://www.munzee.com/m/hoekraam/6641/")</f>
        <v>https://www.munzee.com/m/hoekraam/6641/</v>
      </c>
      <c r="D87" s="47"/>
      <c r="E87" s="47" t="b">
        <f>IFERROR(__xludf.DUMMYFUNCTION("""COMPUTED_VALUE"""),TRUE)</f>
        <v>1</v>
      </c>
      <c r="F87" s="47"/>
      <c r="G87" s="47" t="str">
        <f>IFERROR(__xludf.DUMMYFUNCTION("""COMPUTED_VALUE"""),"")</f>
        <v/>
      </c>
      <c r="H87" s="47"/>
      <c r="I87" s="47">
        <f>IFERROR(__xludf.DUMMYFUNCTION("""COMPUTED_VALUE"""),2.0)</f>
        <v>2</v>
      </c>
      <c r="J87" s="47" t="str">
        <f>IFERROR(__xludf.DUMMYFUNCTION("""COMPUTED_VALUE"""),"https:")</f>
        <v>https:</v>
      </c>
      <c r="K87" s="78" t="str">
        <f>IFERROR(__xludf.DUMMYFUNCTION("""COMPUTED_VALUE"""),"www.munzee.com")</f>
        <v>www.munzee.com</v>
      </c>
      <c r="L87" s="47" t="str">
        <f>IFERROR(__xludf.DUMMYFUNCTION("""COMPUTED_VALUE"""),"m")</f>
        <v>m</v>
      </c>
      <c r="M87" s="47" t="str">
        <f>IFERROR(__xludf.DUMMYFUNCTION("""COMPUTED_VALUE"""),"hoekraam")</f>
        <v>hoekraam</v>
      </c>
    </row>
    <row r="88">
      <c r="A88" s="47" t="str">
        <f>IFERROR(__xludf.DUMMYFUNCTION("""COMPUTED_VALUE"""),"Virtual Brown")</f>
        <v>Virtual Brown</v>
      </c>
      <c r="B88" s="47" t="str">
        <f>IFERROR(__xludf.DUMMYFUNCTION("""COMPUTED_VALUE"""),"Questing4 ")</f>
        <v>Questing4 </v>
      </c>
      <c r="C88" s="78" t="str">
        <f>IFERROR(__xludf.DUMMYFUNCTION("""COMPUTED_VALUE"""),"https://www.munzee.com/m/Questing4/7105")</f>
        <v>https://www.munzee.com/m/Questing4/7105</v>
      </c>
      <c r="D88" s="47"/>
      <c r="E88" s="47" t="b">
        <f>IFERROR(__xludf.DUMMYFUNCTION("""COMPUTED_VALUE"""),TRUE)</f>
        <v>1</v>
      </c>
      <c r="F88" s="47" t="str">
        <f>IFERROR(__xludf.DUMMYFUNCTION("""COMPUTED_VALUE"""),"")</f>
        <v/>
      </c>
      <c r="G88" s="47" t="str">
        <f>IFERROR(__xludf.DUMMYFUNCTION("""COMPUTED_VALUE"""),"")</f>
        <v/>
      </c>
      <c r="H88" s="47"/>
      <c r="I88" s="47">
        <f>IFERROR(__xludf.DUMMYFUNCTION("""COMPUTED_VALUE"""),2.0)</f>
        <v>2</v>
      </c>
      <c r="J88" s="47" t="str">
        <f>IFERROR(__xludf.DUMMYFUNCTION("""COMPUTED_VALUE"""),"https:")</f>
        <v>https:</v>
      </c>
      <c r="K88" s="78" t="str">
        <f>IFERROR(__xludf.DUMMYFUNCTION("""COMPUTED_VALUE"""),"www.munzee.com")</f>
        <v>www.munzee.com</v>
      </c>
      <c r="L88" s="47" t="str">
        <f>IFERROR(__xludf.DUMMYFUNCTION("""COMPUTED_VALUE"""),"m")</f>
        <v>m</v>
      </c>
      <c r="M88" s="47" t="str">
        <f>IFERROR(__xludf.DUMMYFUNCTION("""COMPUTED_VALUE"""),"Questing4")</f>
        <v>Questing4</v>
      </c>
    </row>
    <row r="89">
      <c r="A89" s="47" t="str">
        <f>IFERROR(__xludf.DUMMYFUNCTION("""COMPUTED_VALUE"""),"Virtual Raw Sienna")</f>
        <v>Virtual Raw Sienna</v>
      </c>
      <c r="B89" s="47" t="str">
        <f>IFERROR(__xludf.DUMMYFUNCTION("""COMPUTED_VALUE"""),"rgforsythe")</f>
        <v>rgforsythe</v>
      </c>
      <c r="C89" s="78" t="str">
        <f>IFERROR(__xludf.DUMMYFUNCTION("""COMPUTED_VALUE"""),"https://www.munzee.com/m/rgforsythe/8522")</f>
        <v>https://www.munzee.com/m/rgforsythe/8522</v>
      </c>
      <c r="D89" s="47"/>
      <c r="E89" s="47" t="b">
        <f>IFERROR(__xludf.DUMMYFUNCTION("""COMPUTED_VALUE"""),TRUE)</f>
        <v>1</v>
      </c>
      <c r="F89" s="47" t="str">
        <f>IFERROR(__xludf.DUMMYFUNCTION("""COMPUTED_VALUE"""),"")</f>
        <v/>
      </c>
      <c r="G89" s="47" t="str">
        <f>IFERROR(__xludf.DUMMYFUNCTION("""COMPUTED_VALUE"""),"")</f>
        <v/>
      </c>
      <c r="H89" s="47"/>
      <c r="I89" s="47">
        <f>IFERROR(__xludf.DUMMYFUNCTION("""COMPUTED_VALUE"""),2.0)</f>
        <v>2</v>
      </c>
      <c r="J89" s="47" t="str">
        <f>IFERROR(__xludf.DUMMYFUNCTION("""COMPUTED_VALUE"""),"https:")</f>
        <v>https:</v>
      </c>
      <c r="K89" s="78" t="str">
        <f>IFERROR(__xludf.DUMMYFUNCTION("""COMPUTED_VALUE"""),"www.munzee.com")</f>
        <v>www.munzee.com</v>
      </c>
      <c r="L89" s="47" t="str">
        <f>IFERROR(__xludf.DUMMYFUNCTION("""COMPUTED_VALUE"""),"m")</f>
        <v>m</v>
      </c>
      <c r="M89" s="47" t="str">
        <f>IFERROR(__xludf.DUMMYFUNCTION("""COMPUTED_VALUE"""),"rgforsythe")</f>
        <v>rgforsythe</v>
      </c>
    </row>
    <row r="90">
      <c r="A90" s="47" t="str">
        <f>IFERROR(__xludf.DUMMYFUNCTION("""COMPUTED_VALUE"""),"Virtual Brown")</f>
        <v>Virtual Brown</v>
      </c>
      <c r="B90" s="47" t="str">
        <f>IFERROR(__xludf.DUMMYFUNCTION("""COMPUTED_VALUE"""),"OdinsFiRe")</f>
        <v>OdinsFiRe</v>
      </c>
      <c r="C90" s="78" t="str">
        <f>IFERROR(__xludf.DUMMYFUNCTION("""COMPUTED_VALUE"""),"https://www.munzee.com/m/OdinsFiRe/1520")</f>
        <v>https://www.munzee.com/m/OdinsFiRe/1520</v>
      </c>
      <c r="D90" s="47"/>
      <c r="E90" s="47" t="b">
        <f>IFERROR(__xludf.DUMMYFUNCTION("""COMPUTED_VALUE"""),TRUE)</f>
        <v>1</v>
      </c>
      <c r="F90" s="47" t="str">
        <f>IFERROR(__xludf.DUMMYFUNCTION("""COMPUTED_VALUE"""),"")</f>
        <v/>
      </c>
      <c r="G90" s="47" t="str">
        <f>IFERROR(__xludf.DUMMYFUNCTION("""COMPUTED_VALUE"""),"")</f>
        <v/>
      </c>
      <c r="H90" s="47"/>
      <c r="I90" s="47">
        <f>IFERROR(__xludf.DUMMYFUNCTION("""COMPUTED_VALUE"""),2.0)</f>
        <v>2</v>
      </c>
      <c r="J90" s="47" t="str">
        <f>IFERROR(__xludf.DUMMYFUNCTION("""COMPUTED_VALUE"""),"https:")</f>
        <v>https:</v>
      </c>
      <c r="K90" s="78" t="str">
        <f>IFERROR(__xludf.DUMMYFUNCTION("""COMPUTED_VALUE"""),"www.munzee.com")</f>
        <v>www.munzee.com</v>
      </c>
      <c r="L90" s="47" t="str">
        <f>IFERROR(__xludf.DUMMYFUNCTION("""COMPUTED_VALUE"""),"m")</f>
        <v>m</v>
      </c>
      <c r="M90" s="47" t="str">
        <f>IFERROR(__xludf.DUMMYFUNCTION("""COMPUTED_VALUE"""),"OdinsFiRe")</f>
        <v>OdinsFiRe</v>
      </c>
    </row>
    <row r="91">
      <c r="A91" s="47" t="str">
        <f>IFERROR(__xludf.DUMMYFUNCTION("""COMPUTED_VALUE"""),"Virtual Brown")</f>
        <v>Virtual Brown</v>
      </c>
      <c r="B91" s="47" t="str">
        <f>IFERROR(__xludf.DUMMYFUNCTION("""COMPUTED_VALUE"""),"RoxieMama")</f>
        <v>RoxieMama</v>
      </c>
      <c r="C91" s="78" t="str">
        <f>IFERROR(__xludf.DUMMYFUNCTION("""COMPUTED_VALUE"""),"https://www.munzee.com/m/roxiemama/142")</f>
        <v>https://www.munzee.com/m/roxiemama/142</v>
      </c>
      <c r="D91" s="47"/>
      <c r="E91" s="47" t="b">
        <f>IFERROR(__xludf.DUMMYFUNCTION("""COMPUTED_VALUE"""),TRUE)</f>
        <v>1</v>
      </c>
      <c r="F91" s="47" t="str">
        <f>IFERROR(__xludf.DUMMYFUNCTION("""COMPUTED_VALUE"""),"")</f>
        <v/>
      </c>
      <c r="G91" s="47" t="str">
        <f>IFERROR(__xludf.DUMMYFUNCTION("""COMPUTED_VALUE"""),"")</f>
        <v/>
      </c>
      <c r="H91" s="47"/>
      <c r="I91" s="47">
        <f>IFERROR(__xludf.DUMMYFUNCTION("""COMPUTED_VALUE"""),2.0)</f>
        <v>2</v>
      </c>
      <c r="J91" s="47" t="str">
        <f>IFERROR(__xludf.DUMMYFUNCTION("""COMPUTED_VALUE"""),"https:")</f>
        <v>https:</v>
      </c>
      <c r="K91" s="78" t="str">
        <f>IFERROR(__xludf.DUMMYFUNCTION("""COMPUTED_VALUE"""),"www.munzee.com")</f>
        <v>www.munzee.com</v>
      </c>
      <c r="L91" s="47" t="str">
        <f>IFERROR(__xludf.DUMMYFUNCTION("""COMPUTED_VALUE"""),"m")</f>
        <v>m</v>
      </c>
      <c r="M91" s="47" t="str">
        <f>IFERROR(__xludf.DUMMYFUNCTION("""COMPUTED_VALUE"""),"roxiemama")</f>
        <v>roxiemama</v>
      </c>
    </row>
    <row r="92">
      <c r="A92" s="47" t="str">
        <f>IFERROR(__xludf.DUMMYFUNCTION("""COMPUTED_VALUE"""),"Virtual Raw Sienna")</f>
        <v>Virtual Raw Sienna</v>
      </c>
      <c r="B92" s="47" t="str">
        <f>IFERROR(__xludf.DUMMYFUNCTION("""COMPUTED_VALUE"""),"xrayneex")</f>
        <v>xrayneex</v>
      </c>
      <c r="C92" s="78" t="str">
        <f>IFERROR(__xludf.DUMMYFUNCTION("""COMPUTED_VALUE"""),"https://www.munzee.com/m/xrayneex/1310")</f>
        <v>https://www.munzee.com/m/xrayneex/1310</v>
      </c>
      <c r="D92" s="47"/>
      <c r="E92" s="47" t="b">
        <f>IFERROR(__xludf.DUMMYFUNCTION("""COMPUTED_VALUE"""),TRUE)</f>
        <v>1</v>
      </c>
      <c r="F92" s="47" t="str">
        <f>IFERROR(__xludf.DUMMYFUNCTION("""COMPUTED_VALUE"""),"")</f>
        <v/>
      </c>
      <c r="G92" s="47" t="str">
        <f>IFERROR(__xludf.DUMMYFUNCTION("""COMPUTED_VALUE"""),"")</f>
        <v/>
      </c>
      <c r="H92" s="47"/>
      <c r="I92" s="47">
        <f>IFERROR(__xludf.DUMMYFUNCTION("""COMPUTED_VALUE"""),2.0)</f>
        <v>2</v>
      </c>
      <c r="J92" s="47" t="str">
        <f>IFERROR(__xludf.DUMMYFUNCTION("""COMPUTED_VALUE"""),"https:")</f>
        <v>https:</v>
      </c>
      <c r="K92" s="78" t="str">
        <f>IFERROR(__xludf.DUMMYFUNCTION("""COMPUTED_VALUE"""),"www.munzee.com")</f>
        <v>www.munzee.com</v>
      </c>
      <c r="L92" s="47" t="str">
        <f>IFERROR(__xludf.DUMMYFUNCTION("""COMPUTED_VALUE"""),"m")</f>
        <v>m</v>
      </c>
      <c r="M92" s="47" t="str">
        <f>IFERROR(__xludf.DUMMYFUNCTION("""COMPUTED_VALUE"""),"xrayneex")</f>
        <v>xrayneex</v>
      </c>
    </row>
    <row r="93">
      <c r="A93" s="47" t="str">
        <f>IFERROR(__xludf.DUMMYFUNCTION("""COMPUTED_VALUE"""),"Virtual Brown")</f>
        <v>Virtual Brown</v>
      </c>
      <c r="B93" s="47" t="str">
        <f>IFERROR(__xludf.DUMMYFUNCTION("""COMPUTED_VALUE"""),"TheFrog")</f>
        <v>TheFrog</v>
      </c>
      <c r="C93" s="78" t="str">
        <f>IFERROR(__xludf.DUMMYFUNCTION("""COMPUTED_VALUE"""),"https://www.munzee.com/m/TheFrog/4047/")</f>
        <v>https://www.munzee.com/m/TheFrog/4047/</v>
      </c>
      <c r="D93" s="47"/>
      <c r="E93" s="47" t="b">
        <f>IFERROR(__xludf.DUMMYFUNCTION("""COMPUTED_VALUE"""),TRUE)</f>
        <v>1</v>
      </c>
      <c r="F93" s="47" t="str">
        <f>IFERROR(__xludf.DUMMYFUNCTION("""COMPUTED_VALUE"""),"")</f>
        <v/>
      </c>
      <c r="G93" s="47" t="str">
        <f>IFERROR(__xludf.DUMMYFUNCTION("""COMPUTED_VALUE"""),"")</f>
        <v/>
      </c>
      <c r="H93" s="47"/>
      <c r="I93" s="47">
        <f>IFERROR(__xludf.DUMMYFUNCTION("""COMPUTED_VALUE"""),2.0)</f>
        <v>2</v>
      </c>
      <c r="J93" s="47" t="str">
        <f>IFERROR(__xludf.DUMMYFUNCTION("""COMPUTED_VALUE"""),"https:")</f>
        <v>https:</v>
      </c>
      <c r="K93" s="78" t="str">
        <f>IFERROR(__xludf.DUMMYFUNCTION("""COMPUTED_VALUE"""),"www.munzee.com")</f>
        <v>www.munzee.com</v>
      </c>
      <c r="L93" s="47" t="str">
        <f>IFERROR(__xludf.DUMMYFUNCTION("""COMPUTED_VALUE"""),"m")</f>
        <v>m</v>
      </c>
      <c r="M93" s="47" t="str">
        <f>IFERROR(__xludf.DUMMYFUNCTION("""COMPUTED_VALUE"""),"TheFrog")</f>
        <v>TheFrog</v>
      </c>
    </row>
    <row r="94">
      <c r="A94" s="47" t="str">
        <f>IFERROR(__xludf.DUMMYFUNCTION("""COMPUTED_VALUE"""),"Virtual Brown")</f>
        <v>Virtual Brown</v>
      </c>
      <c r="B94" s="47" t="str">
        <f>IFERROR(__xludf.DUMMYFUNCTION("""COMPUTED_VALUE"""),"123xilef")</f>
        <v>123xilef</v>
      </c>
      <c r="C94" s="78" t="str">
        <f>IFERROR(__xludf.DUMMYFUNCTION("""COMPUTED_VALUE"""),"https://www.munzee.com/m/123xilef/6734/")</f>
        <v>https://www.munzee.com/m/123xilef/6734/</v>
      </c>
      <c r="D94" s="47"/>
      <c r="E94" s="47" t="b">
        <f>IFERROR(__xludf.DUMMYFUNCTION("""COMPUTED_VALUE"""),TRUE)</f>
        <v>1</v>
      </c>
      <c r="F94" s="47" t="str">
        <f>IFERROR(__xludf.DUMMYFUNCTION("""COMPUTED_VALUE"""),"")</f>
        <v/>
      </c>
      <c r="G94" s="47" t="str">
        <f>IFERROR(__xludf.DUMMYFUNCTION("""COMPUTED_VALUE"""),"")</f>
        <v/>
      </c>
      <c r="H94" s="47"/>
      <c r="I94" s="47">
        <f>IFERROR(__xludf.DUMMYFUNCTION("""COMPUTED_VALUE"""),2.0)</f>
        <v>2</v>
      </c>
      <c r="J94" s="47" t="str">
        <f>IFERROR(__xludf.DUMMYFUNCTION("""COMPUTED_VALUE"""),"https:")</f>
        <v>https:</v>
      </c>
      <c r="K94" s="78" t="str">
        <f>IFERROR(__xludf.DUMMYFUNCTION("""COMPUTED_VALUE"""),"www.munzee.com")</f>
        <v>www.munzee.com</v>
      </c>
      <c r="L94" s="47" t="str">
        <f>IFERROR(__xludf.DUMMYFUNCTION("""COMPUTED_VALUE"""),"m")</f>
        <v>m</v>
      </c>
      <c r="M94" s="47" t="str">
        <f>IFERROR(__xludf.DUMMYFUNCTION("""COMPUTED_VALUE"""),"123xilef")</f>
        <v>123xilef</v>
      </c>
    </row>
    <row r="95">
      <c r="A95" s="47" t="str">
        <f>IFERROR(__xludf.DUMMYFUNCTION("""COMPUTED_VALUE"""),"Virtual Raw Sienna")</f>
        <v>Virtual Raw Sienna</v>
      </c>
      <c r="B95" s="47" t="str">
        <f>IFERROR(__xludf.DUMMYFUNCTION("""COMPUTED_VALUE"""),"Trappertje")</f>
        <v>Trappertje</v>
      </c>
      <c r="C95" s="78" t="str">
        <f>IFERROR(__xludf.DUMMYFUNCTION("""COMPUTED_VALUE"""),"https://www.munzee.com/m/Trappertje/4588/")</f>
        <v>https://www.munzee.com/m/Trappertje/4588/</v>
      </c>
      <c r="D95" s="47"/>
      <c r="E95" s="47" t="b">
        <f>IFERROR(__xludf.DUMMYFUNCTION("""COMPUTED_VALUE"""),TRUE)</f>
        <v>1</v>
      </c>
      <c r="F95" s="47" t="str">
        <f>IFERROR(__xludf.DUMMYFUNCTION("""COMPUTED_VALUE"""),"")</f>
        <v/>
      </c>
      <c r="G95" s="47" t="str">
        <f>IFERROR(__xludf.DUMMYFUNCTION("""COMPUTED_VALUE"""),"")</f>
        <v/>
      </c>
      <c r="H95" s="47"/>
      <c r="I95" s="47">
        <f>IFERROR(__xludf.DUMMYFUNCTION("""COMPUTED_VALUE"""),2.0)</f>
        <v>2</v>
      </c>
      <c r="J95" s="47" t="str">
        <f>IFERROR(__xludf.DUMMYFUNCTION("""COMPUTED_VALUE"""),"https:")</f>
        <v>https:</v>
      </c>
      <c r="K95" s="78" t="str">
        <f>IFERROR(__xludf.DUMMYFUNCTION("""COMPUTED_VALUE"""),"www.munzee.com")</f>
        <v>www.munzee.com</v>
      </c>
      <c r="L95" s="47" t="str">
        <f>IFERROR(__xludf.DUMMYFUNCTION("""COMPUTED_VALUE"""),"m")</f>
        <v>m</v>
      </c>
      <c r="M95" s="47" t="str">
        <f>IFERROR(__xludf.DUMMYFUNCTION("""COMPUTED_VALUE"""),"Trappertje")</f>
        <v>Trappertje</v>
      </c>
    </row>
    <row r="96">
      <c r="A96" s="47" t="str">
        <f>IFERROR(__xludf.DUMMYFUNCTION("""COMPUTED_VALUE"""),"Virtual Brown")</f>
        <v>Virtual Brown</v>
      </c>
      <c r="B96" s="47" t="str">
        <f>IFERROR(__xludf.DUMMYFUNCTION("""COMPUTED_VALUE"""),"Benotje")</f>
        <v>Benotje</v>
      </c>
      <c r="C96" s="78" t="str">
        <f>IFERROR(__xludf.DUMMYFUNCTION("""COMPUTED_VALUE"""),"https://www.munzee.com/m/benotje/1340/")</f>
        <v>https://www.munzee.com/m/benotje/1340/</v>
      </c>
      <c r="D96" s="47"/>
      <c r="E96" s="47" t="b">
        <f>IFERROR(__xludf.DUMMYFUNCTION("""COMPUTED_VALUE"""),TRUE)</f>
        <v>1</v>
      </c>
      <c r="F96" s="47" t="str">
        <f>IFERROR(__xludf.DUMMYFUNCTION("""COMPUTED_VALUE"""),"")</f>
        <v/>
      </c>
      <c r="G96" s="47" t="str">
        <f>IFERROR(__xludf.DUMMYFUNCTION("""COMPUTED_VALUE"""),"")</f>
        <v/>
      </c>
      <c r="H96" s="47"/>
      <c r="I96" s="47">
        <f>IFERROR(__xludf.DUMMYFUNCTION("""COMPUTED_VALUE"""),2.0)</f>
        <v>2</v>
      </c>
      <c r="J96" s="47" t="str">
        <f>IFERROR(__xludf.DUMMYFUNCTION("""COMPUTED_VALUE"""),"https:")</f>
        <v>https:</v>
      </c>
      <c r="K96" s="78" t="str">
        <f>IFERROR(__xludf.DUMMYFUNCTION("""COMPUTED_VALUE"""),"www.munzee.com")</f>
        <v>www.munzee.com</v>
      </c>
      <c r="L96" s="47" t="str">
        <f>IFERROR(__xludf.DUMMYFUNCTION("""COMPUTED_VALUE"""),"m")</f>
        <v>m</v>
      </c>
      <c r="M96" s="47" t="str">
        <f>IFERROR(__xludf.DUMMYFUNCTION("""COMPUTED_VALUE"""),"benotje")</f>
        <v>benotje</v>
      </c>
    </row>
    <row r="97">
      <c r="A97" s="47" t="str">
        <f>IFERROR(__xludf.DUMMYFUNCTION("""COMPUTED_VALUE"""),"Virtual Brown")</f>
        <v>Virtual Brown</v>
      </c>
      <c r="B97" s="47" t="str">
        <f>IFERROR(__xludf.DUMMYFUNCTION("""COMPUTED_VALUE"""),"fsafranek")</f>
        <v>fsafranek</v>
      </c>
      <c r="C97" s="78" t="str">
        <f>IFERROR(__xludf.DUMMYFUNCTION("""COMPUTED_VALUE"""),"https://www.munzee.com/m/fsafranek/4429/")</f>
        <v>https://www.munzee.com/m/fsafranek/4429/</v>
      </c>
      <c r="D97" s="47"/>
      <c r="E97" s="47" t="b">
        <f>IFERROR(__xludf.DUMMYFUNCTION("""COMPUTED_VALUE"""),TRUE)</f>
        <v>1</v>
      </c>
      <c r="F97" s="47" t="str">
        <f>IFERROR(__xludf.DUMMYFUNCTION("""COMPUTED_VALUE"""),"")</f>
        <v/>
      </c>
      <c r="G97" s="47" t="str">
        <f>IFERROR(__xludf.DUMMYFUNCTION("""COMPUTED_VALUE"""),"")</f>
        <v/>
      </c>
      <c r="H97" s="47"/>
      <c r="I97" s="47">
        <f>IFERROR(__xludf.DUMMYFUNCTION("""COMPUTED_VALUE"""),2.0)</f>
        <v>2</v>
      </c>
      <c r="J97" s="47" t="str">
        <f>IFERROR(__xludf.DUMMYFUNCTION("""COMPUTED_VALUE"""),"https:")</f>
        <v>https:</v>
      </c>
      <c r="K97" s="78" t="str">
        <f>IFERROR(__xludf.DUMMYFUNCTION("""COMPUTED_VALUE"""),"www.munzee.com")</f>
        <v>www.munzee.com</v>
      </c>
      <c r="L97" s="47" t="str">
        <f>IFERROR(__xludf.DUMMYFUNCTION("""COMPUTED_VALUE"""),"m")</f>
        <v>m</v>
      </c>
      <c r="M97" s="47" t="str">
        <f>IFERROR(__xludf.DUMMYFUNCTION("""COMPUTED_VALUE"""),"fsafranek")</f>
        <v>fsafranek</v>
      </c>
    </row>
    <row r="98">
      <c r="A98" s="47" t="str">
        <f>IFERROR(__xludf.DUMMYFUNCTION("""COMPUTED_VALUE"""),"Virtual Brown")</f>
        <v>Virtual Brown</v>
      </c>
      <c r="B98" s="47" t="str">
        <f>IFERROR(__xludf.DUMMYFUNCTION("""COMPUTED_VALUE"""),"EmileP68 ")</f>
        <v>EmileP68 </v>
      </c>
      <c r="C98" s="78" t="str">
        <f>IFERROR(__xludf.DUMMYFUNCTION("""COMPUTED_VALUE"""),"https://www.munzee.com/m/EmileP68/3093/")</f>
        <v>https://www.munzee.com/m/EmileP68/3093/</v>
      </c>
      <c r="D98" s="47"/>
      <c r="E98" s="47" t="b">
        <f>IFERROR(__xludf.DUMMYFUNCTION("""COMPUTED_VALUE"""),TRUE)</f>
        <v>1</v>
      </c>
      <c r="F98" s="47" t="str">
        <f>IFERROR(__xludf.DUMMYFUNCTION("""COMPUTED_VALUE"""),"")</f>
        <v/>
      </c>
      <c r="G98" s="47" t="str">
        <f>IFERROR(__xludf.DUMMYFUNCTION("""COMPUTED_VALUE"""),"")</f>
        <v/>
      </c>
      <c r="H98" s="47"/>
      <c r="I98" s="47">
        <f>IFERROR(__xludf.DUMMYFUNCTION("""COMPUTED_VALUE"""),2.0)</f>
        <v>2</v>
      </c>
      <c r="J98" s="47" t="str">
        <f>IFERROR(__xludf.DUMMYFUNCTION("""COMPUTED_VALUE"""),"https:")</f>
        <v>https:</v>
      </c>
      <c r="K98" s="78" t="str">
        <f>IFERROR(__xludf.DUMMYFUNCTION("""COMPUTED_VALUE"""),"www.munzee.com")</f>
        <v>www.munzee.com</v>
      </c>
      <c r="L98" s="47" t="str">
        <f>IFERROR(__xludf.DUMMYFUNCTION("""COMPUTED_VALUE"""),"m")</f>
        <v>m</v>
      </c>
      <c r="M98" s="47" t="str">
        <f>IFERROR(__xludf.DUMMYFUNCTION("""COMPUTED_VALUE"""),"EmileP68")</f>
        <v>EmileP68</v>
      </c>
    </row>
    <row r="99">
      <c r="A99" s="47" t="str">
        <f>IFERROR(__xludf.DUMMYFUNCTION("""COMPUTED_VALUE"""),"Virtual Brown")</f>
        <v>Virtual Brown</v>
      </c>
      <c r="B99" s="47" t="str">
        <f>IFERROR(__xludf.DUMMYFUNCTION("""COMPUTED_VALUE"""),"PawParolThomas")</f>
        <v>PawParolThomas</v>
      </c>
      <c r="C99" s="78" t="str">
        <f>IFERROR(__xludf.DUMMYFUNCTION("""COMPUTED_VALUE"""),"https://www.munzee.com/m/PawPatrolThomas/2392/")</f>
        <v>https://www.munzee.com/m/PawPatrolThomas/2392/</v>
      </c>
      <c r="D99" s="47"/>
      <c r="E99" s="47" t="b">
        <f>IFERROR(__xludf.DUMMYFUNCTION("""COMPUTED_VALUE"""),TRUE)</f>
        <v>1</v>
      </c>
      <c r="F99" s="47" t="str">
        <f>IFERROR(__xludf.DUMMYFUNCTION("""COMPUTED_VALUE"""),"")</f>
        <v/>
      </c>
      <c r="G99" s="47" t="str">
        <f>IFERROR(__xludf.DUMMYFUNCTION("""COMPUTED_VALUE"""),"")</f>
        <v/>
      </c>
      <c r="H99" s="47"/>
      <c r="I99" s="47">
        <f>IFERROR(__xludf.DUMMYFUNCTION("""COMPUTED_VALUE"""),2.0)</f>
        <v>2</v>
      </c>
      <c r="J99" s="47" t="str">
        <f>IFERROR(__xludf.DUMMYFUNCTION("""COMPUTED_VALUE"""),"https:")</f>
        <v>https:</v>
      </c>
      <c r="K99" s="78" t="str">
        <f>IFERROR(__xludf.DUMMYFUNCTION("""COMPUTED_VALUE"""),"www.munzee.com")</f>
        <v>www.munzee.com</v>
      </c>
      <c r="L99" s="47" t="str">
        <f>IFERROR(__xludf.DUMMYFUNCTION("""COMPUTED_VALUE"""),"m")</f>
        <v>m</v>
      </c>
      <c r="M99" s="47" t="str">
        <f>IFERROR(__xludf.DUMMYFUNCTION("""COMPUTED_VALUE"""),"PawPatrolThomas")</f>
        <v>PawPatrolThomas</v>
      </c>
    </row>
    <row r="100">
      <c r="A100" s="47" t="str">
        <f>IFERROR(__xludf.DUMMYFUNCTION("""COMPUTED_VALUE"""),"Virtual Brown")</f>
        <v>Virtual Brown</v>
      </c>
      <c r="B100" s="47" t="str">
        <f>IFERROR(__xludf.DUMMYFUNCTION("""COMPUTED_VALUE"""),"sverlaan")</f>
        <v>sverlaan</v>
      </c>
      <c r="C100" s="78" t="str">
        <f>IFERROR(__xludf.DUMMYFUNCTION("""COMPUTED_VALUE"""),"https://www.munzee.com/m/sverlaan/4201/")</f>
        <v>https://www.munzee.com/m/sverlaan/4201/</v>
      </c>
      <c r="D100" s="81"/>
      <c r="E100" s="47" t="b">
        <f>IFERROR(__xludf.DUMMYFUNCTION("""COMPUTED_VALUE"""),TRUE)</f>
        <v>1</v>
      </c>
      <c r="F100" s="47" t="str">
        <f>IFERROR(__xludf.DUMMYFUNCTION("""COMPUTED_VALUE"""),"")</f>
        <v/>
      </c>
      <c r="G100" s="47" t="str">
        <f>IFERROR(__xludf.DUMMYFUNCTION("""COMPUTED_VALUE"""),"")</f>
        <v/>
      </c>
      <c r="H100" s="47"/>
      <c r="I100" s="47">
        <f>IFERROR(__xludf.DUMMYFUNCTION("""COMPUTED_VALUE"""),2.0)</f>
        <v>2</v>
      </c>
      <c r="J100" s="47" t="str">
        <f>IFERROR(__xludf.DUMMYFUNCTION("""COMPUTED_VALUE"""),"https:")</f>
        <v>https:</v>
      </c>
      <c r="K100" s="78" t="str">
        <f>IFERROR(__xludf.DUMMYFUNCTION("""COMPUTED_VALUE"""),"www.munzee.com")</f>
        <v>www.munzee.com</v>
      </c>
      <c r="L100" s="47" t="str">
        <f>IFERROR(__xludf.DUMMYFUNCTION("""COMPUTED_VALUE"""),"m")</f>
        <v>m</v>
      </c>
      <c r="M100" s="47" t="str">
        <f>IFERROR(__xludf.DUMMYFUNCTION("""COMPUTED_VALUE"""),"sverlaan")</f>
        <v>sverlaan</v>
      </c>
    </row>
    <row r="101">
      <c r="A101" s="47" t="str">
        <f>IFERROR(__xludf.DUMMYFUNCTION("""COMPUTED_VALUE"""),"Virtual Brown")</f>
        <v>Virtual Brown</v>
      </c>
      <c r="B101" s="47" t="str">
        <f>IFERROR(__xludf.DUMMYFUNCTION("""COMPUTED_VALUE"""),"Belladivadee")</f>
        <v>Belladivadee</v>
      </c>
      <c r="C101" s="78" t="str">
        <f>IFERROR(__xludf.DUMMYFUNCTION("""COMPUTED_VALUE"""),"https://www.munzee.com/m/belladivadee/2951/")</f>
        <v>https://www.munzee.com/m/belladivadee/2951/</v>
      </c>
      <c r="D101" s="47"/>
      <c r="E101" s="47" t="b">
        <f>IFERROR(__xludf.DUMMYFUNCTION("""COMPUTED_VALUE"""),TRUE)</f>
        <v>1</v>
      </c>
      <c r="F101" s="47" t="str">
        <f>IFERROR(__xludf.DUMMYFUNCTION("""COMPUTED_VALUE"""),"")</f>
        <v/>
      </c>
      <c r="G101" s="47" t="str">
        <f>IFERROR(__xludf.DUMMYFUNCTION("""COMPUTED_VALUE"""),"")</f>
        <v/>
      </c>
      <c r="H101" s="47"/>
      <c r="I101" s="47">
        <f>IFERROR(__xludf.DUMMYFUNCTION("""COMPUTED_VALUE"""),2.0)</f>
        <v>2</v>
      </c>
      <c r="J101" s="47" t="str">
        <f>IFERROR(__xludf.DUMMYFUNCTION("""COMPUTED_VALUE"""),"https:")</f>
        <v>https:</v>
      </c>
      <c r="K101" s="78" t="str">
        <f>IFERROR(__xludf.DUMMYFUNCTION("""COMPUTED_VALUE"""),"www.munzee.com")</f>
        <v>www.munzee.com</v>
      </c>
      <c r="L101" s="47" t="str">
        <f>IFERROR(__xludf.DUMMYFUNCTION("""COMPUTED_VALUE"""),"m")</f>
        <v>m</v>
      </c>
      <c r="M101" s="47" t="str">
        <f>IFERROR(__xludf.DUMMYFUNCTION("""COMPUTED_VALUE"""),"belladivadee")</f>
        <v>belladivadee</v>
      </c>
    </row>
    <row r="102">
      <c r="A102" s="47" t="str">
        <f>IFERROR(__xludf.DUMMYFUNCTION("""COMPUTED_VALUE"""),"Virtual Raw Sienna")</f>
        <v>Virtual Raw Sienna</v>
      </c>
      <c r="B102" s="47" t="str">
        <f>IFERROR(__xludf.DUMMYFUNCTION("""COMPUTED_VALUE"""),"Wangotango")</f>
        <v>Wangotango</v>
      </c>
      <c r="C102" s="78" t="str">
        <f>IFERROR(__xludf.DUMMYFUNCTION("""COMPUTED_VALUE"""),"https://www.munzee.com/m/Wangotango/1184/")</f>
        <v>https://www.munzee.com/m/Wangotango/1184/</v>
      </c>
      <c r="D102" s="47"/>
      <c r="E102" s="47" t="b">
        <f>IFERROR(__xludf.DUMMYFUNCTION("""COMPUTED_VALUE"""),TRUE)</f>
        <v>1</v>
      </c>
      <c r="F102" s="47" t="str">
        <f>IFERROR(__xludf.DUMMYFUNCTION("""COMPUTED_VALUE"""),"")</f>
        <v/>
      </c>
      <c r="G102" s="47" t="str">
        <f>IFERROR(__xludf.DUMMYFUNCTION("""COMPUTED_VALUE"""),"")</f>
        <v/>
      </c>
      <c r="H102" s="47"/>
      <c r="I102" s="47">
        <f>IFERROR(__xludf.DUMMYFUNCTION("""COMPUTED_VALUE"""),2.0)</f>
        <v>2</v>
      </c>
      <c r="J102" s="47" t="str">
        <f>IFERROR(__xludf.DUMMYFUNCTION("""COMPUTED_VALUE"""),"https:")</f>
        <v>https:</v>
      </c>
      <c r="K102" s="78" t="str">
        <f>IFERROR(__xludf.DUMMYFUNCTION("""COMPUTED_VALUE"""),"www.munzee.com")</f>
        <v>www.munzee.com</v>
      </c>
      <c r="L102" s="47" t="str">
        <f>IFERROR(__xludf.DUMMYFUNCTION("""COMPUTED_VALUE"""),"m")</f>
        <v>m</v>
      </c>
      <c r="M102" s="47" t="str">
        <f>IFERROR(__xludf.DUMMYFUNCTION("""COMPUTED_VALUE"""),"Wangotango")</f>
        <v>Wangotango</v>
      </c>
    </row>
    <row r="103">
      <c r="A103" s="47" t="str">
        <f>IFERROR(__xludf.DUMMYFUNCTION("""COMPUTED_VALUE"""),"Virtual Raw Sienna")</f>
        <v>Virtual Raw Sienna</v>
      </c>
      <c r="B103" s="47" t="str">
        <f>IFERROR(__xludf.DUMMYFUNCTION("""COMPUTED_VALUE"""),"jacksparrow")</f>
        <v>jacksparrow</v>
      </c>
      <c r="C103" s="78" t="str">
        <f>IFERROR(__xludf.DUMMYFUNCTION("""COMPUTED_VALUE"""),"https://www.munzee.com/m/JackSparrow/19357")</f>
        <v>https://www.munzee.com/m/JackSparrow/19357</v>
      </c>
      <c r="D103" s="47"/>
      <c r="E103" s="47" t="b">
        <f>IFERROR(__xludf.DUMMYFUNCTION("""COMPUTED_VALUE"""),TRUE)</f>
        <v>1</v>
      </c>
      <c r="F103" s="47" t="str">
        <f>IFERROR(__xludf.DUMMYFUNCTION("""COMPUTED_VALUE"""),"")</f>
        <v/>
      </c>
      <c r="G103" s="47" t="str">
        <f>IFERROR(__xludf.DUMMYFUNCTION("""COMPUTED_VALUE"""),"")</f>
        <v/>
      </c>
      <c r="H103" s="47"/>
      <c r="I103" s="47">
        <f>IFERROR(__xludf.DUMMYFUNCTION("""COMPUTED_VALUE"""),2.0)</f>
        <v>2</v>
      </c>
      <c r="J103" s="47" t="str">
        <f>IFERROR(__xludf.DUMMYFUNCTION("""COMPUTED_VALUE"""),"https:")</f>
        <v>https:</v>
      </c>
      <c r="K103" s="78" t="str">
        <f>IFERROR(__xludf.DUMMYFUNCTION("""COMPUTED_VALUE"""),"www.munzee.com")</f>
        <v>www.munzee.com</v>
      </c>
      <c r="L103" s="47" t="str">
        <f>IFERROR(__xludf.DUMMYFUNCTION("""COMPUTED_VALUE"""),"m")</f>
        <v>m</v>
      </c>
      <c r="M103" s="47" t="str">
        <f>IFERROR(__xludf.DUMMYFUNCTION("""COMPUTED_VALUE"""),"JackSparrow")</f>
        <v>JackSparrow</v>
      </c>
    </row>
    <row r="104">
      <c r="A104" s="47" t="str">
        <f>IFERROR(__xludf.DUMMYFUNCTION("""COMPUTED_VALUE"""),"Virtual Brown")</f>
        <v>Virtual Brown</v>
      </c>
      <c r="B104" s="47" t="str">
        <f>IFERROR(__xludf.DUMMYFUNCTION("""COMPUTED_VALUE"""),"Bisquick2")</f>
        <v>Bisquick2</v>
      </c>
      <c r="C104" s="78" t="str">
        <f>IFERROR(__xludf.DUMMYFUNCTION("""COMPUTED_VALUE"""),"https://www.munzee.com/m/Bisquick2/4005")</f>
        <v>https://www.munzee.com/m/Bisquick2/4005</v>
      </c>
      <c r="D104" s="47"/>
      <c r="E104" s="47" t="b">
        <f>IFERROR(__xludf.DUMMYFUNCTION("""COMPUTED_VALUE"""),TRUE)</f>
        <v>1</v>
      </c>
      <c r="F104" s="47" t="str">
        <f>IFERROR(__xludf.DUMMYFUNCTION("""COMPUTED_VALUE"""),"")</f>
        <v/>
      </c>
      <c r="G104" s="47" t="str">
        <f>IFERROR(__xludf.DUMMYFUNCTION("""COMPUTED_VALUE"""),"")</f>
        <v/>
      </c>
      <c r="H104" s="47"/>
      <c r="I104" s="47">
        <f>IFERROR(__xludf.DUMMYFUNCTION("""COMPUTED_VALUE"""),2.0)</f>
        <v>2</v>
      </c>
      <c r="J104" s="47" t="str">
        <f>IFERROR(__xludf.DUMMYFUNCTION("""COMPUTED_VALUE"""),"https:")</f>
        <v>https:</v>
      </c>
      <c r="K104" s="78" t="str">
        <f>IFERROR(__xludf.DUMMYFUNCTION("""COMPUTED_VALUE"""),"www.munzee.com")</f>
        <v>www.munzee.com</v>
      </c>
      <c r="L104" s="47" t="str">
        <f>IFERROR(__xludf.DUMMYFUNCTION("""COMPUTED_VALUE"""),"m")</f>
        <v>m</v>
      </c>
      <c r="M104" s="47" t="str">
        <f>IFERROR(__xludf.DUMMYFUNCTION("""COMPUTED_VALUE"""),"Bisquick2")</f>
        <v>Bisquick2</v>
      </c>
    </row>
    <row r="105">
      <c r="A105" s="47" t="str">
        <f>IFERROR(__xludf.DUMMYFUNCTION("""COMPUTED_VALUE"""),"Virtual Brown")</f>
        <v>Virtual Brown</v>
      </c>
      <c r="B105" s="47" t="str">
        <f>IFERROR(__xludf.DUMMYFUNCTION("""COMPUTED_VALUE"""),"DHitz")</f>
        <v>DHitz</v>
      </c>
      <c r="C105" s="78" t="str">
        <f>IFERROR(__xludf.DUMMYFUNCTION("""COMPUTED_VALUE"""),"https://www.munzee.com/m/DHitz/3710/")</f>
        <v>https://www.munzee.com/m/DHitz/3710/</v>
      </c>
      <c r="D105" s="47"/>
      <c r="E105" s="47" t="b">
        <f>IFERROR(__xludf.DUMMYFUNCTION("""COMPUTED_VALUE"""),TRUE)</f>
        <v>1</v>
      </c>
      <c r="F105" s="47" t="str">
        <f>IFERROR(__xludf.DUMMYFUNCTION("""COMPUTED_VALUE"""),"")</f>
        <v/>
      </c>
      <c r="G105" s="47" t="str">
        <f>IFERROR(__xludf.DUMMYFUNCTION("""COMPUTED_VALUE"""),"")</f>
        <v/>
      </c>
      <c r="H105" s="47"/>
      <c r="I105" s="47">
        <f>IFERROR(__xludf.DUMMYFUNCTION("""COMPUTED_VALUE"""),2.0)</f>
        <v>2</v>
      </c>
      <c r="J105" s="47" t="str">
        <f>IFERROR(__xludf.DUMMYFUNCTION("""COMPUTED_VALUE"""),"https:")</f>
        <v>https:</v>
      </c>
      <c r="K105" s="78" t="str">
        <f>IFERROR(__xludf.DUMMYFUNCTION("""COMPUTED_VALUE"""),"www.munzee.com")</f>
        <v>www.munzee.com</v>
      </c>
      <c r="L105" s="47" t="str">
        <f>IFERROR(__xludf.DUMMYFUNCTION("""COMPUTED_VALUE"""),"m")</f>
        <v>m</v>
      </c>
      <c r="M105" s="47" t="str">
        <f>IFERROR(__xludf.DUMMYFUNCTION("""COMPUTED_VALUE"""),"DHitz")</f>
        <v>DHitz</v>
      </c>
    </row>
    <row r="106">
      <c r="A106" s="47" t="str">
        <f>IFERROR(__xludf.DUMMYFUNCTION("""COMPUTED_VALUE"""),"Virtual Brown")</f>
        <v>Virtual Brown</v>
      </c>
      <c r="B106" s="47" t="str">
        <f>IFERROR(__xludf.DUMMYFUNCTION("""COMPUTED_VALUE"""),"Pinkeltje")</f>
        <v>Pinkeltje</v>
      </c>
      <c r="C106" s="78" t="str">
        <f>IFERROR(__xludf.DUMMYFUNCTION("""COMPUTED_VALUE"""),"https://www.munzee.com/m/Pinkeltje/1096/")</f>
        <v>https://www.munzee.com/m/Pinkeltje/1096/</v>
      </c>
      <c r="D106" s="47"/>
      <c r="E106" s="47" t="b">
        <f>IFERROR(__xludf.DUMMYFUNCTION("""COMPUTED_VALUE"""),TRUE)</f>
        <v>1</v>
      </c>
      <c r="F106" s="47" t="str">
        <f>IFERROR(__xludf.DUMMYFUNCTION("""COMPUTED_VALUE"""),"")</f>
        <v/>
      </c>
      <c r="G106" s="47" t="str">
        <f>IFERROR(__xludf.DUMMYFUNCTION("""COMPUTED_VALUE"""),"")</f>
        <v/>
      </c>
      <c r="H106" s="47"/>
      <c r="I106" s="47">
        <f>IFERROR(__xludf.DUMMYFUNCTION("""COMPUTED_VALUE"""),2.0)</f>
        <v>2</v>
      </c>
      <c r="J106" s="47" t="str">
        <f>IFERROR(__xludf.DUMMYFUNCTION("""COMPUTED_VALUE"""),"https:")</f>
        <v>https:</v>
      </c>
      <c r="K106" s="78" t="str">
        <f>IFERROR(__xludf.DUMMYFUNCTION("""COMPUTED_VALUE"""),"www.munzee.com")</f>
        <v>www.munzee.com</v>
      </c>
      <c r="L106" s="47" t="str">
        <f>IFERROR(__xludf.DUMMYFUNCTION("""COMPUTED_VALUE"""),"m")</f>
        <v>m</v>
      </c>
      <c r="M106" s="47" t="str">
        <f>IFERROR(__xludf.DUMMYFUNCTION("""COMPUTED_VALUE"""),"Pinkeltje")</f>
        <v>Pinkeltje</v>
      </c>
    </row>
    <row r="107">
      <c r="A107" s="47" t="str">
        <f>IFERROR(__xludf.DUMMYFUNCTION("""COMPUTED_VALUE"""),"Virtual Raw Sienna")</f>
        <v>Virtual Raw Sienna</v>
      </c>
      <c r="B107" s="47" t="str">
        <f>IFERROR(__xludf.DUMMYFUNCTION("""COMPUTED_VALUE"""),"lison55")</f>
        <v>lison55</v>
      </c>
      <c r="C107" s="78" t="str">
        <f>IFERROR(__xludf.DUMMYFUNCTION("""COMPUTED_VALUE"""),"https://www.munzee.com/m/lison55/5153")</f>
        <v>https://www.munzee.com/m/lison55/5153</v>
      </c>
      <c r="D107" s="47"/>
      <c r="E107" s="47" t="b">
        <f>IFERROR(__xludf.DUMMYFUNCTION("""COMPUTED_VALUE"""),TRUE)</f>
        <v>1</v>
      </c>
      <c r="F107" s="47" t="str">
        <f>IFERROR(__xludf.DUMMYFUNCTION("""COMPUTED_VALUE"""),"")</f>
        <v/>
      </c>
      <c r="G107" s="47" t="str">
        <f>IFERROR(__xludf.DUMMYFUNCTION("""COMPUTED_VALUE"""),"")</f>
        <v/>
      </c>
      <c r="H107" s="47"/>
      <c r="I107" s="47">
        <f>IFERROR(__xludf.DUMMYFUNCTION("""COMPUTED_VALUE"""),2.0)</f>
        <v>2</v>
      </c>
      <c r="J107" s="47" t="str">
        <f>IFERROR(__xludf.DUMMYFUNCTION("""COMPUTED_VALUE"""),"https:")</f>
        <v>https:</v>
      </c>
      <c r="K107" s="78" t="str">
        <f>IFERROR(__xludf.DUMMYFUNCTION("""COMPUTED_VALUE"""),"www.munzee.com")</f>
        <v>www.munzee.com</v>
      </c>
      <c r="L107" s="47" t="str">
        <f>IFERROR(__xludf.DUMMYFUNCTION("""COMPUTED_VALUE"""),"m")</f>
        <v>m</v>
      </c>
      <c r="M107" s="47" t="str">
        <f>IFERROR(__xludf.DUMMYFUNCTION("""COMPUTED_VALUE"""),"lison55")</f>
        <v>lison55</v>
      </c>
    </row>
    <row r="108">
      <c r="A108" s="47" t="str">
        <f>IFERROR(__xludf.DUMMYFUNCTION("""COMPUTED_VALUE"""),"Virtual Raw Sienna")</f>
        <v>Virtual Raw Sienna</v>
      </c>
      <c r="B108" s="47" t="str">
        <f>IFERROR(__xludf.DUMMYFUNCTION("""COMPUTED_VALUE"""),"FromTheTardis")</f>
        <v>FromTheTardis</v>
      </c>
      <c r="C108" s="78" t="str">
        <f>IFERROR(__xludf.DUMMYFUNCTION("""COMPUTED_VALUE"""),"https://www.munzee.com/m/FromTheTardis/1328/")</f>
        <v>https://www.munzee.com/m/FromTheTardis/1328/</v>
      </c>
      <c r="D108" s="47"/>
      <c r="E108" s="47" t="b">
        <f>IFERROR(__xludf.DUMMYFUNCTION("""COMPUTED_VALUE"""),TRUE)</f>
        <v>1</v>
      </c>
      <c r="F108" s="47" t="str">
        <f>IFERROR(__xludf.DUMMYFUNCTION("""COMPUTED_VALUE"""),"")</f>
        <v/>
      </c>
      <c r="G108" s="47" t="str">
        <f>IFERROR(__xludf.DUMMYFUNCTION("""COMPUTED_VALUE"""),"")</f>
        <v/>
      </c>
      <c r="H108" s="47"/>
      <c r="I108" s="47">
        <f>IFERROR(__xludf.DUMMYFUNCTION("""COMPUTED_VALUE"""),2.0)</f>
        <v>2</v>
      </c>
      <c r="J108" s="47" t="str">
        <f>IFERROR(__xludf.DUMMYFUNCTION("""COMPUTED_VALUE"""),"https:")</f>
        <v>https:</v>
      </c>
      <c r="K108" s="78" t="str">
        <f>IFERROR(__xludf.DUMMYFUNCTION("""COMPUTED_VALUE"""),"www.munzee.com")</f>
        <v>www.munzee.com</v>
      </c>
      <c r="L108" s="47" t="str">
        <f>IFERROR(__xludf.DUMMYFUNCTION("""COMPUTED_VALUE"""),"m")</f>
        <v>m</v>
      </c>
      <c r="M108" s="47" t="str">
        <f>IFERROR(__xludf.DUMMYFUNCTION("""COMPUTED_VALUE"""),"FromTheTardis")</f>
        <v>FromTheTardis</v>
      </c>
    </row>
    <row r="109">
      <c r="A109" s="47" t="str">
        <f>IFERROR(__xludf.DUMMYFUNCTION("""COMPUTED_VALUE"""),"Virtual Brown")</f>
        <v>Virtual Brown</v>
      </c>
      <c r="B109" s="47" t="str">
        <f>IFERROR(__xludf.DUMMYFUNCTION("""COMPUTED_VALUE"""),"Lanyasummer")</f>
        <v>Lanyasummer</v>
      </c>
      <c r="C109" s="78" t="str">
        <f>IFERROR(__xludf.DUMMYFUNCTION("""COMPUTED_VALUE"""),"https://www.munzee.com/m/Lanyasummer/4105/")</f>
        <v>https://www.munzee.com/m/Lanyasummer/4105/</v>
      </c>
      <c r="D109" s="47"/>
      <c r="E109" s="47" t="b">
        <f>IFERROR(__xludf.DUMMYFUNCTION("""COMPUTED_VALUE"""),TRUE)</f>
        <v>1</v>
      </c>
      <c r="F109" s="47" t="str">
        <f>IFERROR(__xludf.DUMMYFUNCTION("""COMPUTED_VALUE"""),"")</f>
        <v/>
      </c>
      <c r="G109" s="47" t="str">
        <f>IFERROR(__xludf.DUMMYFUNCTION("""COMPUTED_VALUE"""),"")</f>
        <v/>
      </c>
      <c r="H109" s="47"/>
      <c r="I109" s="47">
        <f>IFERROR(__xludf.DUMMYFUNCTION("""COMPUTED_VALUE"""),2.0)</f>
        <v>2</v>
      </c>
      <c r="J109" s="47" t="str">
        <f>IFERROR(__xludf.DUMMYFUNCTION("""COMPUTED_VALUE"""),"https:")</f>
        <v>https:</v>
      </c>
      <c r="K109" s="78" t="str">
        <f>IFERROR(__xludf.DUMMYFUNCTION("""COMPUTED_VALUE"""),"www.munzee.com")</f>
        <v>www.munzee.com</v>
      </c>
      <c r="L109" s="47" t="str">
        <f>IFERROR(__xludf.DUMMYFUNCTION("""COMPUTED_VALUE"""),"m")</f>
        <v>m</v>
      </c>
      <c r="M109" s="47" t="str">
        <f>IFERROR(__xludf.DUMMYFUNCTION("""COMPUTED_VALUE"""),"Lanyasummer")</f>
        <v>Lanyasummer</v>
      </c>
    </row>
    <row r="110">
      <c r="A110" s="47" t="str">
        <f>IFERROR(__xludf.DUMMYFUNCTION("""COMPUTED_VALUE"""),"Virtual Brown")</f>
        <v>Virtual Brown</v>
      </c>
      <c r="B110" s="47" t="str">
        <f>IFERROR(__xludf.DUMMYFUNCTION("""COMPUTED_VALUE"""),"J1Huisman")</f>
        <v>J1Huisman</v>
      </c>
      <c r="C110" s="78" t="str">
        <f>IFERROR(__xludf.DUMMYFUNCTION("""COMPUTED_VALUE"""),"https://www.munzee.com/m/J1Huisman/11169/")</f>
        <v>https://www.munzee.com/m/J1Huisman/11169/</v>
      </c>
      <c r="D110" s="47"/>
      <c r="E110" s="47" t="b">
        <f>IFERROR(__xludf.DUMMYFUNCTION("""COMPUTED_VALUE"""),TRUE)</f>
        <v>1</v>
      </c>
      <c r="F110" s="47" t="str">
        <f>IFERROR(__xludf.DUMMYFUNCTION("""COMPUTED_VALUE"""),"")</f>
        <v/>
      </c>
      <c r="G110" s="47" t="str">
        <f>IFERROR(__xludf.DUMMYFUNCTION("""COMPUTED_VALUE"""),"")</f>
        <v/>
      </c>
      <c r="H110" s="47"/>
      <c r="I110" s="47">
        <f>IFERROR(__xludf.DUMMYFUNCTION("""COMPUTED_VALUE"""),2.0)</f>
        <v>2</v>
      </c>
      <c r="J110" s="47" t="str">
        <f>IFERROR(__xludf.DUMMYFUNCTION("""COMPUTED_VALUE"""),"https:")</f>
        <v>https:</v>
      </c>
      <c r="K110" s="78" t="str">
        <f>IFERROR(__xludf.DUMMYFUNCTION("""COMPUTED_VALUE"""),"www.munzee.com")</f>
        <v>www.munzee.com</v>
      </c>
      <c r="L110" s="47" t="str">
        <f>IFERROR(__xludf.DUMMYFUNCTION("""COMPUTED_VALUE"""),"m")</f>
        <v>m</v>
      </c>
      <c r="M110" s="47" t="str">
        <f>IFERROR(__xludf.DUMMYFUNCTION("""COMPUTED_VALUE"""),"J1Huisman")</f>
        <v>J1Huisman</v>
      </c>
    </row>
    <row r="111">
      <c r="A111" s="47" t="str">
        <f>IFERROR(__xludf.DUMMYFUNCTION("""COMPUTED_VALUE"""),"Virtual Brown")</f>
        <v>Virtual Brown</v>
      </c>
      <c r="B111" s="47" t="str">
        <f>IFERROR(__xludf.DUMMYFUNCTION("""COMPUTED_VALUE"""),"bambinacattiva")</f>
        <v>bambinacattiva</v>
      </c>
      <c r="C111" s="78" t="str">
        <f>IFERROR(__xludf.DUMMYFUNCTION("""COMPUTED_VALUE"""),"https://www.munzee.com/m/Bambinacattiva/689/")</f>
        <v>https://www.munzee.com/m/Bambinacattiva/689/</v>
      </c>
      <c r="D111" s="47"/>
      <c r="E111" s="47" t="b">
        <f>IFERROR(__xludf.DUMMYFUNCTION("""COMPUTED_VALUE"""),TRUE)</f>
        <v>1</v>
      </c>
      <c r="F111" s="47" t="str">
        <f>IFERROR(__xludf.DUMMYFUNCTION("""COMPUTED_VALUE"""),"")</f>
        <v/>
      </c>
      <c r="G111" s="47" t="str">
        <f>IFERROR(__xludf.DUMMYFUNCTION("""COMPUTED_VALUE"""),"")</f>
        <v/>
      </c>
      <c r="H111" s="47"/>
      <c r="I111" s="47">
        <f>IFERROR(__xludf.DUMMYFUNCTION("""COMPUTED_VALUE"""),2.0)</f>
        <v>2</v>
      </c>
      <c r="J111" s="47" t="str">
        <f>IFERROR(__xludf.DUMMYFUNCTION("""COMPUTED_VALUE"""),"https:")</f>
        <v>https:</v>
      </c>
      <c r="K111" s="78" t="str">
        <f>IFERROR(__xludf.DUMMYFUNCTION("""COMPUTED_VALUE"""),"www.munzee.com")</f>
        <v>www.munzee.com</v>
      </c>
      <c r="L111" s="47" t="str">
        <f>IFERROR(__xludf.DUMMYFUNCTION("""COMPUTED_VALUE"""),"m")</f>
        <v>m</v>
      </c>
      <c r="M111" s="47" t="str">
        <f>IFERROR(__xludf.DUMMYFUNCTION("""COMPUTED_VALUE"""),"Bambinacattiva")</f>
        <v>Bambinacattiva</v>
      </c>
    </row>
    <row r="112">
      <c r="A112" s="47" t="str">
        <f>IFERROR(__xludf.DUMMYFUNCTION("""COMPUTED_VALUE"""),"Virtual Raw Sienna")</f>
        <v>Virtual Raw Sienna</v>
      </c>
      <c r="B112" s="47" t="str">
        <f>IFERROR(__xludf.DUMMYFUNCTION("""COMPUTED_VALUE"""),"Trappertje")</f>
        <v>Trappertje</v>
      </c>
      <c r="C112" s="78" t="str">
        <f>IFERROR(__xludf.DUMMYFUNCTION("""COMPUTED_VALUE"""),"https://www.munzee.com/m/Trappertje/4646/")</f>
        <v>https://www.munzee.com/m/Trappertje/4646/</v>
      </c>
      <c r="D112" s="47"/>
      <c r="E112" s="47" t="b">
        <f>IFERROR(__xludf.DUMMYFUNCTION("""COMPUTED_VALUE"""),TRUE)</f>
        <v>1</v>
      </c>
      <c r="F112" s="47" t="str">
        <f>IFERROR(__xludf.DUMMYFUNCTION("""COMPUTED_VALUE"""),"")</f>
        <v/>
      </c>
      <c r="G112" s="47" t="str">
        <f>IFERROR(__xludf.DUMMYFUNCTION("""COMPUTED_VALUE"""),"")</f>
        <v/>
      </c>
      <c r="H112" s="47"/>
      <c r="I112" s="47">
        <f>IFERROR(__xludf.DUMMYFUNCTION("""COMPUTED_VALUE"""),2.0)</f>
        <v>2</v>
      </c>
      <c r="J112" s="47" t="str">
        <f>IFERROR(__xludf.DUMMYFUNCTION("""COMPUTED_VALUE"""),"https:")</f>
        <v>https:</v>
      </c>
      <c r="K112" s="78" t="str">
        <f>IFERROR(__xludf.DUMMYFUNCTION("""COMPUTED_VALUE"""),"www.munzee.com")</f>
        <v>www.munzee.com</v>
      </c>
      <c r="L112" s="47" t="str">
        <f>IFERROR(__xludf.DUMMYFUNCTION("""COMPUTED_VALUE"""),"m")</f>
        <v>m</v>
      </c>
      <c r="M112" s="47" t="str">
        <f>IFERROR(__xludf.DUMMYFUNCTION("""COMPUTED_VALUE"""),"Trappertje")</f>
        <v>Trappertje</v>
      </c>
    </row>
    <row r="113">
      <c r="A113" s="47" t="str">
        <f>IFERROR(__xludf.DUMMYFUNCTION("""COMPUTED_VALUE"""),"Virtual Brown")</f>
        <v>Virtual Brown</v>
      </c>
      <c r="B113" s="47" t="str">
        <f>IFERROR(__xludf.DUMMYFUNCTION("""COMPUTED_VALUE"""),"sverlaan")</f>
        <v>sverlaan</v>
      </c>
      <c r="C113" s="78" t="str">
        <f>IFERROR(__xludf.DUMMYFUNCTION("""COMPUTED_VALUE"""),"https://www.munzee.com/m/sverlaan/4129/")</f>
        <v>https://www.munzee.com/m/sverlaan/4129/</v>
      </c>
      <c r="D113" s="47"/>
      <c r="E113" s="47" t="b">
        <f>IFERROR(__xludf.DUMMYFUNCTION("""COMPUTED_VALUE"""),TRUE)</f>
        <v>1</v>
      </c>
      <c r="F113" s="47" t="str">
        <f>IFERROR(__xludf.DUMMYFUNCTION("""COMPUTED_VALUE"""),"")</f>
        <v/>
      </c>
      <c r="G113" s="47" t="str">
        <f>IFERROR(__xludf.DUMMYFUNCTION("""COMPUTED_VALUE"""),"")</f>
        <v/>
      </c>
      <c r="H113" s="47"/>
      <c r="I113" s="47">
        <f>IFERROR(__xludf.DUMMYFUNCTION("""COMPUTED_VALUE"""),2.0)</f>
        <v>2</v>
      </c>
      <c r="J113" s="47" t="str">
        <f>IFERROR(__xludf.DUMMYFUNCTION("""COMPUTED_VALUE"""),"https:")</f>
        <v>https:</v>
      </c>
      <c r="K113" s="78" t="str">
        <f>IFERROR(__xludf.DUMMYFUNCTION("""COMPUTED_VALUE"""),"www.munzee.com")</f>
        <v>www.munzee.com</v>
      </c>
      <c r="L113" s="47" t="str">
        <f>IFERROR(__xludf.DUMMYFUNCTION("""COMPUTED_VALUE"""),"m")</f>
        <v>m</v>
      </c>
      <c r="M113" s="47" t="str">
        <f>IFERROR(__xludf.DUMMYFUNCTION("""COMPUTED_VALUE"""),"sverlaan")</f>
        <v>sverlaan</v>
      </c>
    </row>
    <row r="114">
      <c r="A114" s="47" t="str">
        <f>IFERROR(__xludf.DUMMYFUNCTION("""COMPUTED_VALUE"""),"Virtual Brown")</f>
        <v>Virtual Brown</v>
      </c>
      <c r="B114" s="47" t="str">
        <f>IFERROR(__xludf.DUMMYFUNCTION("""COMPUTED_VALUE"""),"Emilep68 ")</f>
        <v>Emilep68 </v>
      </c>
      <c r="C114" s="78" t="str">
        <f>IFERROR(__xludf.DUMMYFUNCTION("""COMPUTED_VALUE"""),"https://www.munzee.com/m/EmileP68/2902/")</f>
        <v>https://www.munzee.com/m/EmileP68/2902/</v>
      </c>
      <c r="D114" s="47"/>
      <c r="E114" s="47" t="b">
        <f>IFERROR(__xludf.DUMMYFUNCTION("""COMPUTED_VALUE"""),TRUE)</f>
        <v>1</v>
      </c>
      <c r="F114" s="47" t="str">
        <f>IFERROR(__xludf.DUMMYFUNCTION("""COMPUTED_VALUE"""),"")</f>
        <v/>
      </c>
      <c r="G114" s="47" t="str">
        <f>IFERROR(__xludf.DUMMYFUNCTION("""COMPUTED_VALUE"""),"")</f>
        <v/>
      </c>
      <c r="H114" s="47"/>
      <c r="I114" s="47">
        <f>IFERROR(__xludf.DUMMYFUNCTION("""COMPUTED_VALUE"""),2.0)</f>
        <v>2</v>
      </c>
      <c r="J114" s="47" t="str">
        <f>IFERROR(__xludf.DUMMYFUNCTION("""COMPUTED_VALUE"""),"https:")</f>
        <v>https:</v>
      </c>
      <c r="K114" s="78" t="str">
        <f>IFERROR(__xludf.DUMMYFUNCTION("""COMPUTED_VALUE"""),"www.munzee.com")</f>
        <v>www.munzee.com</v>
      </c>
      <c r="L114" s="47" t="str">
        <f>IFERROR(__xludf.DUMMYFUNCTION("""COMPUTED_VALUE"""),"m")</f>
        <v>m</v>
      </c>
      <c r="M114" s="47" t="str">
        <f>IFERROR(__xludf.DUMMYFUNCTION("""COMPUTED_VALUE"""),"EmileP68")</f>
        <v>EmileP68</v>
      </c>
    </row>
    <row r="115">
      <c r="A115" s="47" t="str">
        <f>IFERROR(__xludf.DUMMYFUNCTION("""COMPUTED_VALUE"""),"Virtual Brown")</f>
        <v>Virtual Brown</v>
      </c>
      <c r="B115" s="47" t="str">
        <f>IFERROR(__xludf.DUMMYFUNCTION("""COMPUTED_VALUE"""),"5Star")</f>
        <v>5Star</v>
      </c>
      <c r="C115" s="78" t="str">
        <f>IFERROR(__xludf.DUMMYFUNCTION("""COMPUTED_VALUE"""),"https://www.munzee.com/m/5Star/5636/")</f>
        <v>https://www.munzee.com/m/5Star/5636/</v>
      </c>
      <c r="D115" s="47"/>
      <c r="E115" s="47" t="b">
        <f>IFERROR(__xludf.DUMMYFUNCTION("""COMPUTED_VALUE"""),TRUE)</f>
        <v>1</v>
      </c>
      <c r="F115" s="47" t="str">
        <f>IFERROR(__xludf.DUMMYFUNCTION("""COMPUTED_VALUE"""),"")</f>
        <v/>
      </c>
      <c r="G115" s="47" t="str">
        <f>IFERROR(__xludf.DUMMYFUNCTION("""COMPUTED_VALUE"""),"")</f>
        <v/>
      </c>
      <c r="H115" s="47"/>
      <c r="I115" s="47">
        <f>IFERROR(__xludf.DUMMYFUNCTION("""COMPUTED_VALUE"""),2.0)</f>
        <v>2</v>
      </c>
      <c r="J115" s="47" t="str">
        <f>IFERROR(__xludf.DUMMYFUNCTION("""COMPUTED_VALUE"""),"https:")</f>
        <v>https:</v>
      </c>
      <c r="K115" s="78" t="str">
        <f>IFERROR(__xludf.DUMMYFUNCTION("""COMPUTED_VALUE"""),"www.munzee.com")</f>
        <v>www.munzee.com</v>
      </c>
      <c r="L115" s="47" t="str">
        <f>IFERROR(__xludf.DUMMYFUNCTION("""COMPUTED_VALUE"""),"m")</f>
        <v>m</v>
      </c>
      <c r="M115" s="47" t="str">
        <f>IFERROR(__xludf.DUMMYFUNCTION("""COMPUTED_VALUE"""),"5Star")</f>
        <v>5Star</v>
      </c>
    </row>
    <row r="116">
      <c r="A116" s="47" t="str">
        <f>IFERROR(__xludf.DUMMYFUNCTION("""COMPUTED_VALUE"""),"Virtual Brown")</f>
        <v>Virtual Brown</v>
      </c>
      <c r="B116" s="47" t="str">
        <f>IFERROR(__xludf.DUMMYFUNCTION("""COMPUTED_VALUE"""),"Pawpatrolthomas ")</f>
        <v>Pawpatrolthomas </v>
      </c>
      <c r="C116" s="78" t="str">
        <f>IFERROR(__xludf.DUMMYFUNCTION("""COMPUTED_VALUE"""),"https://www.munzee.com/m/PawPatrolThomas/2206/")</f>
        <v>https://www.munzee.com/m/PawPatrolThomas/2206/</v>
      </c>
      <c r="D116" s="47"/>
      <c r="E116" s="47" t="b">
        <f>IFERROR(__xludf.DUMMYFUNCTION("""COMPUTED_VALUE"""),TRUE)</f>
        <v>1</v>
      </c>
      <c r="F116" s="47" t="str">
        <f>IFERROR(__xludf.DUMMYFUNCTION("""COMPUTED_VALUE"""),"")</f>
        <v/>
      </c>
      <c r="G116" s="47" t="str">
        <f>IFERROR(__xludf.DUMMYFUNCTION("""COMPUTED_VALUE"""),"")</f>
        <v/>
      </c>
      <c r="H116" s="47"/>
      <c r="I116" s="47">
        <f>IFERROR(__xludf.DUMMYFUNCTION("""COMPUTED_VALUE"""),2.0)</f>
        <v>2</v>
      </c>
      <c r="J116" s="47" t="str">
        <f>IFERROR(__xludf.DUMMYFUNCTION("""COMPUTED_VALUE"""),"https:")</f>
        <v>https:</v>
      </c>
      <c r="K116" s="78" t="str">
        <f>IFERROR(__xludf.DUMMYFUNCTION("""COMPUTED_VALUE"""),"www.munzee.com")</f>
        <v>www.munzee.com</v>
      </c>
      <c r="L116" s="47" t="str">
        <f>IFERROR(__xludf.DUMMYFUNCTION("""COMPUTED_VALUE"""),"m")</f>
        <v>m</v>
      </c>
      <c r="M116" s="47" t="str">
        <f>IFERROR(__xludf.DUMMYFUNCTION("""COMPUTED_VALUE"""),"PawPatrolThomas")</f>
        <v>PawPatrolThomas</v>
      </c>
    </row>
    <row r="117">
      <c r="A117" s="47" t="str">
        <f>IFERROR(__xludf.DUMMYFUNCTION("""COMPUTED_VALUE"""),"Virtual Brown")</f>
        <v>Virtual Brown</v>
      </c>
      <c r="B117" s="47" t="str">
        <f>IFERROR(__xludf.DUMMYFUNCTION("""COMPUTED_VALUE"""),"Benotje")</f>
        <v>Benotje</v>
      </c>
      <c r="C117" s="78" t="str">
        <f>IFERROR(__xludf.DUMMYFUNCTION("""COMPUTED_VALUE"""),"https://www.munzee.com/m/benotje/1334/")</f>
        <v>https://www.munzee.com/m/benotje/1334/</v>
      </c>
      <c r="D117" s="47"/>
      <c r="E117" s="47" t="b">
        <f>IFERROR(__xludf.DUMMYFUNCTION("""COMPUTED_VALUE"""),TRUE)</f>
        <v>1</v>
      </c>
      <c r="F117" s="47" t="str">
        <f>IFERROR(__xludf.DUMMYFUNCTION("""COMPUTED_VALUE"""),"")</f>
        <v/>
      </c>
      <c r="G117" s="47" t="str">
        <f>IFERROR(__xludf.DUMMYFUNCTION("""COMPUTED_VALUE"""),"")</f>
        <v/>
      </c>
      <c r="H117" s="47"/>
      <c r="I117" s="47">
        <f>IFERROR(__xludf.DUMMYFUNCTION("""COMPUTED_VALUE"""),2.0)</f>
        <v>2</v>
      </c>
      <c r="J117" s="47" t="str">
        <f>IFERROR(__xludf.DUMMYFUNCTION("""COMPUTED_VALUE"""),"https:")</f>
        <v>https:</v>
      </c>
      <c r="K117" s="78" t="str">
        <f>IFERROR(__xludf.DUMMYFUNCTION("""COMPUTED_VALUE"""),"www.munzee.com")</f>
        <v>www.munzee.com</v>
      </c>
      <c r="L117" s="47" t="str">
        <f>IFERROR(__xludf.DUMMYFUNCTION("""COMPUTED_VALUE"""),"m")</f>
        <v>m</v>
      </c>
      <c r="M117" s="47" t="str">
        <f>IFERROR(__xludf.DUMMYFUNCTION("""COMPUTED_VALUE"""),"benotje")</f>
        <v>benotje</v>
      </c>
    </row>
    <row r="118">
      <c r="A118" s="47" t="str">
        <f>IFERROR(__xludf.DUMMYFUNCTION("""COMPUTED_VALUE"""),"Virtual Brown")</f>
        <v>Virtual Brown</v>
      </c>
      <c r="B118" s="47" t="str">
        <f>IFERROR(__xludf.DUMMYFUNCTION("""COMPUTED_VALUE"""),"barefootguru")</f>
        <v>barefootguru</v>
      </c>
      <c r="C118" s="78" t="str">
        <f>IFERROR(__xludf.DUMMYFUNCTION("""COMPUTED_VALUE"""),"https://www.munzee.com/m/barefootguru/3092/")</f>
        <v>https://www.munzee.com/m/barefootguru/3092/</v>
      </c>
      <c r="D118" s="47"/>
      <c r="E118" s="47" t="b">
        <f>IFERROR(__xludf.DUMMYFUNCTION("""COMPUTED_VALUE"""),TRUE)</f>
        <v>1</v>
      </c>
      <c r="F118" s="47" t="str">
        <f>IFERROR(__xludf.DUMMYFUNCTION("""COMPUTED_VALUE"""),"")</f>
        <v/>
      </c>
      <c r="G118" s="47" t="str">
        <f>IFERROR(__xludf.DUMMYFUNCTION("""COMPUTED_VALUE"""),"")</f>
        <v/>
      </c>
      <c r="H118" s="47"/>
      <c r="I118" s="47">
        <f>IFERROR(__xludf.DUMMYFUNCTION("""COMPUTED_VALUE"""),2.0)</f>
        <v>2</v>
      </c>
      <c r="J118" s="47" t="str">
        <f>IFERROR(__xludf.DUMMYFUNCTION("""COMPUTED_VALUE"""),"https:")</f>
        <v>https:</v>
      </c>
      <c r="K118" s="78" t="str">
        <f>IFERROR(__xludf.DUMMYFUNCTION("""COMPUTED_VALUE"""),"www.munzee.com")</f>
        <v>www.munzee.com</v>
      </c>
      <c r="L118" s="47" t="str">
        <f>IFERROR(__xludf.DUMMYFUNCTION("""COMPUTED_VALUE"""),"m")</f>
        <v>m</v>
      </c>
      <c r="M118" s="47" t="str">
        <f>IFERROR(__xludf.DUMMYFUNCTION("""COMPUTED_VALUE"""),"barefootguru")</f>
        <v>barefootguru</v>
      </c>
    </row>
    <row r="119">
      <c r="A119" s="47" t="str">
        <f>IFERROR(__xludf.DUMMYFUNCTION("""COMPUTED_VALUE"""),"Virtual Brown")</f>
        <v>Virtual Brown</v>
      </c>
      <c r="B119" s="47" t="str">
        <f>IFERROR(__xludf.DUMMYFUNCTION("""COMPUTED_VALUE"""),"WiseOldWizard")</f>
        <v>WiseOldWizard</v>
      </c>
      <c r="C119" s="78" t="str">
        <f>IFERROR(__xludf.DUMMYFUNCTION("""COMPUTED_VALUE"""),"https://www.munzee.com/m/WiseOldWizard/3923/")</f>
        <v>https://www.munzee.com/m/WiseOldWizard/3923/</v>
      </c>
      <c r="D119" s="47"/>
      <c r="E119" s="47" t="b">
        <f>IFERROR(__xludf.DUMMYFUNCTION("""COMPUTED_VALUE"""),TRUE)</f>
        <v>1</v>
      </c>
      <c r="F119" s="47" t="str">
        <f>IFERROR(__xludf.DUMMYFUNCTION("""COMPUTED_VALUE"""),"")</f>
        <v/>
      </c>
      <c r="G119" s="47" t="str">
        <f>IFERROR(__xludf.DUMMYFUNCTION("""COMPUTED_VALUE"""),"")</f>
        <v/>
      </c>
      <c r="H119" s="47"/>
      <c r="I119" s="47">
        <f>IFERROR(__xludf.DUMMYFUNCTION("""COMPUTED_VALUE"""),2.0)</f>
        <v>2</v>
      </c>
      <c r="J119" s="47" t="str">
        <f>IFERROR(__xludf.DUMMYFUNCTION("""COMPUTED_VALUE"""),"https:")</f>
        <v>https:</v>
      </c>
      <c r="K119" s="78" t="str">
        <f>IFERROR(__xludf.DUMMYFUNCTION("""COMPUTED_VALUE"""),"www.munzee.com")</f>
        <v>www.munzee.com</v>
      </c>
      <c r="L119" s="47" t="str">
        <f>IFERROR(__xludf.DUMMYFUNCTION("""COMPUTED_VALUE"""),"m")</f>
        <v>m</v>
      </c>
      <c r="M119" s="47" t="str">
        <f>IFERROR(__xludf.DUMMYFUNCTION("""COMPUTED_VALUE"""),"WiseOldWizard")</f>
        <v>WiseOldWizard</v>
      </c>
    </row>
    <row r="120">
      <c r="A120" s="47" t="str">
        <f>IFERROR(__xludf.DUMMYFUNCTION("""COMPUTED_VALUE"""),"Virtual Brown")</f>
        <v>Virtual Brown</v>
      </c>
      <c r="B120" s="47" t="str">
        <f>IFERROR(__xludf.DUMMYFUNCTION("""COMPUTED_VALUE"""),"Hoekraam")</f>
        <v>Hoekraam</v>
      </c>
      <c r="C120" s="78" t="str">
        <f>IFERROR(__xludf.DUMMYFUNCTION("""COMPUTED_VALUE"""),"https://www.munzee.com/m/hoekraam/6940")</f>
        <v>https://www.munzee.com/m/hoekraam/6940</v>
      </c>
      <c r="D120" s="47"/>
      <c r="E120" s="47" t="b">
        <f>IFERROR(__xludf.DUMMYFUNCTION("""COMPUTED_VALUE"""),TRUE)</f>
        <v>1</v>
      </c>
      <c r="F120" s="47" t="str">
        <f>IFERROR(__xludf.DUMMYFUNCTION("""COMPUTED_VALUE"""),"")</f>
        <v/>
      </c>
      <c r="G120" s="47" t="str">
        <f>IFERROR(__xludf.DUMMYFUNCTION("""COMPUTED_VALUE"""),"")</f>
        <v/>
      </c>
      <c r="H120" s="47"/>
      <c r="I120" s="47">
        <f>IFERROR(__xludf.DUMMYFUNCTION("""COMPUTED_VALUE"""),2.0)</f>
        <v>2</v>
      </c>
      <c r="J120" s="47" t="str">
        <f>IFERROR(__xludf.DUMMYFUNCTION("""COMPUTED_VALUE"""),"https:")</f>
        <v>https:</v>
      </c>
      <c r="K120" s="78" t="str">
        <f>IFERROR(__xludf.DUMMYFUNCTION("""COMPUTED_VALUE"""),"www.munzee.com")</f>
        <v>www.munzee.com</v>
      </c>
      <c r="L120" s="47" t="str">
        <f>IFERROR(__xludf.DUMMYFUNCTION("""COMPUTED_VALUE"""),"m")</f>
        <v>m</v>
      </c>
      <c r="M120" s="47" t="str">
        <f>IFERROR(__xludf.DUMMYFUNCTION("""COMPUTED_VALUE"""),"hoekraam")</f>
        <v>hoekraam</v>
      </c>
    </row>
    <row r="121">
      <c r="A121" s="47" t="str">
        <f>IFERROR(__xludf.DUMMYFUNCTION("""COMPUTED_VALUE"""),"Virtual Brown")</f>
        <v>Virtual Brown</v>
      </c>
      <c r="B121" s="47" t="str">
        <f>IFERROR(__xludf.DUMMYFUNCTION("""COMPUTED_VALUE"""),"xrayneex")</f>
        <v>xrayneex</v>
      </c>
      <c r="C121" s="78" t="str">
        <f>IFERROR(__xludf.DUMMYFUNCTION("""COMPUTED_VALUE"""),"https://www.munzee.com/m/xrayneex/1307")</f>
        <v>https://www.munzee.com/m/xrayneex/1307</v>
      </c>
      <c r="D121" s="47"/>
      <c r="E121" s="47" t="b">
        <f>IFERROR(__xludf.DUMMYFUNCTION("""COMPUTED_VALUE"""),TRUE)</f>
        <v>1</v>
      </c>
      <c r="F121" s="47" t="str">
        <f>IFERROR(__xludf.DUMMYFUNCTION("""COMPUTED_VALUE"""),"")</f>
        <v/>
      </c>
      <c r="G121" s="47" t="str">
        <f>IFERROR(__xludf.DUMMYFUNCTION("""COMPUTED_VALUE"""),"")</f>
        <v/>
      </c>
      <c r="H121" s="47"/>
      <c r="I121" s="47">
        <f>IFERROR(__xludf.DUMMYFUNCTION("""COMPUTED_VALUE"""),2.0)</f>
        <v>2</v>
      </c>
      <c r="J121" s="47" t="str">
        <f>IFERROR(__xludf.DUMMYFUNCTION("""COMPUTED_VALUE"""),"https:")</f>
        <v>https:</v>
      </c>
      <c r="K121" s="78" t="str">
        <f>IFERROR(__xludf.DUMMYFUNCTION("""COMPUTED_VALUE"""),"www.munzee.com")</f>
        <v>www.munzee.com</v>
      </c>
      <c r="L121" s="47" t="str">
        <f>IFERROR(__xludf.DUMMYFUNCTION("""COMPUTED_VALUE"""),"m")</f>
        <v>m</v>
      </c>
      <c r="M121" s="47" t="str">
        <f>IFERROR(__xludf.DUMMYFUNCTION("""COMPUTED_VALUE"""),"xrayneex")</f>
        <v>xrayneex</v>
      </c>
    </row>
    <row r="122">
      <c r="A122" s="47" t="str">
        <f>IFERROR(__xludf.DUMMYFUNCTION("""COMPUTED_VALUE"""),"Virtual Brown")</f>
        <v>Virtual Brown</v>
      </c>
      <c r="B122" s="47" t="str">
        <f>IFERROR(__xludf.DUMMYFUNCTION("""COMPUTED_VALUE"""),"BrotherWilliam")</f>
        <v>BrotherWilliam</v>
      </c>
      <c r="C122" s="78" t="str">
        <f>IFERROR(__xludf.DUMMYFUNCTION("""COMPUTED_VALUE"""),"https://www.munzee.com/m/BrotherWilliam/3862/")</f>
        <v>https://www.munzee.com/m/BrotherWilliam/3862/</v>
      </c>
      <c r="D122" s="47"/>
      <c r="E122" s="47" t="b">
        <f>IFERROR(__xludf.DUMMYFUNCTION("""COMPUTED_VALUE"""),TRUE)</f>
        <v>1</v>
      </c>
      <c r="F122" s="47" t="str">
        <f>IFERROR(__xludf.DUMMYFUNCTION("""COMPUTED_VALUE"""),"")</f>
        <v/>
      </c>
      <c r="G122" s="47" t="str">
        <f>IFERROR(__xludf.DUMMYFUNCTION("""COMPUTED_VALUE"""),"")</f>
        <v/>
      </c>
      <c r="H122" s="47"/>
      <c r="I122" s="47">
        <f>IFERROR(__xludf.DUMMYFUNCTION("""COMPUTED_VALUE"""),2.0)</f>
        <v>2</v>
      </c>
      <c r="J122" s="47" t="str">
        <f>IFERROR(__xludf.DUMMYFUNCTION("""COMPUTED_VALUE"""),"https:")</f>
        <v>https:</v>
      </c>
      <c r="K122" s="78" t="str">
        <f>IFERROR(__xludf.DUMMYFUNCTION("""COMPUTED_VALUE"""),"www.munzee.com")</f>
        <v>www.munzee.com</v>
      </c>
      <c r="L122" s="47" t="str">
        <f>IFERROR(__xludf.DUMMYFUNCTION("""COMPUTED_VALUE"""),"m")</f>
        <v>m</v>
      </c>
      <c r="M122" s="47" t="str">
        <f>IFERROR(__xludf.DUMMYFUNCTION("""COMPUTED_VALUE"""),"BrotherWilliam")</f>
        <v>BrotherWilliam</v>
      </c>
    </row>
    <row r="123">
      <c r="A123" s="47" t="str">
        <f>IFERROR(__xludf.DUMMYFUNCTION("""COMPUTED_VALUE"""),"Virtual Brown")</f>
        <v>Virtual Brown</v>
      </c>
      <c r="B123" s="47" t="str">
        <f>IFERROR(__xludf.DUMMYFUNCTION("""COMPUTED_VALUE"""),"Hoekraam")</f>
        <v>Hoekraam</v>
      </c>
      <c r="C123" s="78" t="str">
        <f>IFERROR(__xludf.DUMMYFUNCTION("""COMPUTED_VALUE"""),"https://www.munzee.com/m/hoekraam/6983")</f>
        <v>https://www.munzee.com/m/hoekraam/6983</v>
      </c>
      <c r="D123" s="47"/>
      <c r="E123" s="47" t="b">
        <f>IFERROR(__xludf.DUMMYFUNCTION("""COMPUTED_VALUE"""),TRUE)</f>
        <v>1</v>
      </c>
      <c r="F123" s="47" t="str">
        <f>IFERROR(__xludf.DUMMYFUNCTION("""COMPUTED_VALUE"""),"")</f>
        <v/>
      </c>
      <c r="G123" s="47" t="str">
        <f>IFERROR(__xludf.DUMMYFUNCTION("""COMPUTED_VALUE"""),"")</f>
        <v/>
      </c>
      <c r="H123" s="47"/>
      <c r="I123" s="47">
        <f>IFERROR(__xludf.DUMMYFUNCTION("""COMPUTED_VALUE"""),2.0)</f>
        <v>2</v>
      </c>
      <c r="J123" s="47" t="str">
        <f>IFERROR(__xludf.DUMMYFUNCTION("""COMPUTED_VALUE"""),"https:")</f>
        <v>https:</v>
      </c>
      <c r="K123" s="78" t="str">
        <f>IFERROR(__xludf.DUMMYFUNCTION("""COMPUTED_VALUE"""),"www.munzee.com")</f>
        <v>www.munzee.com</v>
      </c>
      <c r="L123" s="47" t="str">
        <f>IFERROR(__xludf.DUMMYFUNCTION("""COMPUTED_VALUE"""),"m")</f>
        <v>m</v>
      </c>
      <c r="M123" s="47" t="str">
        <f>IFERROR(__xludf.DUMMYFUNCTION("""COMPUTED_VALUE"""),"hoekraam")</f>
        <v>hoekraam</v>
      </c>
    </row>
    <row r="124">
      <c r="A124" s="47" t="str">
        <f>IFERROR(__xludf.DUMMYFUNCTION("""COMPUTED_VALUE"""),"Virtual Raw Sienna")</f>
        <v>Virtual Raw Sienna</v>
      </c>
      <c r="B124" s="47" t="str">
        <f>IFERROR(__xludf.DUMMYFUNCTION("""COMPUTED_VALUE"""),"ArtofEco")</f>
        <v>ArtofEco</v>
      </c>
      <c r="C124" s="78" t="str">
        <f>IFERROR(__xludf.DUMMYFUNCTION("""COMPUTED_VALUE"""),"https://www.munzee.com/m/ArtofEco/2907/")</f>
        <v>https://www.munzee.com/m/ArtofEco/2907/</v>
      </c>
      <c r="D124" s="47"/>
      <c r="E124" s="47" t="b">
        <f>IFERROR(__xludf.DUMMYFUNCTION("""COMPUTED_VALUE"""),TRUE)</f>
        <v>1</v>
      </c>
      <c r="F124" s="47" t="str">
        <f>IFERROR(__xludf.DUMMYFUNCTION("""COMPUTED_VALUE"""),"")</f>
        <v/>
      </c>
      <c r="G124" s="47" t="str">
        <f>IFERROR(__xludf.DUMMYFUNCTION("""COMPUTED_VALUE"""),"")</f>
        <v/>
      </c>
      <c r="H124" s="47"/>
      <c r="I124" s="47">
        <f>IFERROR(__xludf.DUMMYFUNCTION("""COMPUTED_VALUE"""),2.0)</f>
        <v>2</v>
      </c>
      <c r="J124" s="47" t="str">
        <f>IFERROR(__xludf.DUMMYFUNCTION("""COMPUTED_VALUE"""),"https:")</f>
        <v>https:</v>
      </c>
      <c r="K124" s="78" t="str">
        <f>IFERROR(__xludf.DUMMYFUNCTION("""COMPUTED_VALUE"""),"www.munzee.com")</f>
        <v>www.munzee.com</v>
      </c>
      <c r="L124" s="47" t="str">
        <f>IFERROR(__xludf.DUMMYFUNCTION("""COMPUTED_VALUE"""),"m")</f>
        <v>m</v>
      </c>
      <c r="M124" s="47" t="str">
        <f>IFERROR(__xludf.DUMMYFUNCTION("""COMPUTED_VALUE"""),"ArtofEco")</f>
        <v>ArtofEco</v>
      </c>
    </row>
    <row r="125">
      <c r="A125" s="47" t="str">
        <f>IFERROR(__xludf.DUMMYFUNCTION("""COMPUTED_VALUE"""),"Virtual Brown")</f>
        <v>Virtual Brown</v>
      </c>
      <c r="B125" s="47" t="str">
        <f>IFERROR(__xludf.DUMMYFUNCTION("""COMPUTED_VALUE"""),"jacksparrow")</f>
        <v>jacksparrow</v>
      </c>
      <c r="C125" s="78" t="str">
        <f>IFERROR(__xludf.DUMMYFUNCTION("""COMPUTED_VALUE"""),"https://www.munzee.com/m/JackSparrow/19431")</f>
        <v>https://www.munzee.com/m/JackSparrow/19431</v>
      </c>
      <c r="D125" s="47"/>
      <c r="E125" s="47" t="b">
        <f>IFERROR(__xludf.DUMMYFUNCTION("""COMPUTED_VALUE"""),TRUE)</f>
        <v>1</v>
      </c>
      <c r="F125" s="47" t="str">
        <f>IFERROR(__xludf.DUMMYFUNCTION("""COMPUTED_VALUE"""),"")</f>
        <v/>
      </c>
      <c r="G125" s="47" t="str">
        <f>IFERROR(__xludf.DUMMYFUNCTION("""COMPUTED_VALUE"""),"")</f>
        <v/>
      </c>
      <c r="H125" s="47"/>
      <c r="I125" s="47">
        <f>IFERROR(__xludf.DUMMYFUNCTION("""COMPUTED_VALUE"""),2.0)</f>
        <v>2</v>
      </c>
      <c r="J125" s="47" t="str">
        <f>IFERROR(__xludf.DUMMYFUNCTION("""COMPUTED_VALUE"""),"https:")</f>
        <v>https:</v>
      </c>
      <c r="K125" s="78" t="str">
        <f>IFERROR(__xludf.DUMMYFUNCTION("""COMPUTED_VALUE"""),"www.munzee.com")</f>
        <v>www.munzee.com</v>
      </c>
      <c r="L125" s="47" t="str">
        <f>IFERROR(__xludf.DUMMYFUNCTION("""COMPUTED_VALUE"""),"m")</f>
        <v>m</v>
      </c>
      <c r="M125" s="47" t="str">
        <f>IFERROR(__xludf.DUMMYFUNCTION("""COMPUTED_VALUE"""),"JackSparrow")</f>
        <v>JackSparrow</v>
      </c>
    </row>
    <row r="126">
      <c r="A126" s="47" t="str">
        <f>IFERROR(__xludf.DUMMYFUNCTION("""COMPUTED_VALUE"""),"Virtual Brown")</f>
        <v>Virtual Brown</v>
      </c>
      <c r="B126" s="47" t="str">
        <f>IFERROR(__xludf.DUMMYFUNCTION("""COMPUTED_VALUE"""),"Anetzet ")</f>
        <v>Anetzet </v>
      </c>
      <c r="C126" s="78" t="str">
        <f>IFERROR(__xludf.DUMMYFUNCTION("""COMPUTED_VALUE"""),"https://www.munzee.com/m/Anetzet/2676/")</f>
        <v>https://www.munzee.com/m/Anetzet/2676/</v>
      </c>
      <c r="D126" s="47"/>
      <c r="E126" s="47" t="b">
        <f>IFERROR(__xludf.DUMMYFUNCTION("""COMPUTED_VALUE"""),TRUE)</f>
        <v>1</v>
      </c>
      <c r="F126" s="47" t="str">
        <f>IFERROR(__xludf.DUMMYFUNCTION("""COMPUTED_VALUE"""),"")</f>
        <v/>
      </c>
      <c r="G126" s="47" t="str">
        <f>IFERROR(__xludf.DUMMYFUNCTION("""COMPUTED_VALUE"""),"")</f>
        <v/>
      </c>
      <c r="H126" s="47"/>
      <c r="I126" s="47">
        <f>IFERROR(__xludf.DUMMYFUNCTION("""COMPUTED_VALUE"""),2.0)</f>
        <v>2</v>
      </c>
      <c r="J126" s="47" t="str">
        <f>IFERROR(__xludf.DUMMYFUNCTION("""COMPUTED_VALUE"""),"https:")</f>
        <v>https:</v>
      </c>
      <c r="K126" s="78" t="str">
        <f>IFERROR(__xludf.DUMMYFUNCTION("""COMPUTED_VALUE"""),"www.munzee.com")</f>
        <v>www.munzee.com</v>
      </c>
      <c r="L126" s="47" t="str">
        <f>IFERROR(__xludf.DUMMYFUNCTION("""COMPUTED_VALUE"""),"m")</f>
        <v>m</v>
      </c>
      <c r="M126" s="47" t="str">
        <f>IFERROR(__xludf.DUMMYFUNCTION("""COMPUTED_VALUE"""),"Anetzet")</f>
        <v>Anetzet</v>
      </c>
    </row>
    <row r="127">
      <c r="A127" s="47" t="str">
        <f>IFERROR(__xludf.DUMMYFUNCTION("""COMPUTED_VALUE"""),"Virtual Brown")</f>
        <v>Virtual Brown</v>
      </c>
      <c r="B127" s="47" t="str">
        <f>IFERROR(__xludf.DUMMYFUNCTION("""COMPUTED_VALUE"""),"babyw")</f>
        <v>babyw</v>
      </c>
      <c r="C127" s="78" t="str">
        <f>IFERROR(__xludf.DUMMYFUNCTION("""COMPUTED_VALUE"""),"https://www.munzee.com/m/babyw/3041/")</f>
        <v>https://www.munzee.com/m/babyw/3041/</v>
      </c>
      <c r="D127" s="79"/>
      <c r="E127" s="47" t="b">
        <f>IFERROR(__xludf.DUMMYFUNCTION("""COMPUTED_VALUE"""),TRUE)</f>
        <v>1</v>
      </c>
      <c r="F127" s="47" t="str">
        <f>IFERROR(__xludf.DUMMYFUNCTION("""COMPUTED_VALUE"""),"")</f>
        <v/>
      </c>
      <c r="G127" s="47" t="str">
        <f>IFERROR(__xludf.DUMMYFUNCTION("""COMPUTED_VALUE"""),"")</f>
        <v/>
      </c>
      <c r="H127" s="47"/>
      <c r="I127" s="47">
        <f>IFERROR(__xludf.DUMMYFUNCTION("""COMPUTED_VALUE"""),2.0)</f>
        <v>2</v>
      </c>
      <c r="J127" s="47" t="str">
        <f>IFERROR(__xludf.DUMMYFUNCTION("""COMPUTED_VALUE"""),"https:")</f>
        <v>https:</v>
      </c>
      <c r="K127" s="78" t="str">
        <f>IFERROR(__xludf.DUMMYFUNCTION("""COMPUTED_VALUE"""),"www.munzee.com")</f>
        <v>www.munzee.com</v>
      </c>
      <c r="L127" s="47" t="str">
        <f>IFERROR(__xludf.DUMMYFUNCTION("""COMPUTED_VALUE"""),"m")</f>
        <v>m</v>
      </c>
      <c r="M127" s="47" t="str">
        <f>IFERROR(__xludf.DUMMYFUNCTION("""COMPUTED_VALUE"""),"babyw")</f>
        <v>babyw</v>
      </c>
    </row>
    <row r="128">
      <c r="A128" s="47" t="str">
        <f>IFERROR(__xludf.DUMMYFUNCTION("""COMPUTED_VALUE"""),"Virtual Raw Sienna")</f>
        <v>Virtual Raw Sienna</v>
      </c>
      <c r="B128" s="47" t="str">
        <f>IFERROR(__xludf.DUMMYFUNCTION("""COMPUTED_VALUE"""),"Aniara")</f>
        <v>Aniara</v>
      </c>
      <c r="C128" s="78" t="str">
        <f>IFERROR(__xludf.DUMMYFUNCTION("""COMPUTED_VALUE"""),"https://www.munzee.com/m/Aniara/6431/")</f>
        <v>https://www.munzee.com/m/Aniara/6431/</v>
      </c>
      <c r="D128" s="47"/>
      <c r="E128" s="47" t="b">
        <f>IFERROR(__xludf.DUMMYFUNCTION("""COMPUTED_VALUE"""),TRUE)</f>
        <v>1</v>
      </c>
      <c r="F128" s="47" t="str">
        <f>IFERROR(__xludf.DUMMYFUNCTION("""COMPUTED_VALUE"""),"")</f>
        <v/>
      </c>
      <c r="G128" s="47" t="str">
        <f>IFERROR(__xludf.DUMMYFUNCTION("""COMPUTED_VALUE"""),"")</f>
        <v/>
      </c>
      <c r="H128" s="47"/>
      <c r="I128" s="47">
        <f>IFERROR(__xludf.DUMMYFUNCTION("""COMPUTED_VALUE"""),2.0)</f>
        <v>2</v>
      </c>
      <c r="J128" s="47" t="str">
        <f>IFERROR(__xludf.DUMMYFUNCTION("""COMPUTED_VALUE"""),"https:")</f>
        <v>https:</v>
      </c>
      <c r="K128" s="78" t="str">
        <f>IFERROR(__xludf.DUMMYFUNCTION("""COMPUTED_VALUE"""),"www.munzee.com")</f>
        <v>www.munzee.com</v>
      </c>
      <c r="L128" s="47" t="str">
        <f>IFERROR(__xludf.DUMMYFUNCTION("""COMPUTED_VALUE"""),"m")</f>
        <v>m</v>
      </c>
      <c r="M128" s="47" t="str">
        <f>IFERROR(__xludf.DUMMYFUNCTION("""COMPUTED_VALUE"""),"Aniara")</f>
        <v>Aniara</v>
      </c>
    </row>
    <row r="129">
      <c r="A129" s="47" t="str">
        <f>IFERROR(__xludf.DUMMYFUNCTION("""COMPUTED_VALUE"""),"Virtual Brown")</f>
        <v>Virtual Brown</v>
      </c>
      <c r="B129" s="47" t="str">
        <f>IFERROR(__xludf.DUMMYFUNCTION("""COMPUTED_VALUE"""),"OdinsFiRe")</f>
        <v>OdinsFiRe</v>
      </c>
      <c r="C129" s="78" t="str">
        <f>IFERROR(__xludf.DUMMYFUNCTION("""COMPUTED_VALUE"""),"https://www.munzee.com/m/OdinsFiRe/1521")</f>
        <v>https://www.munzee.com/m/OdinsFiRe/1521</v>
      </c>
      <c r="D129" s="47"/>
      <c r="E129" s="47" t="b">
        <f>IFERROR(__xludf.DUMMYFUNCTION("""COMPUTED_VALUE"""),TRUE)</f>
        <v>1</v>
      </c>
      <c r="F129" s="47" t="str">
        <f>IFERROR(__xludf.DUMMYFUNCTION("""COMPUTED_VALUE"""),"")</f>
        <v/>
      </c>
      <c r="G129" s="47" t="str">
        <f>IFERROR(__xludf.DUMMYFUNCTION("""COMPUTED_VALUE"""),"")</f>
        <v/>
      </c>
      <c r="H129" s="47"/>
      <c r="I129" s="47">
        <f>IFERROR(__xludf.DUMMYFUNCTION("""COMPUTED_VALUE"""),2.0)</f>
        <v>2</v>
      </c>
      <c r="J129" s="47" t="str">
        <f>IFERROR(__xludf.DUMMYFUNCTION("""COMPUTED_VALUE"""),"https:")</f>
        <v>https:</v>
      </c>
      <c r="K129" s="78" t="str">
        <f>IFERROR(__xludf.DUMMYFUNCTION("""COMPUTED_VALUE"""),"www.munzee.com")</f>
        <v>www.munzee.com</v>
      </c>
      <c r="L129" s="47" t="str">
        <f>IFERROR(__xludf.DUMMYFUNCTION("""COMPUTED_VALUE"""),"m")</f>
        <v>m</v>
      </c>
      <c r="M129" s="47" t="str">
        <f>IFERROR(__xludf.DUMMYFUNCTION("""COMPUTED_VALUE"""),"OdinsFiRe")</f>
        <v>OdinsFiRe</v>
      </c>
    </row>
    <row r="130">
      <c r="A130" s="47" t="str">
        <f>IFERROR(__xludf.DUMMYFUNCTION("""COMPUTED_VALUE"""),"Virtual Brown")</f>
        <v>Virtual Brown</v>
      </c>
      <c r="B130" s="47" t="str">
        <f>IFERROR(__xludf.DUMMYFUNCTION("""COMPUTED_VALUE"""),"Phatcapper")</f>
        <v>Phatcapper</v>
      </c>
      <c r="C130" s="78" t="str">
        <f>IFERROR(__xludf.DUMMYFUNCTION("""COMPUTED_VALUE"""),"https://www.munzee.com/m/PhatCapper/784/")</f>
        <v>https://www.munzee.com/m/PhatCapper/784/</v>
      </c>
      <c r="D130" s="47"/>
      <c r="E130" s="47" t="b">
        <f>IFERROR(__xludf.DUMMYFUNCTION("""COMPUTED_VALUE"""),TRUE)</f>
        <v>1</v>
      </c>
      <c r="F130" s="47"/>
      <c r="G130" s="47" t="str">
        <f>IFERROR(__xludf.DUMMYFUNCTION("""COMPUTED_VALUE"""),"")</f>
        <v/>
      </c>
      <c r="H130" s="47"/>
      <c r="I130" s="47">
        <f>IFERROR(__xludf.DUMMYFUNCTION("""COMPUTED_VALUE"""),2.0)</f>
        <v>2</v>
      </c>
      <c r="J130" s="47" t="str">
        <f>IFERROR(__xludf.DUMMYFUNCTION("""COMPUTED_VALUE"""),"https:")</f>
        <v>https:</v>
      </c>
      <c r="K130" s="78" t="str">
        <f>IFERROR(__xludf.DUMMYFUNCTION("""COMPUTED_VALUE"""),"www.munzee.com")</f>
        <v>www.munzee.com</v>
      </c>
      <c r="L130" s="47" t="str">
        <f>IFERROR(__xludf.DUMMYFUNCTION("""COMPUTED_VALUE"""),"m")</f>
        <v>m</v>
      </c>
      <c r="M130" s="47" t="str">
        <f>IFERROR(__xludf.DUMMYFUNCTION("""COMPUTED_VALUE"""),"PhatCapper")</f>
        <v>PhatCapper</v>
      </c>
    </row>
    <row r="131">
      <c r="A131" s="47" t="str">
        <f>IFERROR(__xludf.DUMMYFUNCTION("""COMPUTED_VALUE"""),"Virtual Raw Sienna")</f>
        <v>Virtual Raw Sienna</v>
      </c>
      <c r="B131" s="47" t="str">
        <f>IFERROR(__xludf.DUMMYFUNCTION("""COMPUTED_VALUE"""),"fsafranek")</f>
        <v>fsafranek</v>
      </c>
      <c r="C131" s="78" t="str">
        <f>IFERROR(__xludf.DUMMYFUNCTION("""COMPUTED_VALUE"""),"https://www.munzee.com/m/fsafranek/4261/")</f>
        <v>https://www.munzee.com/m/fsafranek/4261/</v>
      </c>
      <c r="D131" s="47"/>
      <c r="E131" s="47" t="b">
        <f>IFERROR(__xludf.DUMMYFUNCTION("""COMPUTED_VALUE"""),TRUE)</f>
        <v>1</v>
      </c>
      <c r="F131" s="47" t="str">
        <f>IFERROR(__xludf.DUMMYFUNCTION("""COMPUTED_VALUE"""),"")</f>
        <v/>
      </c>
      <c r="G131" s="47" t="str">
        <f>IFERROR(__xludf.DUMMYFUNCTION("""COMPUTED_VALUE"""),"")</f>
        <v/>
      </c>
      <c r="H131" s="47"/>
      <c r="I131" s="47">
        <f>IFERROR(__xludf.DUMMYFUNCTION("""COMPUTED_VALUE"""),2.0)</f>
        <v>2</v>
      </c>
      <c r="J131" s="47" t="str">
        <f>IFERROR(__xludf.DUMMYFUNCTION("""COMPUTED_VALUE"""),"https:")</f>
        <v>https:</v>
      </c>
      <c r="K131" s="78" t="str">
        <f>IFERROR(__xludf.DUMMYFUNCTION("""COMPUTED_VALUE"""),"www.munzee.com")</f>
        <v>www.munzee.com</v>
      </c>
      <c r="L131" s="47" t="str">
        <f>IFERROR(__xludf.DUMMYFUNCTION("""COMPUTED_VALUE"""),"m")</f>
        <v>m</v>
      </c>
      <c r="M131" s="47" t="str">
        <f>IFERROR(__xludf.DUMMYFUNCTION("""COMPUTED_VALUE"""),"fsafranek")</f>
        <v>fsafranek</v>
      </c>
    </row>
    <row r="132">
      <c r="A132" s="47" t="str">
        <f>IFERROR(__xludf.DUMMYFUNCTION("""COMPUTED_VALUE"""),"Virtual Brown")</f>
        <v>Virtual Brown</v>
      </c>
      <c r="B132" s="47" t="str">
        <f>IFERROR(__xludf.DUMMYFUNCTION("""COMPUTED_VALUE"""),"cbf600")</f>
        <v>cbf600</v>
      </c>
      <c r="C132" s="78" t="str">
        <f>IFERROR(__xludf.DUMMYFUNCTION("""COMPUTED_VALUE"""),"https://www.munzee.com/m/cbf600/2307/")</f>
        <v>https://www.munzee.com/m/cbf600/2307/</v>
      </c>
      <c r="D132" s="47"/>
      <c r="E132" s="47" t="b">
        <f>IFERROR(__xludf.DUMMYFUNCTION("""COMPUTED_VALUE"""),TRUE)</f>
        <v>1</v>
      </c>
      <c r="F132" s="47" t="str">
        <f>IFERROR(__xludf.DUMMYFUNCTION("""COMPUTED_VALUE"""),"")</f>
        <v/>
      </c>
      <c r="G132" s="47" t="str">
        <f>IFERROR(__xludf.DUMMYFUNCTION("""COMPUTED_VALUE"""),"")</f>
        <v/>
      </c>
      <c r="H132" s="47"/>
      <c r="I132" s="47">
        <f>IFERROR(__xludf.DUMMYFUNCTION("""COMPUTED_VALUE"""),2.0)</f>
        <v>2</v>
      </c>
      <c r="J132" s="47" t="str">
        <f>IFERROR(__xludf.DUMMYFUNCTION("""COMPUTED_VALUE"""),"https:")</f>
        <v>https:</v>
      </c>
      <c r="K132" s="78" t="str">
        <f>IFERROR(__xludf.DUMMYFUNCTION("""COMPUTED_VALUE"""),"www.munzee.com")</f>
        <v>www.munzee.com</v>
      </c>
      <c r="L132" s="47" t="str">
        <f>IFERROR(__xludf.DUMMYFUNCTION("""COMPUTED_VALUE"""),"m")</f>
        <v>m</v>
      </c>
      <c r="M132" s="47" t="str">
        <f>IFERROR(__xludf.DUMMYFUNCTION("""COMPUTED_VALUE"""),"cbf600")</f>
        <v>cbf600</v>
      </c>
    </row>
    <row r="133">
      <c r="A133" s="47" t="str">
        <f>IFERROR(__xludf.DUMMYFUNCTION("""COMPUTED_VALUE"""),"Virtual Raw Sienna")</f>
        <v>Virtual Raw Sienna</v>
      </c>
      <c r="B133" s="47" t="str">
        <f>IFERROR(__xludf.DUMMYFUNCTION("""COMPUTED_VALUE"""),"IggiePiggie")</f>
        <v>IggiePiggie</v>
      </c>
      <c r="C133" s="78" t="str">
        <f>IFERROR(__xludf.DUMMYFUNCTION("""COMPUTED_VALUE"""),"https://www.munzee.com/m/IggiePiggie/1772/")</f>
        <v>https://www.munzee.com/m/IggiePiggie/1772/</v>
      </c>
      <c r="D133" s="47"/>
      <c r="E133" s="47" t="b">
        <f>IFERROR(__xludf.DUMMYFUNCTION("""COMPUTED_VALUE"""),TRUE)</f>
        <v>1</v>
      </c>
      <c r="F133" s="47" t="str">
        <f>IFERROR(__xludf.DUMMYFUNCTION("""COMPUTED_VALUE"""),"")</f>
        <v/>
      </c>
      <c r="G133" s="47" t="str">
        <f>IFERROR(__xludf.DUMMYFUNCTION("""COMPUTED_VALUE"""),"")</f>
        <v/>
      </c>
      <c r="H133" s="47"/>
      <c r="I133" s="47">
        <f>IFERROR(__xludf.DUMMYFUNCTION("""COMPUTED_VALUE"""),2.0)</f>
        <v>2</v>
      </c>
      <c r="J133" s="47" t="str">
        <f>IFERROR(__xludf.DUMMYFUNCTION("""COMPUTED_VALUE"""),"https:")</f>
        <v>https:</v>
      </c>
      <c r="K133" s="78" t="str">
        <f>IFERROR(__xludf.DUMMYFUNCTION("""COMPUTED_VALUE"""),"www.munzee.com")</f>
        <v>www.munzee.com</v>
      </c>
      <c r="L133" s="47" t="str">
        <f>IFERROR(__xludf.DUMMYFUNCTION("""COMPUTED_VALUE"""),"m")</f>
        <v>m</v>
      </c>
      <c r="M133" s="47" t="str">
        <f>IFERROR(__xludf.DUMMYFUNCTION("""COMPUTED_VALUE"""),"IggiePiggie")</f>
        <v>IggiePiggie</v>
      </c>
    </row>
    <row r="134">
      <c r="A134" s="47" t="str">
        <f>IFERROR(__xludf.DUMMYFUNCTION("""COMPUTED_VALUE"""),"Virtual Brown")</f>
        <v>Virtual Brown</v>
      </c>
      <c r="B134" s="47" t="str">
        <f>IFERROR(__xludf.DUMMYFUNCTION("""COMPUTED_VALUE"""),"Drazoria")</f>
        <v>Drazoria</v>
      </c>
      <c r="C134" s="78" t="str">
        <f>IFERROR(__xludf.DUMMYFUNCTION("""COMPUTED_VALUE"""),"https://www.munzee.com/m/Drazoria/661")</f>
        <v>https://www.munzee.com/m/Drazoria/661</v>
      </c>
      <c r="D134" s="47"/>
      <c r="E134" s="47" t="b">
        <f>IFERROR(__xludf.DUMMYFUNCTION("""COMPUTED_VALUE"""),TRUE)</f>
        <v>1</v>
      </c>
      <c r="F134" s="47" t="str">
        <f>IFERROR(__xludf.DUMMYFUNCTION("""COMPUTED_VALUE"""),"")</f>
        <v/>
      </c>
      <c r="G134" s="47" t="str">
        <f>IFERROR(__xludf.DUMMYFUNCTION("""COMPUTED_VALUE"""),"")</f>
        <v/>
      </c>
      <c r="H134" s="47"/>
      <c r="I134" s="47">
        <f>IFERROR(__xludf.DUMMYFUNCTION("""COMPUTED_VALUE"""),2.0)</f>
        <v>2</v>
      </c>
      <c r="J134" s="47" t="str">
        <f>IFERROR(__xludf.DUMMYFUNCTION("""COMPUTED_VALUE"""),"https:")</f>
        <v>https:</v>
      </c>
      <c r="K134" s="78" t="str">
        <f>IFERROR(__xludf.DUMMYFUNCTION("""COMPUTED_VALUE"""),"www.munzee.com")</f>
        <v>www.munzee.com</v>
      </c>
      <c r="L134" s="47" t="str">
        <f>IFERROR(__xludf.DUMMYFUNCTION("""COMPUTED_VALUE"""),"m")</f>
        <v>m</v>
      </c>
      <c r="M134" s="47" t="str">
        <f>IFERROR(__xludf.DUMMYFUNCTION("""COMPUTED_VALUE"""),"Drazoria")</f>
        <v>Drazoria</v>
      </c>
    </row>
    <row r="135">
      <c r="A135" s="47" t="str">
        <f>IFERROR(__xludf.DUMMYFUNCTION("""COMPUTED_VALUE"""),"Virtual Brown")</f>
        <v>Virtual Brown</v>
      </c>
      <c r="B135" s="47" t="str">
        <f>IFERROR(__xludf.DUMMYFUNCTION("""COMPUTED_VALUE"""),"Tinake1309")</f>
        <v>Tinake1309</v>
      </c>
      <c r="C135" s="78" t="str">
        <f>IFERROR(__xludf.DUMMYFUNCTION("""COMPUTED_VALUE"""),"https://www.munzee.com/m/Tinake1309/668")</f>
        <v>https://www.munzee.com/m/Tinake1309/668</v>
      </c>
      <c r="D135" s="47"/>
      <c r="E135" s="47" t="b">
        <f>IFERROR(__xludf.DUMMYFUNCTION("""COMPUTED_VALUE"""),TRUE)</f>
        <v>1</v>
      </c>
      <c r="F135" s="47" t="str">
        <f>IFERROR(__xludf.DUMMYFUNCTION("""COMPUTED_VALUE"""),"")</f>
        <v/>
      </c>
      <c r="G135" s="47" t="str">
        <f>IFERROR(__xludf.DUMMYFUNCTION("""COMPUTED_VALUE"""),"")</f>
        <v/>
      </c>
      <c r="H135" s="47"/>
      <c r="I135" s="47">
        <f>IFERROR(__xludf.DUMMYFUNCTION("""COMPUTED_VALUE"""),2.0)</f>
        <v>2</v>
      </c>
      <c r="J135" s="47" t="str">
        <f>IFERROR(__xludf.DUMMYFUNCTION("""COMPUTED_VALUE"""),"https:")</f>
        <v>https:</v>
      </c>
      <c r="K135" s="78" t="str">
        <f>IFERROR(__xludf.DUMMYFUNCTION("""COMPUTED_VALUE"""),"www.munzee.com")</f>
        <v>www.munzee.com</v>
      </c>
      <c r="L135" s="47" t="str">
        <f>IFERROR(__xludf.DUMMYFUNCTION("""COMPUTED_VALUE"""),"m")</f>
        <v>m</v>
      </c>
      <c r="M135" s="47" t="str">
        <f>IFERROR(__xludf.DUMMYFUNCTION("""COMPUTED_VALUE"""),"Tinake1309")</f>
        <v>Tinake1309</v>
      </c>
    </row>
    <row r="136">
      <c r="A136" s="47" t="str">
        <f>IFERROR(__xludf.DUMMYFUNCTION("""COMPUTED_VALUE"""),"Virtual Brown")</f>
        <v>Virtual Brown</v>
      </c>
      <c r="B136" s="47" t="str">
        <f>IFERROR(__xludf.DUMMYFUNCTION("""COMPUTED_VALUE"""),"Berg14 ")</f>
        <v>Berg14 </v>
      </c>
      <c r="C136" s="78" t="str">
        <f>IFERROR(__xludf.DUMMYFUNCTION("""COMPUTED_VALUE"""),"https://www.munzee.com/m/Berg14/444")</f>
        <v>https://www.munzee.com/m/Berg14/444</v>
      </c>
      <c r="D136" s="47"/>
      <c r="E136" s="47" t="b">
        <f>IFERROR(__xludf.DUMMYFUNCTION("""COMPUTED_VALUE"""),TRUE)</f>
        <v>1</v>
      </c>
      <c r="F136" s="47" t="str">
        <f>IFERROR(__xludf.DUMMYFUNCTION("""COMPUTED_VALUE"""),"")</f>
        <v/>
      </c>
      <c r="G136" s="47" t="str">
        <f>IFERROR(__xludf.DUMMYFUNCTION("""COMPUTED_VALUE"""),"")</f>
        <v/>
      </c>
      <c r="H136" s="47"/>
      <c r="I136" s="47">
        <f>IFERROR(__xludf.DUMMYFUNCTION("""COMPUTED_VALUE"""),2.0)</f>
        <v>2</v>
      </c>
      <c r="J136" s="47" t="str">
        <f>IFERROR(__xludf.DUMMYFUNCTION("""COMPUTED_VALUE"""),"https:")</f>
        <v>https:</v>
      </c>
      <c r="K136" s="78" t="str">
        <f>IFERROR(__xludf.DUMMYFUNCTION("""COMPUTED_VALUE"""),"www.munzee.com")</f>
        <v>www.munzee.com</v>
      </c>
      <c r="L136" s="47" t="str">
        <f>IFERROR(__xludf.DUMMYFUNCTION("""COMPUTED_VALUE"""),"m")</f>
        <v>m</v>
      </c>
      <c r="M136" s="47" t="str">
        <f>IFERROR(__xludf.DUMMYFUNCTION("""COMPUTED_VALUE"""),"Berg14")</f>
        <v>Berg14</v>
      </c>
    </row>
    <row r="137">
      <c r="A137" s="47" t="str">
        <f>IFERROR(__xludf.DUMMYFUNCTION("""COMPUTED_VALUE"""),"Virtual Brown")</f>
        <v>Virtual Brown</v>
      </c>
      <c r="B137" s="47" t="str">
        <f>IFERROR(__xludf.DUMMYFUNCTION("""COMPUTED_VALUE"""),"Niks13")</f>
        <v>Niks13</v>
      </c>
      <c r="C137" s="78" t="str">
        <f>IFERROR(__xludf.DUMMYFUNCTION("""COMPUTED_VALUE"""),"https://www.munzee.com/m/Niks13/422")</f>
        <v>https://www.munzee.com/m/Niks13/422</v>
      </c>
      <c r="D137" s="47"/>
      <c r="E137" s="47" t="b">
        <f>IFERROR(__xludf.DUMMYFUNCTION("""COMPUTED_VALUE"""),TRUE)</f>
        <v>1</v>
      </c>
      <c r="F137" s="47" t="str">
        <f>IFERROR(__xludf.DUMMYFUNCTION("""COMPUTED_VALUE"""),"")</f>
        <v/>
      </c>
      <c r="G137" s="47" t="str">
        <f>IFERROR(__xludf.DUMMYFUNCTION("""COMPUTED_VALUE"""),"")</f>
        <v/>
      </c>
      <c r="H137" s="47"/>
      <c r="I137" s="47">
        <f>IFERROR(__xludf.DUMMYFUNCTION("""COMPUTED_VALUE"""),2.0)</f>
        <v>2</v>
      </c>
      <c r="J137" s="47" t="str">
        <f>IFERROR(__xludf.DUMMYFUNCTION("""COMPUTED_VALUE"""),"https:")</f>
        <v>https:</v>
      </c>
      <c r="K137" s="78" t="str">
        <f>IFERROR(__xludf.DUMMYFUNCTION("""COMPUTED_VALUE"""),"www.munzee.com")</f>
        <v>www.munzee.com</v>
      </c>
      <c r="L137" s="47" t="str">
        <f>IFERROR(__xludf.DUMMYFUNCTION("""COMPUTED_VALUE"""),"m")</f>
        <v>m</v>
      </c>
      <c r="M137" s="47" t="str">
        <f>IFERROR(__xludf.DUMMYFUNCTION("""COMPUTED_VALUE"""),"Niks13")</f>
        <v>Niks13</v>
      </c>
    </row>
    <row r="138">
      <c r="A138" s="47" t="str">
        <f>IFERROR(__xludf.DUMMYFUNCTION("""COMPUTED_VALUE"""),"Virtual Brown")</f>
        <v>Virtual Brown</v>
      </c>
      <c r="B138" s="47" t="str">
        <f>IFERROR(__xludf.DUMMYFUNCTION("""COMPUTED_VALUE"""),"GroteSUfferd")</f>
        <v>GroteSUfferd</v>
      </c>
      <c r="C138" s="78" t="str">
        <f>IFERROR(__xludf.DUMMYFUNCTION("""COMPUTED_VALUE"""),"https://www.munzee.com/m/GroteSufferd/308/")</f>
        <v>https://www.munzee.com/m/GroteSufferd/308/</v>
      </c>
      <c r="D138" s="47"/>
      <c r="E138" s="47" t="b">
        <f>IFERROR(__xludf.DUMMYFUNCTION("""COMPUTED_VALUE"""),TRUE)</f>
        <v>1</v>
      </c>
      <c r="F138" s="47" t="str">
        <f>IFERROR(__xludf.DUMMYFUNCTION("""COMPUTED_VALUE"""),"")</f>
        <v/>
      </c>
      <c r="G138" s="47" t="str">
        <f>IFERROR(__xludf.DUMMYFUNCTION("""COMPUTED_VALUE"""),"")</f>
        <v/>
      </c>
      <c r="H138" s="47"/>
      <c r="I138" s="47">
        <f>IFERROR(__xludf.DUMMYFUNCTION("""COMPUTED_VALUE"""),2.0)</f>
        <v>2</v>
      </c>
      <c r="J138" s="47" t="str">
        <f>IFERROR(__xludf.DUMMYFUNCTION("""COMPUTED_VALUE"""),"https:")</f>
        <v>https:</v>
      </c>
      <c r="K138" s="78" t="str">
        <f>IFERROR(__xludf.DUMMYFUNCTION("""COMPUTED_VALUE"""),"www.munzee.com")</f>
        <v>www.munzee.com</v>
      </c>
      <c r="L138" s="47" t="str">
        <f>IFERROR(__xludf.DUMMYFUNCTION("""COMPUTED_VALUE"""),"m")</f>
        <v>m</v>
      </c>
      <c r="M138" s="47" t="str">
        <f>IFERROR(__xludf.DUMMYFUNCTION("""COMPUTED_VALUE"""),"GroteSufferd")</f>
        <v>GroteSufferd</v>
      </c>
    </row>
    <row r="139">
      <c r="A139" s="47" t="str">
        <f>IFERROR(__xludf.DUMMYFUNCTION("""COMPUTED_VALUE"""),"Virtual Brown")</f>
        <v>Virtual Brown</v>
      </c>
      <c r="B139" s="47" t="str">
        <f>IFERROR(__xludf.DUMMYFUNCTION("""COMPUTED_VALUE"""),"Questing4 ")</f>
        <v>Questing4 </v>
      </c>
      <c r="C139" s="78" t="str">
        <f>IFERROR(__xludf.DUMMYFUNCTION("""COMPUTED_VALUE"""),"https://www.munzee.com/m/Questing4/7110")</f>
        <v>https://www.munzee.com/m/Questing4/7110</v>
      </c>
      <c r="D139" s="47"/>
      <c r="E139" s="47" t="b">
        <f>IFERROR(__xludf.DUMMYFUNCTION("""COMPUTED_VALUE"""),TRUE)</f>
        <v>1</v>
      </c>
      <c r="F139" s="47" t="str">
        <f>IFERROR(__xludf.DUMMYFUNCTION("""COMPUTED_VALUE"""),"")</f>
        <v/>
      </c>
      <c r="G139" s="47" t="str">
        <f>IFERROR(__xludf.DUMMYFUNCTION("""COMPUTED_VALUE"""),"")</f>
        <v/>
      </c>
      <c r="H139" s="47"/>
      <c r="I139" s="47">
        <f>IFERROR(__xludf.DUMMYFUNCTION("""COMPUTED_VALUE"""),2.0)</f>
        <v>2</v>
      </c>
      <c r="J139" s="47" t="str">
        <f>IFERROR(__xludf.DUMMYFUNCTION("""COMPUTED_VALUE"""),"https:")</f>
        <v>https:</v>
      </c>
      <c r="K139" s="78" t="str">
        <f>IFERROR(__xludf.DUMMYFUNCTION("""COMPUTED_VALUE"""),"www.munzee.com")</f>
        <v>www.munzee.com</v>
      </c>
      <c r="L139" s="47" t="str">
        <f>IFERROR(__xludf.DUMMYFUNCTION("""COMPUTED_VALUE"""),"m")</f>
        <v>m</v>
      </c>
      <c r="M139" s="47" t="str">
        <f>IFERROR(__xludf.DUMMYFUNCTION("""COMPUTED_VALUE"""),"Questing4")</f>
        <v>Questing4</v>
      </c>
    </row>
    <row r="140">
      <c r="A140" s="47" t="str">
        <f>IFERROR(__xludf.DUMMYFUNCTION("""COMPUTED_VALUE"""),"Virtual Brown")</f>
        <v>Virtual Brown</v>
      </c>
      <c r="B140" s="47" t="str">
        <f>IFERROR(__xludf.DUMMYFUNCTION("""COMPUTED_VALUE"""),"Bisquick2")</f>
        <v>Bisquick2</v>
      </c>
      <c r="C140" s="78" t="str">
        <f>IFERROR(__xludf.DUMMYFUNCTION("""COMPUTED_VALUE"""),"https://www.munzee.com/m/Bisquick2/4004")</f>
        <v>https://www.munzee.com/m/Bisquick2/4004</v>
      </c>
      <c r="D140" s="47"/>
      <c r="E140" s="47" t="b">
        <f>IFERROR(__xludf.DUMMYFUNCTION("""COMPUTED_VALUE"""),TRUE)</f>
        <v>1</v>
      </c>
      <c r="F140" s="47" t="str">
        <f>IFERROR(__xludf.DUMMYFUNCTION("""COMPUTED_VALUE"""),"")</f>
        <v/>
      </c>
      <c r="G140" s="47" t="str">
        <f>IFERROR(__xludf.DUMMYFUNCTION("""COMPUTED_VALUE"""),"")</f>
        <v/>
      </c>
      <c r="H140" s="47"/>
      <c r="I140" s="47">
        <f>IFERROR(__xludf.DUMMYFUNCTION("""COMPUTED_VALUE"""),2.0)</f>
        <v>2</v>
      </c>
      <c r="J140" s="47" t="str">
        <f>IFERROR(__xludf.DUMMYFUNCTION("""COMPUTED_VALUE"""),"https:")</f>
        <v>https:</v>
      </c>
      <c r="K140" s="78" t="str">
        <f>IFERROR(__xludf.DUMMYFUNCTION("""COMPUTED_VALUE"""),"www.munzee.com")</f>
        <v>www.munzee.com</v>
      </c>
      <c r="L140" s="47" t="str">
        <f>IFERROR(__xludf.DUMMYFUNCTION("""COMPUTED_VALUE"""),"m")</f>
        <v>m</v>
      </c>
      <c r="M140" s="47" t="str">
        <f>IFERROR(__xludf.DUMMYFUNCTION("""COMPUTED_VALUE"""),"Bisquick2")</f>
        <v>Bisquick2</v>
      </c>
    </row>
    <row r="141">
      <c r="A141" s="47" t="str">
        <f>IFERROR(__xludf.DUMMYFUNCTION("""COMPUTED_VALUE"""),"Virtual Raw Sienna")</f>
        <v>Virtual Raw Sienna</v>
      </c>
      <c r="B141" s="47" t="str">
        <f>IFERROR(__xludf.DUMMYFUNCTION("""COMPUTED_VALUE"""),"Wangotango")</f>
        <v>Wangotango</v>
      </c>
      <c r="C141" s="78" t="str">
        <f>IFERROR(__xludf.DUMMYFUNCTION("""COMPUTED_VALUE"""),"https://www.munzee.com/m/Wangotango/1406/")</f>
        <v>https://www.munzee.com/m/Wangotango/1406/</v>
      </c>
      <c r="D141" s="47"/>
      <c r="E141" s="47" t="b">
        <f>IFERROR(__xludf.DUMMYFUNCTION("""COMPUTED_VALUE"""),TRUE)</f>
        <v>1</v>
      </c>
      <c r="F141" s="47" t="str">
        <f>IFERROR(__xludf.DUMMYFUNCTION("""COMPUTED_VALUE"""),"")</f>
        <v/>
      </c>
      <c r="G141" s="47" t="str">
        <f>IFERROR(__xludf.DUMMYFUNCTION("""COMPUTED_VALUE"""),"")</f>
        <v/>
      </c>
      <c r="H141" s="47"/>
      <c r="I141" s="47">
        <f>IFERROR(__xludf.DUMMYFUNCTION("""COMPUTED_VALUE"""),2.0)</f>
        <v>2</v>
      </c>
      <c r="J141" s="47" t="str">
        <f>IFERROR(__xludf.DUMMYFUNCTION("""COMPUTED_VALUE"""),"https:")</f>
        <v>https:</v>
      </c>
      <c r="K141" s="78" t="str">
        <f>IFERROR(__xludf.DUMMYFUNCTION("""COMPUTED_VALUE"""),"www.munzee.com")</f>
        <v>www.munzee.com</v>
      </c>
      <c r="L141" s="47" t="str">
        <f>IFERROR(__xludf.DUMMYFUNCTION("""COMPUTED_VALUE"""),"m")</f>
        <v>m</v>
      </c>
      <c r="M141" s="47" t="str">
        <f>IFERROR(__xludf.DUMMYFUNCTION("""COMPUTED_VALUE"""),"Wangotango")</f>
        <v>Wangotango</v>
      </c>
    </row>
    <row r="142">
      <c r="A142" s="47" t="str">
        <f>IFERROR(__xludf.DUMMYFUNCTION("""COMPUTED_VALUE"""),"Virtual Brown")</f>
        <v>Virtual Brown</v>
      </c>
      <c r="B142" s="47" t="str">
        <f>IFERROR(__xludf.DUMMYFUNCTION("""COMPUTED_VALUE"""),"upapou")</f>
        <v>upapou</v>
      </c>
      <c r="C142" s="78" t="str">
        <f>IFERROR(__xludf.DUMMYFUNCTION("""COMPUTED_VALUE"""),"https://www.munzee.com/m/upapou/1007/")</f>
        <v>https://www.munzee.com/m/upapou/1007/</v>
      </c>
      <c r="D142" s="47"/>
      <c r="E142" s="47" t="b">
        <f>IFERROR(__xludf.DUMMYFUNCTION("""COMPUTED_VALUE"""),TRUE)</f>
        <v>1</v>
      </c>
      <c r="F142" s="47" t="str">
        <f>IFERROR(__xludf.DUMMYFUNCTION("""COMPUTED_VALUE"""),"")</f>
        <v/>
      </c>
      <c r="G142" s="47" t="str">
        <f>IFERROR(__xludf.DUMMYFUNCTION("""COMPUTED_VALUE"""),"")</f>
        <v/>
      </c>
      <c r="H142" s="47"/>
      <c r="I142" s="47">
        <f>IFERROR(__xludf.DUMMYFUNCTION("""COMPUTED_VALUE"""),2.0)</f>
        <v>2</v>
      </c>
      <c r="J142" s="47" t="str">
        <f>IFERROR(__xludf.DUMMYFUNCTION("""COMPUTED_VALUE"""),"https:")</f>
        <v>https:</v>
      </c>
      <c r="K142" s="78" t="str">
        <f>IFERROR(__xludf.DUMMYFUNCTION("""COMPUTED_VALUE"""),"www.munzee.com")</f>
        <v>www.munzee.com</v>
      </c>
      <c r="L142" s="47" t="str">
        <f>IFERROR(__xludf.DUMMYFUNCTION("""COMPUTED_VALUE"""),"m")</f>
        <v>m</v>
      </c>
      <c r="M142" s="47" t="str">
        <f>IFERROR(__xludf.DUMMYFUNCTION("""COMPUTED_VALUE"""),"upapou")</f>
        <v>upapou</v>
      </c>
    </row>
    <row r="143">
      <c r="A143" s="47" t="str">
        <f>IFERROR(__xludf.DUMMYFUNCTION("""COMPUTED_VALUE"""),"Virtual Brown")</f>
        <v>Virtual Brown</v>
      </c>
      <c r="B143" s="47" t="str">
        <f>IFERROR(__xludf.DUMMYFUNCTION("""COMPUTED_VALUE"""),"Bungle")</f>
        <v>Bungle</v>
      </c>
      <c r="C143" s="78" t="str">
        <f>IFERROR(__xludf.DUMMYFUNCTION("""COMPUTED_VALUE"""),"https://www.munzee.com/m/Bungle/2734/")</f>
        <v>https://www.munzee.com/m/Bungle/2734/</v>
      </c>
      <c r="D143" s="47"/>
      <c r="E143" s="47" t="b">
        <f>IFERROR(__xludf.DUMMYFUNCTION("""COMPUTED_VALUE"""),TRUE)</f>
        <v>1</v>
      </c>
      <c r="F143" s="47" t="str">
        <f>IFERROR(__xludf.DUMMYFUNCTION("""COMPUTED_VALUE"""),"")</f>
        <v/>
      </c>
      <c r="G143" s="47" t="str">
        <f>IFERROR(__xludf.DUMMYFUNCTION("""COMPUTED_VALUE"""),"")</f>
        <v/>
      </c>
      <c r="H143" s="47"/>
      <c r="I143" s="47">
        <f>IFERROR(__xludf.DUMMYFUNCTION("""COMPUTED_VALUE"""),2.0)</f>
        <v>2</v>
      </c>
      <c r="J143" s="47" t="str">
        <f>IFERROR(__xludf.DUMMYFUNCTION("""COMPUTED_VALUE"""),"https:")</f>
        <v>https:</v>
      </c>
      <c r="K143" s="78" t="str">
        <f>IFERROR(__xludf.DUMMYFUNCTION("""COMPUTED_VALUE"""),"www.munzee.com")</f>
        <v>www.munzee.com</v>
      </c>
      <c r="L143" s="47" t="str">
        <f>IFERROR(__xludf.DUMMYFUNCTION("""COMPUTED_VALUE"""),"m")</f>
        <v>m</v>
      </c>
      <c r="M143" s="47" t="str">
        <f>IFERROR(__xludf.DUMMYFUNCTION("""COMPUTED_VALUE"""),"Bungle")</f>
        <v>Bungle</v>
      </c>
    </row>
    <row r="144">
      <c r="A144" s="47" t="str">
        <f>IFERROR(__xludf.DUMMYFUNCTION("""COMPUTED_VALUE"""),"Virtual Raw Sienna")</f>
        <v>Virtual Raw Sienna</v>
      </c>
      <c r="B144" s="47" t="str">
        <f>IFERROR(__xludf.DUMMYFUNCTION("""COMPUTED_VALUE"""),"Belladivadee ")</f>
        <v>Belladivadee </v>
      </c>
      <c r="C144" s="78" t="str">
        <f>IFERROR(__xludf.DUMMYFUNCTION("""COMPUTED_VALUE"""),"https://www.munzee.com/m/belladivadee/2962/")</f>
        <v>https://www.munzee.com/m/belladivadee/2962/</v>
      </c>
      <c r="D144" s="47"/>
      <c r="E144" s="47" t="b">
        <f>IFERROR(__xludf.DUMMYFUNCTION("""COMPUTED_VALUE"""),TRUE)</f>
        <v>1</v>
      </c>
      <c r="F144" s="47" t="str">
        <f>IFERROR(__xludf.DUMMYFUNCTION("""COMPUTED_VALUE"""),"")</f>
        <v/>
      </c>
      <c r="G144" s="47" t="str">
        <f>IFERROR(__xludf.DUMMYFUNCTION("""COMPUTED_VALUE"""),"")</f>
        <v/>
      </c>
      <c r="H144" s="47"/>
      <c r="I144" s="47">
        <f>IFERROR(__xludf.DUMMYFUNCTION("""COMPUTED_VALUE"""),2.0)</f>
        <v>2</v>
      </c>
      <c r="J144" s="47" t="str">
        <f>IFERROR(__xludf.DUMMYFUNCTION("""COMPUTED_VALUE"""),"https:")</f>
        <v>https:</v>
      </c>
      <c r="K144" s="78" t="str">
        <f>IFERROR(__xludf.DUMMYFUNCTION("""COMPUTED_VALUE"""),"www.munzee.com")</f>
        <v>www.munzee.com</v>
      </c>
      <c r="L144" s="47" t="str">
        <f>IFERROR(__xludf.DUMMYFUNCTION("""COMPUTED_VALUE"""),"m")</f>
        <v>m</v>
      </c>
      <c r="M144" s="47" t="str">
        <f>IFERROR(__xludf.DUMMYFUNCTION("""COMPUTED_VALUE"""),"belladivadee")</f>
        <v>belladivadee</v>
      </c>
    </row>
    <row r="145">
      <c r="A145" s="47" t="str">
        <f>IFERROR(__xludf.DUMMYFUNCTION("""COMPUTED_VALUE"""),"Virtual Brown")</f>
        <v>Virtual Brown</v>
      </c>
      <c r="B145" s="47" t="str">
        <f>IFERROR(__xludf.DUMMYFUNCTION("""COMPUTED_VALUE"""),"TheFrog")</f>
        <v>TheFrog</v>
      </c>
      <c r="C145" s="78" t="str">
        <f>IFERROR(__xludf.DUMMYFUNCTION("""COMPUTED_VALUE"""),"https://www.munzee.com/m/TheFrog/4048/")</f>
        <v>https://www.munzee.com/m/TheFrog/4048/</v>
      </c>
      <c r="D145" s="47"/>
      <c r="E145" s="47" t="b">
        <f>IFERROR(__xludf.DUMMYFUNCTION("""COMPUTED_VALUE"""),TRUE)</f>
        <v>1</v>
      </c>
      <c r="F145" s="47" t="str">
        <f>IFERROR(__xludf.DUMMYFUNCTION("""COMPUTED_VALUE"""),"")</f>
        <v/>
      </c>
      <c r="G145" s="47" t="str">
        <f>IFERROR(__xludf.DUMMYFUNCTION("""COMPUTED_VALUE"""),"")</f>
        <v/>
      </c>
      <c r="H145" s="47"/>
      <c r="I145" s="47">
        <f>IFERROR(__xludf.DUMMYFUNCTION("""COMPUTED_VALUE"""),2.0)</f>
        <v>2</v>
      </c>
      <c r="J145" s="47" t="str">
        <f>IFERROR(__xludf.DUMMYFUNCTION("""COMPUTED_VALUE"""),"https:")</f>
        <v>https:</v>
      </c>
      <c r="K145" s="78" t="str">
        <f>IFERROR(__xludf.DUMMYFUNCTION("""COMPUTED_VALUE"""),"www.munzee.com")</f>
        <v>www.munzee.com</v>
      </c>
      <c r="L145" s="47" t="str">
        <f>IFERROR(__xludf.DUMMYFUNCTION("""COMPUTED_VALUE"""),"m")</f>
        <v>m</v>
      </c>
      <c r="M145" s="47" t="str">
        <f>IFERROR(__xludf.DUMMYFUNCTION("""COMPUTED_VALUE"""),"TheFrog")</f>
        <v>TheFrog</v>
      </c>
    </row>
    <row r="146">
      <c r="A146" s="47" t="str">
        <f>IFERROR(__xludf.DUMMYFUNCTION("""COMPUTED_VALUE"""),"Virtual Brown")</f>
        <v>Virtual Brown</v>
      </c>
      <c r="B146" s="47" t="str">
        <f>IFERROR(__xludf.DUMMYFUNCTION("""COMPUTED_VALUE"""),"123xilef")</f>
        <v>123xilef</v>
      </c>
      <c r="C146" s="78" t="str">
        <f>IFERROR(__xludf.DUMMYFUNCTION("""COMPUTED_VALUE"""),"https://www.munzee.com/m/123xilef/6730/")</f>
        <v>https://www.munzee.com/m/123xilef/6730/</v>
      </c>
      <c r="D146" s="47"/>
      <c r="E146" s="47" t="b">
        <f>IFERROR(__xludf.DUMMYFUNCTION("""COMPUTED_VALUE"""),TRUE)</f>
        <v>1</v>
      </c>
      <c r="F146" s="47" t="str">
        <f>IFERROR(__xludf.DUMMYFUNCTION("""COMPUTED_VALUE"""),"")</f>
        <v/>
      </c>
      <c r="G146" s="47" t="str">
        <f>IFERROR(__xludf.DUMMYFUNCTION("""COMPUTED_VALUE"""),"")</f>
        <v/>
      </c>
      <c r="H146" s="47"/>
      <c r="I146" s="47">
        <f>IFERROR(__xludf.DUMMYFUNCTION("""COMPUTED_VALUE"""),2.0)</f>
        <v>2</v>
      </c>
      <c r="J146" s="47" t="str">
        <f>IFERROR(__xludf.DUMMYFUNCTION("""COMPUTED_VALUE"""),"https:")</f>
        <v>https:</v>
      </c>
      <c r="K146" s="78" t="str">
        <f>IFERROR(__xludf.DUMMYFUNCTION("""COMPUTED_VALUE"""),"www.munzee.com")</f>
        <v>www.munzee.com</v>
      </c>
      <c r="L146" s="47" t="str">
        <f>IFERROR(__xludf.DUMMYFUNCTION("""COMPUTED_VALUE"""),"m")</f>
        <v>m</v>
      </c>
      <c r="M146" s="47" t="str">
        <f>IFERROR(__xludf.DUMMYFUNCTION("""COMPUTED_VALUE"""),"123xilef")</f>
        <v>123xilef</v>
      </c>
    </row>
    <row r="147">
      <c r="A147" s="47" t="str">
        <f>IFERROR(__xludf.DUMMYFUNCTION("""COMPUTED_VALUE"""),"Virtual Raw Sienna")</f>
        <v>Virtual Raw Sienna</v>
      </c>
      <c r="B147" s="47" t="str">
        <f>IFERROR(__xludf.DUMMYFUNCTION("""COMPUTED_VALUE"""),"xrayneex")</f>
        <v>xrayneex</v>
      </c>
      <c r="C147" s="78" t="str">
        <f>IFERROR(__xludf.DUMMYFUNCTION("""COMPUTED_VALUE"""),"https://www.munzee.com/m/xrayneex/1305/")</f>
        <v>https://www.munzee.com/m/xrayneex/1305/</v>
      </c>
      <c r="D147" s="47"/>
      <c r="E147" s="47" t="b">
        <f>IFERROR(__xludf.DUMMYFUNCTION("""COMPUTED_VALUE"""),TRUE)</f>
        <v>1</v>
      </c>
      <c r="F147" s="47" t="str">
        <f>IFERROR(__xludf.DUMMYFUNCTION("""COMPUTED_VALUE"""),"")</f>
        <v/>
      </c>
      <c r="G147" s="47" t="str">
        <f>IFERROR(__xludf.DUMMYFUNCTION("""COMPUTED_VALUE"""),"")</f>
        <v/>
      </c>
      <c r="H147" s="47"/>
      <c r="I147" s="47">
        <f>IFERROR(__xludf.DUMMYFUNCTION("""COMPUTED_VALUE"""),2.0)</f>
        <v>2</v>
      </c>
      <c r="J147" s="47" t="str">
        <f>IFERROR(__xludf.DUMMYFUNCTION("""COMPUTED_VALUE"""),"https:")</f>
        <v>https:</v>
      </c>
      <c r="K147" s="78" t="str">
        <f>IFERROR(__xludf.DUMMYFUNCTION("""COMPUTED_VALUE"""),"www.munzee.com")</f>
        <v>www.munzee.com</v>
      </c>
      <c r="L147" s="47" t="str">
        <f>IFERROR(__xludf.DUMMYFUNCTION("""COMPUTED_VALUE"""),"m")</f>
        <v>m</v>
      </c>
      <c r="M147" s="47" t="str">
        <f>IFERROR(__xludf.DUMMYFUNCTION("""COMPUTED_VALUE"""),"xrayneex")</f>
        <v>xrayneex</v>
      </c>
    </row>
    <row r="148">
      <c r="A148" s="47" t="str">
        <f>IFERROR(__xludf.DUMMYFUNCTION("""COMPUTED_VALUE"""),"Virtual Brown")</f>
        <v>Virtual Brown</v>
      </c>
      <c r="B148" s="47" t="str">
        <f>IFERROR(__xludf.DUMMYFUNCTION("""COMPUTED_VALUE"""),"Phatcapper ")</f>
        <v>Phatcapper </v>
      </c>
      <c r="C148" s="78" t="str">
        <f>IFERROR(__xludf.DUMMYFUNCTION("""COMPUTED_VALUE"""),"https://www.munzee.com/m/PhatCapper/758/")</f>
        <v>https://www.munzee.com/m/PhatCapper/758/</v>
      </c>
      <c r="D148" s="47"/>
      <c r="E148" s="47" t="b">
        <f>IFERROR(__xludf.DUMMYFUNCTION("""COMPUTED_VALUE"""),TRUE)</f>
        <v>1</v>
      </c>
      <c r="F148" s="47" t="str">
        <f>IFERROR(__xludf.DUMMYFUNCTION("""COMPUTED_VALUE"""),"")</f>
        <v/>
      </c>
      <c r="G148" s="47" t="str">
        <f>IFERROR(__xludf.DUMMYFUNCTION("""COMPUTED_VALUE"""),"")</f>
        <v/>
      </c>
      <c r="H148" s="47"/>
      <c r="I148" s="47">
        <f>IFERROR(__xludf.DUMMYFUNCTION("""COMPUTED_VALUE"""),2.0)</f>
        <v>2</v>
      </c>
      <c r="J148" s="47" t="str">
        <f>IFERROR(__xludf.DUMMYFUNCTION("""COMPUTED_VALUE"""),"https:")</f>
        <v>https:</v>
      </c>
      <c r="K148" s="78" t="str">
        <f>IFERROR(__xludf.DUMMYFUNCTION("""COMPUTED_VALUE"""),"www.munzee.com")</f>
        <v>www.munzee.com</v>
      </c>
      <c r="L148" s="47" t="str">
        <f>IFERROR(__xludf.DUMMYFUNCTION("""COMPUTED_VALUE"""),"m")</f>
        <v>m</v>
      </c>
      <c r="M148" s="47" t="str">
        <f>IFERROR(__xludf.DUMMYFUNCTION("""COMPUTED_VALUE"""),"PhatCapper")</f>
        <v>PhatCapper</v>
      </c>
    </row>
    <row r="149">
      <c r="A149" s="47" t="str">
        <f>IFERROR(__xludf.DUMMYFUNCTION("""COMPUTED_VALUE"""),"Virtual Brown")</f>
        <v>Virtual Brown</v>
      </c>
      <c r="B149" s="47" t="str">
        <f>IFERROR(__xludf.DUMMYFUNCTION("""COMPUTED_VALUE"""),"TheFatCats")</f>
        <v>TheFatCats</v>
      </c>
      <c r="C149" s="78" t="str">
        <f>IFERROR(__xludf.DUMMYFUNCTION("""COMPUTED_VALUE"""),"https://www.munzee.com/m/TheFatCats/3637/")</f>
        <v>https://www.munzee.com/m/TheFatCats/3637/</v>
      </c>
      <c r="D149" s="47"/>
      <c r="E149" s="47" t="b">
        <f>IFERROR(__xludf.DUMMYFUNCTION("""COMPUTED_VALUE"""),TRUE)</f>
        <v>1</v>
      </c>
      <c r="F149" s="47" t="str">
        <f>IFERROR(__xludf.DUMMYFUNCTION("""COMPUTED_VALUE"""),"")</f>
        <v/>
      </c>
      <c r="G149" s="47" t="str">
        <f>IFERROR(__xludf.DUMMYFUNCTION("""COMPUTED_VALUE"""),"")</f>
        <v/>
      </c>
      <c r="H149" s="47"/>
      <c r="I149" s="47">
        <f>IFERROR(__xludf.DUMMYFUNCTION("""COMPUTED_VALUE"""),2.0)</f>
        <v>2</v>
      </c>
      <c r="J149" s="47" t="str">
        <f>IFERROR(__xludf.DUMMYFUNCTION("""COMPUTED_VALUE"""),"https:")</f>
        <v>https:</v>
      </c>
      <c r="K149" s="78" t="str">
        <f>IFERROR(__xludf.DUMMYFUNCTION("""COMPUTED_VALUE"""),"www.munzee.com")</f>
        <v>www.munzee.com</v>
      </c>
      <c r="L149" s="47" t="str">
        <f>IFERROR(__xludf.DUMMYFUNCTION("""COMPUTED_VALUE"""),"m")</f>
        <v>m</v>
      </c>
      <c r="M149" s="47" t="str">
        <f>IFERROR(__xludf.DUMMYFUNCTION("""COMPUTED_VALUE"""),"TheFatCats")</f>
        <v>TheFatCats</v>
      </c>
    </row>
    <row r="150">
      <c r="A150" s="47" t="str">
        <f>IFERROR(__xludf.DUMMYFUNCTION("""COMPUTED_VALUE"""),"Virtual Brown")</f>
        <v>Virtual Brown</v>
      </c>
      <c r="B150" s="47" t="str">
        <f>IFERROR(__xludf.DUMMYFUNCTION("""COMPUTED_VALUE"""),"KublaKhan")</f>
        <v>KublaKhan</v>
      </c>
      <c r="C150" s="78" t="str">
        <f>IFERROR(__xludf.DUMMYFUNCTION("""COMPUTED_VALUE"""),"https://www.munzee.com/m/KublaKhan/693/")</f>
        <v>https://www.munzee.com/m/KublaKhan/693/</v>
      </c>
      <c r="D150" s="47"/>
      <c r="E150" s="47" t="b">
        <f>IFERROR(__xludf.DUMMYFUNCTION("""COMPUTED_VALUE"""),TRUE)</f>
        <v>1</v>
      </c>
      <c r="F150" s="47" t="str">
        <f>IFERROR(__xludf.DUMMYFUNCTION("""COMPUTED_VALUE"""),"")</f>
        <v/>
      </c>
      <c r="G150" s="47" t="str">
        <f>IFERROR(__xludf.DUMMYFUNCTION("""COMPUTED_VALUE"""),"")</f>
        <v/>
      </c>
      <c r="H150" s="47"/>
      <c r="I150" s="47">
        <f>IFERROR(__xludf.DUMMYFUNCTION("""COMPUTED_VALUE"""),2.0)</f>
        <v>2</v>
      </c>
      <c r="J150" s="47" t="str">
        <f>IFERROR(__xludf.DUMMYFUNCTION("""COMPUTED_VALUE"""),"https:")</f>
        <v>https:</v>
      </c>
      <c r="K150" s="78" t="str">
        <f>IFERROR(__xludf.DUMMYFUNCTION("""COMPUTED_VALUE"""),"www.munzee.com")</f>
        <v>www.munzee.com</v>
      </c>
      <c r="L150" s="47" t="str">
        <f>IFERROR(__xludf.DUMMYFUNCTION("""COMPUTED_VALUE"""),"m")</f>
        <v>m</v>
      </c>
      <c r="M150" s="47" t="str">
        <f>IFERROR(__xludf.DUMMYFUNCTION("""COMPUTED_VALUE"""),"KublaKhan")</f>
        <v>KublaKhan</v>
      </c>
    </row>
    <row r="151">
      <c r="A151" s="47" t="str">
        <f>IFERROR(__xludf.DUMMYFUNCTION("""COMPUTED_VALUE"""),"Virtual Brown")</f>
        <v>Virtual Brown</v>
      </c>
      <c r="B151" s="47" t="str">
        <f>IFERROR(__xludf.DUMMYFUNCTION("""COMPUTED_VALUE"""),"Beermaven")</f>
        <v>Beermaven</v>
      </c>
      <c r="C151" s="78" t="str">
        <f>IFERROR(__xludf.DUMMYFUNCTION("""COMPUTED_VALUE"""),"https://www.munzee.com/m/Beermaven/2926/")</f>
        <v>https://www.munzee.com/m/Beermaven/2926/</v>
      </c>
      <c r="D151" s="47"/>
      <c r="E151" s="47" t="b">
        <f>IFERROR(__xludf.DUMMYFUNCTION("""COMPUTED_VALUE"""),TRUE)</f>
        <v>1</v>
      </c>
      <c r="F151" s="47" t="str">
        <f>IFERROR(__xludf.DUMMYFUNCTION("""COMPUTED_VALUE"""),"")</f>
        <v/>
      </c>
      <c r="G151" s="47" t="str">
        <f>IFERROR(__xludf.DUMMYFUNCTION("""COMPUTED_VALUE"""),"")</f>
        <v/>
      </c>
      <c r="H151" s="47"/>
      <c r="I151" s="47">
        <f>IFERROR(__xludf.DUMMYFUNCTION("""COMPUTED_VALUE"""),2.0)</f>
        <v>2</v>
      </c>
      <c r="J151" s="47" t="str">
        <f>IFERROR(__xludf.DUMMYFUNCTION("""COMPUTED_VALUE"""),"https:")</f>
        <v>https:</v>
      </c>
      <c r="K151" s="78" t="str">
        <f>IFERROR(__xludf.DUMMYFUNCTION("""COMPUTED_VALUE"""),"www.munzee.com")</f>
        <v>www.munzee.com</v>
      </c>
      <c r="L151" s="47" t="str">
        <f>IFERROR(__xludf.DUMMYFUNCTION("""COMPUTED_VALUE"""),"m")</f>
        <v>m</v>
      </c>
      <c r="M151" s="47" t="str">
        <f>IFERROR(__xludf.DUMMYFUNCTION("""COMPUTED_VALUE"""),"Beermaven")</f>
        <v>Beermaven</v>
      </c>
    </row>
    <row r="152">
      <c r="A152" s="47" t="str">
        <f>IFERROR(__xludf.DUMMYFUNCTION("""COMPUTED_VALUE"""),"Virtual Brown")</f>
        <v>Virtual Brown</v>
      </c>
      <c r="B152" s="47" t="str">
        <f>IFERROR(__xludf.DUMMYFUNCTION("""COMPUTED_VALUE"""),"sverlaan")</f>
        <v>sverlaan</v>
      </c>
      <c r="C152" s="78" t="str">
        <f>IFERROR(__xludf.DUMMYFUNCTION("""COMPUTED_VALUE"""),"https://www.munzee.com/m/sverlaan/4193/")</f>
        <v>https://www.munzee.com/m/sverlaan/4193/</v>
      </c>
      <c r="D152" s="82"/>
      <c r="E152" s="47" t="b">
        <f>IFERROR(__xludf.DUMMYFUNCTION("""COMPUTED_VALUE"""),TRUE)</f>
        <v>1</v>
      </c>
      <c r="F152" s="47" t="str">
        <f>IFERROR(__xludf.DUMMYFUNCTION("""COMPUTED_VALUE"""),"")</f>
        <v/>
      </c>
      <c r="G152" s="47" t="str">
        <f>IFERROR(__xludf.DUMMYFUNCTION("""COMPUTED_VALUE"""),"")</f>
        <v/>
      </c>
      <c r="H152" s="47"/>
      <c r="I152" s="47">
        <f>IFERROR(__xludf.DUMMYFUNCTION("""COMPUTED_VALUE"""),2.0)</f>
        <v>2</v>
      </c>
      <c r="J152" s="47" t="str">
        <f>IFERROR(__xludf.DUMMYFUNCTION("""COMPUTED_VALUE"""),"https:")</f>
        <v>https:</v>
      </c>
      <c r="K152" s="78" t="str">
        <f>IFERROR(__xludf.DUMMYFUNCTION("""COMPUTED_VALUE"""),"www.munzee.com")</f>
        <v>www.munzee.com</v>
      </c>
      <c r="L152" s="47" t="str">
        <f>IFERROR(__xludf.DUMMYFUNCTION("""COMPUTED_VALUE"""),"m")</f>
        <v>m</v>
      </c>
      <c r="M152" s="47" t="str">
        <f>IFERROR(__xludf.DUMMYFUNCTION("""COMPUTED_VALUE"""),"sverlaan")</f>
        <v>sverlaan</v>
      </c>
    </row>
    <row r="153">
      <c r="A153" s="47" t="str">
        <f>IFERROR(__xludf.DUMMYFUNCTION("""COMPUTED_VALUE"""),"Virtual Brown")</f>
        <v>Virtual Brown</v>
      </c>
      <c r="B153" s="47" t="str">
        <f>IFERROR(__xludf.DUMMYFUNCTION("""COMPUTED_VALUE"""),"PawPatrolThomas")</f>
        <v>PawPatrolThomas</v>
      </c>
      <c r="C153" s="78" t="str">
        <f>IFERROR(__xludf.DUMMYFUNCTION("""COMPUTED_VALUE"""),"https://www.munzee.com/m/PawPatrolThomas/2283/")</f>
        <v>https://www.munzee.com/m/PawPatrolThomas/2283/</v>
      </c>
      <c r="D153" s="47"/>
      <c r="E153" s="47" t="b">
        <f>IFERROR(__xludf.DUMMYFUNCTION("""COMPUTED_VALUE"""),TRUE)</f>
        <v>1</v>
      </c>
      <c r="F153" s="47" t="str">
        <f>IFERROR(__xludf.DUMMYFUNCTION("""COMPUTED_VALUE"""),"")</f>
        <v/>
      </c>
      <c r="G153" s="47" t="str">
        <f>IFERROR(__xludf.DUMMYFUNCTION("""COMPUTED_VALUE"""),"")</f>
        <v/>
      </c>
      <c r="H153" s="47"/>
      <c r="I153" s="47">
        <f>IFERROR(__xludf.DUMMYFUNCTION("""COMPUTED_VALUE"""),2.0)</f>
        <v>2</v>
      </c>
      <c r="J153" s="47" t="str">
        <f>IFERROR(__xludf.DUMMYFUNCTION("""COMPUTED_VALUE"""),"https:")</f>
        <v>https:</v>
      </c>
      <c r="K153" s="78" t="str">
        <f>IFERROR(__xludf.DUMMYFUNCTION("""COMPUTED_VALUE"""),"www.munzee.com")</f>
        <v>www.munzee.com</v>
      </c>
      <c r="L153" s="47" t="str">
        <f>IFERROR(__xludf.DUMMYFUNCTION("""COMPUTED_VALUE"""),"m")</f>
        <v>m</v>
      </c>
      <c r="M153" s="47" t="str">
        <f>IFERROR(__xludf.DUMMYFUNCTION("""COMPUTED_VALUE"""),"PawPatrolThomas")</f>
        <v>PawPatrolThomas</v>
      </c>
    </row>
    <row r="154">
      <c r="A154" s="47" t="str">
        <f>IFERROR(__xludf.DUMMYFUNCTION("""COMPUTED_VALUE"""),"Virtual Raw Sienna")</f>
        <v>Virtual Raw Sienna</v>
      </c>
      <c r="B154" s="47" t="str">
        <f>IFERROR(__xludf.DUMMYFUNCTION("""COMPUTED_VALUE"""),"OdinsFiRe")</f>
        <v>OdinsFiRe</v>
      </c>
      <c r="C154" s="78" t="str">
        <f>IFERROR(__xludf.DUMMYFUNCTION("""COMPUTED_VALUE"""),"https://www.munzee.com/m/OdinsFiRe/1527")</f>
        <v>https://www.munzee.com/m/OdinsFiRe/1527</v>
      </c>
      <c r="D154" s="47"/>
      <c r="E154" s="47" t="b">
        <f>IFERROR(__xludf.DUMMYFUNCTION("""COMPUTED_VALUE"""),TRUE)</f>
        <v>1</v>
      </c>
      <c r="F154" s="47" t="str">
        <f>IFERROR(__xludf.DUMMYFUNCTION("""COMPUTED_VALUE"""),"")</f>
        <v/>
      </c>
      <c r="G154" s="47" t="str">
        <f>IFERROR(__xludf.DUMMYFUNCTION("""COMPUTED_VALUE"""),"")</f>
        <v/>
      </c>
      <c r="H154" s="47"/>
      <c r="I154" s="47">
        <f>IFERROR(__xludf.DUMMYFUNCTION("""COMPUTED_VALUE"""),2.0)</f>
        <v>2</v>
      </c>
      <c r="J154" s="47" t="str">
        <f>IFERROR(__xludf.DUMMYFUNCTION("""COMPUTED_VALUE"""),"https:")</f>
        <v>https:</v>
      </c>
      <c r="K154" s="78" t="str">
        <f>IFERROR(__xludf.DUMMYFUNCTION("""COMPUTED_VALUE"""),"www.munzee.com")</f>
        <v>www.munzee.com</v>
      </c>
      <c r="L154" s="47" t="str">
        <f>IFERROR(__xludf.DUMMYFUNCTION("""COMPUTED_VALUE"""),"m")</f>
        <v>m</v>
      </c>
      <c r="M154" s="47" t="str">
        <f>IFERROR(__xludf.DUMMYFUNCTION("""COMPUTED_VALUE"""),"OdinsFiRe")</f>
        <v>OdinsFiRe</v>
      </c>
    </row>
    <row r="155">
      <c r="A155" s="47" t="str">
        <f>IFERROR(__xludf.DUMMYFUNCTION("""COMPUTED_VALUE"""),"Virtual Raw Sienna")</f>
        <v>Virtual Raw Sienna</v>
      </c>
      <c r="B155" s="47" t="str">
        <f>IFERROR(__xludf.DUMMYFUNCTION("""COMPUTED_VALUE"""),"cbf600")</f>
        <v>cbf600</v>
      </c>
      <c r="C155" s="78" t="str">
        <f>IFERROR(__xludf.DUMMYFUNCTION("""COMPUTED_VALUE"""),"https://www.munzee.com/m/cbf600/2339/")</f>
        <v>https://www.munzee.com/m/cbf600/2339/</v>
      </c>
      <c r="D155" s="47"/>
      <c r="E155" s="47" t="b">
        <f>IFERROR(__xludf.DUMMYFUNCTION("""COMPUTED_VALUE"""),TRUE)</f>
        <v>1</v>
      </c>
      <c r="F155" s="47" t="str">
        <f>IFERROR(__xludf.DUMMYFUNCTION("""COMPUTED_VALUE"""),"")</f>
        <v/>
      </c>
      <c r="G155" s="47" t="str">
        <f>IFERROR(__xludf.DUMMYFUNCTION("""COMPUTED_VALUE"""),"")</f>
        <v/>
      </c>
      <c r="H155" s="47"/>
      <c r="I155" s="47">
        <f>IFERROR(__xludf.DUMMYFUNCTION("""COMPUTED_VALUE"""),2.0)</f>
        <v>2</v>
      </c>
      <c r="J155" s="47" t="str">
        <f>IFERROR(__xludf.DUMMYFUNCTION("""COMPUTED_VALUE"""),"https:")</f>
        <v>https:</v>
      </c>
      <c r="K155" s="78" t="str">
        <f>IFERROR(__xludf.DUMMYFUNCTION("""COMPUTED_VALUE"""),"www.munzee.com")</f>
        <v>www.munzee.com</v>
      </c>
      <c r="L155" s="47" t="str">
        <f>IFERROR(__xludf.DUMMYFUNCTION("""COMPUTED_VALUE"""),"m")</f>
        <v>m</v>
      </c>
      <c r="M155" s="47" t="str">
        <f>IFERROR(__xludf.DUMMYFUNCTION("""COMPUTED_VALUE"""),"cbf600")</f>
        <v>cbf600</v>
      </c>
    </row>
    <row r="156">
      <c r="A156" s="47" t="str">
        <f>IFERROR(__xludf.DUMMYFUNCTION("""COMPUTED_VALUE"""),"Virtual Brown")</f>
        <v>Virtual Brown</v>
      </c>
      <c r="B156" s="47" t="str">
        <f>IFERROR(__xludf.DUMMYFUNCTION("""COMPUTED_VALUE"""),"LonelyWalker")</f>
        <v>LonelyWalker</v>
      </c>
      <c r="C156" s="78" t="str">
        <f>IFERROR(__xludf.DUMMYFUNCTION("""COMPUTED_VALUE"""),"https://www.munzee.com/m/LonelyWalker/392/")</f>
        <v>https://www.munzee.com/m/LonelyWalker/392/</v>
      </c>
      <c r="D156" s="47"/>
      <c r="E156" s="47" t="b">
        <f>IFERROR(__xludf.DUMMYFUNCTION("""COMPUTED_VALUE"""),TRUE)</f>
        <v>1</v>
      </c>
      <c r="F156" s="47" t="str">
        <f>IFERROR(__xludf.DUMMYFUNCTION("""COMPUTED_VALUE"""),"")</f>
        <v/>
      </c>
      <c r="G156" s="47" t="str">
        <f>IFERROR(__xludf.DUMMYFUNCTION("""COMPUTED_VALUE"""),"")</f>
        <v/>
      </c>
      <c r="H156" s="47"/>
      <c r="I156" s="47">
        <f>IFERROR(__xludf.DUMMYFUNCTION("""COMPUTED_VALUE"""),2.0)</f>
        <v>2</v>
      </c>
      <c r="J156" s="47" t="str">
        <f>IFERROR(__xludf.DUMMYFUNCTION("""COMPUTED_VALUE"""),"https:")</f>
        <v>https:</v>
      </c>
      <c r="K156" s="78" t="str">
        <f>IFERROR(__xludf.DUMMYFUNCTION("""COMPUTED_VALUE"""),"www.munzee.com")</f>
        <v>www.munzee.com</v>
      </c>
      <c r="L156" s="47" t="str">
        <f>IFERROR(__xludf.DUMMYFUNCTION("""COMPUTED_VALUE"""),"m")</f>
        <v>m</v>
      </c>
      <c r="M156" s="47" t="str">
        <f>IFERROR(__xludf.DUMMYFUNCTION("""COMPUTED_VALUE"""),"LonelyWalker")</f>
        <v>LonelyWalker</v>
      </c>
    </row>
    <row r="157">
      <c r="A157" s="47" t="str">
        <f>IFERROR(__xludf.DUMMYFUNCTION("""COMPUTED_VALUE"""),"Virtual Brown")</f>
        <v>Virtual Brown</v>
      </c>
      <c r="B157" s="47" t="str">
        <f>IFERROR(__xludf.DUMMYFUNCTION("""COMPUTED_VALUE"""),"DHitz")</f>
        <v>DHitz</v>
      </c>
      <c r="C157" s="78" t="str">
        <f>IFERROR(__xludf.DUMMYFUNCTION("""COMPUTED_VALUE"""),"https://www.munzee.com/m/DHitz/3707/")</f>
        <v>https://www.munzee.com/m/DHitz/3707/</v>
      </c>
      <c r="D157" s="47"/>
      <c r="E157" s="47" t="b">
        <f>IFERROR(__xludf.DUMMYFUNCTION("""COMPUTED_VALUE"""),TRUE)</f>
        <v>1</v>
      </c>
      <c r="F157" s="47" t="str">
        <f>IFERROR(__xludf.DUMMYFUNCTION("""COMPUTED_VALUE"""),"")</f>
        <v/>
      </c>
      <c r="G157" s="47" t="str">
        <f>IFERROR(__xludf.DUMMYFUNCTION("""COMPUTED_VALUE"""),"")</f>
        <v/>
      </c>
      <c r="H157" s="47"/>
      <c r="I157" s="47">
        <f>IFERROR(__xludf.DUMMYFUNCTION("""COMPUTED_VALUE"""),2.0)</f>
        <v>2</v>
      </c>
      <c r="J157" s="47" t="str">
        <f>IFERROR(__xludf.DUMMYFUNCTION("""COMPUTED_VALUE"""),"https:")</f>
        <v>https:</v>
      </c>
      <c r="K157" s="78" t="str">
        <f>IFERROR(__xludf.DUMMYFUNCTION("""COMPUTED_VALUE"""),"www.munzee.com")</f>
        <v>www.munzee.com</v>
      </c>
      <c r="L157" s="47" t="str">
        <f>IFERROR(__xludf.DUMMYFUNCTION("""COMPUTED_VALUE"""),"m")</f>
        <v>m</v>
      </c>
      <c r="M157" s="47" t="str">
        <f>IFERROR(__xludf.DUMMYFUNCTION("""COMPUTED_VALUE"""),"DHitz")</f>
        <v>DHitz</v>
      </c>
    </row>
    <row r="158">
      <c r="A158" s="47" t="str">
        <f>IFERROR(__xludf.DUMMYFUNCTION("""COMPUTED_VALUE"""),"Virtual Brown")</f>
        <v>Virtual Brown</v>
      </c>
      <c r="B158" s="47" t="str">
        <f>IFERROR(__xludf.DUMMYFUNCTION("""COMPUTED_VALUE"""),"FromTheTardis")</f>
        <v>FromTheTardis</v>
      </c>
      <c r="C158" s="78" t="str">
        <f>IFERROR(__xludf.DUMMYFUNCTION("""COMPUTED_VALUE"""),"https://www.munzee.com/m/FromTheTardis/1332/")</f>
        <v>https://www.munzee.com/m/FromTheTardis/1332/</v>
      </c>
      <c r="D158" s="47"/>
      <c r="E158" s="47" t="b">
        <f>IFERROR(__xludf.DUMMYFUNCTION("""COMPUTED_VALUE"""),TRUE)</f>
        <v>1</v>
      </c>
      <c r="F158" s="47" t="str">
        <f>IFERROR(__xludf.DUMMYFUNCTION("""COMPUTED_VALUE"""),"")</f>
        <v/>
      </c>
      <c r="G158" s="47" t="str">
        <f>IFERROR(__xludf.DUMMYFUNCTION("""COMPUTED_VALUE"""),"")</f>
        <v/>
      </c>
      <c r="H158" s="47"/>
      <c r="I158" s="47">
        <f>IFERROR(__xludf.DUMMYFUNCTION("""COMPUTED_VALUE"""),2.0)</f>
        <v>2</v>
      </c>
      <c r="J158" s="47" t="str">
        <f>IFERROR(__xludf.DUMMYFUNCTION("""COMPUTED_VALUE"""),"https:")</f>
        <v>https:</v>
      </c>
      <c r="K158" s="78" t="str">
        <f>IFERROR(__xludf.DUMMYFUNCTION("""COMPUTED_VALUE"""),"www.munzee.com")</f>
        <v>www.munzee.com</v>
      </c>
      <c r="L158" s="47" t="str">
        <f>IFERROR(__xludf.DUMMYFUNCTION("""COMPUTED_VALUE"""),"m")</f>
        <v>m</v>
      </c>
      <c r="M158" s="47" t="str">
        <f>IFERROR(__xludf.DUMMYFUNCTION("""COMPUTED_VALUE"""),"FromTheTardis")</f>
        <v>FromTheTardis</v>
      </c>
    </row>
    <row r="159">
      <c r="A159" s="47" t="str">
        <f>IFERROR(__xludf.DUMMYFUNCTION("""COMPUTED_VALUE"""),"Virtual Raw Sienna")</f>
        <v>Virtual Raw Sienna</v>
      </c>
      <c r="B159" s="47" t="str">
        <f>IFERROR(__xludf.DUMMYFUNCTION("""COMPUTED_VALUE"""),"lison55")</f>
        <v>lison55</v>
      </c>
      <c r="C159" s="78" t="str">
        <f>IFERROR(__xludf.DUMMYFUNCTION("""COMPUTED_VALUE"""),"https://www.munzee.com/m/lison55/5159/")</f>
        <v>https://www.munzee.com/m/lison55/5159/</v>
      </c>
      <c r="D159" s="47"/>
      <c r="E159" s="47" t="b">
        <f>IFERROR(__xludf.DUMMYFUNCTION("""COMPUTED_VALUE"""),TRUE)</f>
        <v>1</v>
      </c>
      <c r="F159" s="47" t="str">
        <f>IFERROR(__xludf.DUMMYFUNCTION("""COMPUTED_VALUE"""),"")</f>
        <v/>
      </c>
      <c r="G159" s="47" t="str">
        <f>IFERROR(__xludf.DUMMYFUNCTION("""COMPUTED_VALUE"""),"")</f>
        <v/>
      </c>
      <c r="H159" s="47"/>
      <c r="I159" s="47">
        <f>IFERROR(__xludf.DUMMYFUNCTION("""COMPUTED_VALUE"""),2.0)</f>
        <v>2</v>
      </c>
      <c r="J159" s="47" t="str">
        <f>IFERROR(__xludf.DUMMYFUNCTION("""COMPUTED_VALUE"""),"https:")</f>
        <v>https:</v>
      </c>
      <c r="K159" s="78" t="str">
        <f>IFERROR(__xludf.DUMMYFUNCTION("""COMPUTED_VALUE"""),"www.munzee.com")</f>
        <v>www.munzee.com</v>
      </c>
      <c r="L159" s="47" t="str">
        <f>IFERROR(__xludf.DUMMYFUNCTION("""COMPUTED_VALUE"""),"m")</f>
        <v>m</v>
      </c>
      <c r="M159" s="47" t="str">
        <f>IFERROR(__xludf.DUMMYFUNCTION("""COMPUTED_VALUE"""),"lison55")</f>
        <v>lison55</v>
      </c>
    </row>
    <row r="160">
      <c r="A160" s="47" t="str">
        <f>IFERROR(__xludf.DUMMYFUNCTION("""COMPUTED_VALUE"""),"Virtual Raw Sienna")</f>
        <v>Virtual Raw Sienna</v>
      </c>
      <c r="B160" s="47" t="str">
        <f>IFERROR(__xludf.DUMMYFUNCTION("""COMPUTED_VALUE"""),"Andrew81")</f>
        <v>Andrew81</v>
      </c>
      <c r="C160" s="78" t="str">
        <f>IFERROR(__xludf.DUMMYFUNCTION("""COMPUTED_VALUE"""),"https://www.munzee.com/m/Andrew81/1340")</f>
        <v>https://www.munzee.com/m/Andrew81/1340</v>
      </c>
      <c r="D160" s="47"/>
      <c r="E160" s="47" t="b">
        <f>IFERROR(__xludf.DUMMYFUNCTION("""COMPUTED_VALUE"""),TRUE)</f>
        <v>1</v>
      </c>
      <c r="F160" s="47" t="str">
        <f>IFERROR(__xludf.DUMMYFUNCTION("""COMPUTED_VALUE"""),"")</f>
        <v/>
      </c>
      <c r="G160" s="47" t="str">
        <f>IFERROR(__xludf.DUMMYFUNCTION("""COMPUTED_VALUE"""),"")</f>
        <v/>
      </c>
      <c r="H160" s="47"/>
      <c r="I160" s="47">
        <f>IFERROR(__xludf.DUMMYFUNCTION("""COMPUTED_VALUE"""),2.0)</f>
        <v>2</v>
      </c>
      <c r="J160" s="47" t="str">
        <f>IFERROR(__xludf.DUMMYFUNCTION("""COMPUTED_VALUE"""),"https:")</f>
        <v>https:</v>
      </c>
      <c r="K160" s="78" t="str">
        <f>IFERROR(__xludf.DUMMYFUNCTION("""COMPUTED_VALUE"""),"www.munzee.com")</f>
        <v>www.munzee.com</v>
      </c>
      <c r="L160" s="47" t="str">
        <f>IFERROR(__xludf.DUMMYFUNCTION("""COMPUTED_VALUE"""),"m")</f>
        <v>m</v>
      </c>
      <c r="M160" s="47" t="str">
        <f>IFERROR(__xludf.DUMMYFUNCTION("""COMPUTED_VALUE"""),"Andrew81")</f>
        <v>Andrew81</v>
      </c>
    </row>
    <row r="161">
      <c r="A161" s="47" t="str">
        <f>IFERROR(__xludf.DUMMYFUNCTION("""COMPUTED_VALUE"""),"Virtual Brown")</f>
        <v>Virtual Brown</v>
      </c>
      <c r="B161" s="47" t="str">
        <f>IFERROR(__xludf.DUMMYFUNCTION("""COMPUTED_VALUE"""),"lanyasummer")</f>
        <v>lanyasummer</v>
      </c>
      <c r="C161" s="78" t="str">
        <f>IFERROR(__xludf.DUMMYFUNCTION("""COMPUTED_VALUE"""),"https://www.munzee.com/m/Lanyasummer/4104/")</f>
        <v>https://www.munzee.com/m/Lanyasummer/4104/</v>
      </c>
      <c r="D161" s="47"/>
      <c r="E161" s="47" t="b">
        <f>IFERROR(__xludf.DUMMYFUNCTION("""COMPUTED_VALUE"""),TRUE)</f>
        <v>1</v>
      </c>
      <c r="F161" s="47" t="str">
        <f>IFERROR(__xludf.DUMMYFUNCTION("""COMPUTED_VALUE"""),"")</f>
        <v/>
      </c>
      <c r="G161" s="47" t="str">
        <f>IFERROR(__xludf.DUMMYFUNCTION("""COMPUTED_VALUE"""),"")</f>
        <v/>
      </c>
      <c r="H161" s="47"/>
      <c r="I161" s="47">
        <f>IFERROR(__xludf.DUMMYFUNCTION("""COMPUTED_VALUE"""),2.0)</f>
        <v>2</v>
      </c>
      <c r="J161" s="47" t="str">
        <f>IFERROR(__xludf.DUMMYFUNCTION("""COMPUTED_VALUE"""),"https:")</f>
        <v>https:</v>
      </c>
      <c r="K161" s="78" t="str">
        <f>IFERROR(__xludf.DUMMYFUNCTION("""COMPUTED_VALUE"""),"www.munzee.com")</f>
        <v>www.munzee.com</v>
      </c>
      <c r="L161" s="47" t="str">
        <f>IFERROR(__xludf.DUMMYFUNCTION("""COMPUTED_VALUE"""),"m")</f>
        <v>m</v>
      </c>
      <c r="M161" s="47" t="str">
        <f>IFERROR(__xludf.DUMMYFUNCTION("""COMPUTED_VALUE"""),"Lanyasummer")</f>
        <v>Lanyasummer</v>
      </c>
    </row>
    <row r="162">
      <c r="A162" s="47" t="str">
        <f>IFERROR(__xludf.DUMMYFUNCTION("""COMPUTED_VALUE"""),"Virtual Brown")</f>
        <v>Virtual Brown</v>
      </c>
      <c r="B162" s="47" t="str">
        <f>IFERROR(__xludf.DUMMYFUNCTION("""COMPUTED_VALUE"""),"J1Huisman")</f>
        <v>J1Huisman</v>
      </c>
      <c r="C162" s="78" t="str">
        <f>IFERROR(__xludf.DUMMYFUNCTION("""COMPUTED_VALUE"""),"https://www.munzee.com/m/J1Huisman/11168/")</f>
        <v>https://www.munzee.com/m/J1Huisman/11168/</v>
      </c>
      <c r="D162" s="47"/>
      <c r="E162" s="47" t="b">
        <f>IFERROR(__xludf.DUMMYFUNCTION("""COMPUTED_VALUE"""),TRUE)</f>
        <v>1</v>
      </c>
      <c r="F162" s="47" t="str">
        <f>IFERROR(__xludf.DUMMYFUNCTION("""COMPUTED_VALUE"""),"")</f>
        <v/>
      </c>
      <c r="G162" s="47" t="str">
        <f>IFERROR(__xludf.DUMMYFUNCTION("""COMPUTED_VALUE"""),"")</f>
        <v/>
      </c>
      <c r="H162" s="47"/>
      <c r="I162" s="47">
        <f>IFERROR(__xludf.DUMMYFUNCTION("""COMPUTED_VALUE"""),2.0)</f>
        <v>2</v>
      </c>
      <c r="J162" s="47" t="str">
        <f>IFERROR(__xludf.DUMMYFUNCTION("""COMPUTED_VALUE"""),"https:")</f>
        <v>https:</v>
      </c>
      <c r="K162" s="78" t="str">
        <f>IFERROR(__xludf.DUMMYFUNCTION("""COMPUTED_VALUE"""),"www.munzee.com")</f>
        <v>www.munzee.com</v>
      </c>
      <c r="L162" s="47" t="str">
        <f>IFERROR(__xludf.DUMMYFUNCTION("""COMPUTED_VALUE"""),"m")</f>
        <v>m</v>
      </c>
      <c r="M162" s="47" t="str">
        <f>IFERROR(__xludf.DUMMYFUNCTION("""COMPUTED_VALUE"""),"J1Huisman")</f>
        <v>J1Huisman</v>
      </c>
    </row>
    <row r="163">
      <c r="A163" s="47" t="str">
        <f>IFERROR(__xludf.DUMMYFUNCTION("""COMPUTED_VALUE"""),"Virtual Brown")</f>
        <v>Virtual Brown</v>
      </c>
      <c r="B163" s="47" t="str">
        <f>IFERROR(__xludf.DUMMYFUNCTION("""COMPUTED_VALUE"""),"Pinkeltje")</f>
        <v>Pinkeltje</v>
      </c>
      <c r="C163" s="78" t="str">
        <f>IFERROR(__xludf.DUMMYFUNCTION("""COMPUTED_VALUE"""),"https://www.munzee.com/m/Pinkeltje/1068/")</f>
        <v>https://www.munzee.com/m/Pinkeltje/1068/</v>
      </c>
      <c r="D163" s="47"/>
      <c r="E163" s="47" t="b">
        <f>IFERROR(__xludf.DUMMYFUNCTION("""COMPUTED_VALUE"""),TRUE)</f>
        <v>1</v>
      </c>
      <c r="F163" s="47" t="str">
        <f>IFERROR(__xludf.DUMMYFUNCTION("""COMPUTED_VALUE"""),"")</f>
        <v/>
      </c>
      <c r="G163" s="47" t="str">
        <f>IFERROR(__xludf.DUMMYFUNCTION("""COMPUTED_VALUE"""),"")</f>
        <v/>
      </c>
      <c r="H163" s="47"/>
      <c r="I163" s="47">
        <f>IFERROR(__xludf.DUMMYFUNCTION("""COMPUTED_VALUE"""),2.0)</f>
        <v>2</v>
      </c>
      <c r="J163" s="47" t="str">
        <f>IFERROR(__xludf.DUMMYFUNCTION("""COMPUTED_VALUE"""),"https:")</f>
        <v>https:</v>
      </c>
      <c r="K163" s="78" t="str">
        <f>IFERROR(__xludf.DUMMYFUNCTION("""COMPUTED_VALUE"""),"www.munzee.com")</f>
        <v>www.munzee.com</v>
      </c>
      <c r="L163" s="47" t="str">
        <f>IFERROR(__xludf.DUMMYFUNCTION("""COMPUTED_VALUE"""),"m")</f>
        <v>m</v>
      </c>
      <c r="M163" s="47" t="str">
        <f>IFERROR(__xludf.DUMMYFUNCTION("""COMPUTED_VALUE"""),"Pinkeltje")</f>
        <v>Pinkeltje</v>
      </c>
    </row>
    <row r="164">
      <c r="A164" s="47" t="str">
        <f>IFERROR(__xludf.DUMMYFUNCTION("""COMPUTED_VALUE"""),"Virtual Raw Sienna")</f>
        <v>Virtual Raw Sienna</v>
      </c>
      <c r="B164" s="47" t="str">
        <f>IFERROR(__xludf.DUMMYFUNCTION("""COMPUTED_VALUE"""),"bambinacattiva")</f>
        <v>bambinacattiva</v>
      </c>
      <c r="C164" s="78" t="str">
        <f>IFERROR(__xludf.DUMMYFUNCTION("""COMPUTED_VALUE"""),"https://www.munzee.com/m/Bambinacattiva/684/")</f>
        <v>https://www.munzee.com/m/Bambinacattiva/684/</v>
      </c>
      <c r="D164" s="47"/>
      <c r="E164" s="47" t="b">
        <f>IFERROR(__xludf.DUMMYFUNCTION("""COMPUTED_VALUE"""),TRUE)</f>
        <v>1</v>
      </c>
      <c r="F164" s="47" t="str">
        <f>IFERROR(__xludf.DUMMYFUNCTION("""COMPUTED_VALUE"""),"")</f>
        <v/>
      </c>
      <c r="G164" s="47" t="str">
        <f>IFERROR(__xludf.DUMMYFUNCTION("""COMPUTED_VALUE"""),"")</f>
        <v/>
      </c>
      <c r="H164" s="47"/>
      <c r="I164" s="47">
        <f>IFERROR(__xludf.DUMMYFUNCTION("""COMPUTED_VALUE"""),2.0)</f>
        <v>2</v>
      </c>
      <c r="J164" s="47" t="str">
        <f>IFERROR(__xludf.DUMMYFUNCTION("""COMPUTED_VALUE"""),"https:")</f>
        <v>https:</v>
      </c>
      <c r="K164" s="78" t="str">
        <f>IFERROR(__xludf.DUMMYFUNCTION("""COMPUTED_VALUE"""),"www.munzee.com")</f>
        <v>www.munzee.com</v>
      </c>
      <c r="L164" s="47" t="str">
        <f>IFERROR(__xludf.DUMMYFUNCTION("""COMPUTED_VALUE"""),"m")</f>
        <v>m</v>
      </c>
      <c r="M164" s="47" t="str">
        <f>IFERROR(__xludf.DUMMYFUNCTION("""COMPUTED_VALUE"""),"Bambinacattiva")</f>
        <v>Bambinacattiva</v>
      </c>
    </row>
    <row r="165">
      <c r="A165" s="47" t="str">
        <f>IFERROR(__xludf.DUMMYFUNCTION("""COMPUTED_VALUE"""),"Virtual Brown")</f>
        <v>Virtual Brown</v>
      </c>
      <c r="B165" s="47" t="str">
        <f>IFERROR(__xludf.DUMMYFUNCTION("""COMPUTED_VALUE"""),"Sverlaan")</f>
        <v>Sverlaan</v>
      </c>
      <c r="C165" s="78" t="str">
        <f>IFERROR(__xludf.DUMMYFUNCTION("""COMPUTED_VALUE"""),"https://www.munzee.com/m/sverlaan/4125/")</f>
        <v>https://www.munzee.com/m/sverlaan/4125/</v>
      </c>
      <c r="D165" s="47"/>
      <c r="E165" s="47" t="b">
        <f>IFERROR(__xludf.DUMMYFUNCTION("""COMPUTED_VALUE"""),TRUE)</f>
        <v>1</v>
      </c>
      <c r="F165" s="47" t="str">
        <f>IFERROR(__xludf.DUMMYFUNCTION("""COMPUTED_VALUE"""),"")</f>
        <v/>
      </c>
      <c r="G165" s="47" t="str">
        <f>IFERROR(__xludf.DUMMYFUNCTION("""COMPUTED_VALUE"""),"")</f>
        <v/>
      </c>
      <c r="H165" s="47"/>
      <c r="I165" s="47">
        <f>IFERROR(__xludf.DUMMYFUNCTION("""COMPUTED_VALUE"""),2.0)</f>
        <v>2</v>
      </c>
      <c r="J165" s="47" t="str">
        <f>IFERROR(__xludf.DUMMYFUNCTION("""COMPUTED_VALUE"""),"https:")</f>
        <v>https:</v>
      </c>
      <c r="K165" s="78" t="str">
        <f>IFERROR(__xludf.DUMMYFUNCTION("""COMPUTED_VALUE"""),"www.munzee.com")</f>
        <v>www.munzee.com</v>
      </c>
      <c r="L165" s="47" t="str">
        <f>IFERROR(__xludf.DUMMYFUNCTION("""COMPUTED_VALUE"""),"m")</f>
        <v>m</v>
      </c>
      <c r="M165" s="47" t="str">
        <f>IFERROR(__xludf.DUMMYFUNCTION("""COMPUTED_VALUE"""),"sverlaan")</f>
        <v>sverlaan</v>
      </c>
    </row>
    <row r="166">
      <c r="A166" s="47" t="str">
        <f>IFERROR(__xludf.DUMMYFUNCTION("""COMPUTED_VALUE"""),"Virtual Brown")</f>
        <v>Virtual Brown</v>
      </c>
      <c r="B166" s="47" t="str">
        <f>IFERROR(__xludf.DUMMYFUNCTION("""COMPUTED_VALUE"""),"Emilep68")</f>
        <v>Emilep68</v>
      </c>
      <c r="C166" s="78" t="str">
        <f>IFERROR(__xludf.DUMMYFUNCTION("""COMPUTED_VALUE"""),"https://www.munzee.com/m/EmileP68/2897/")</f>
        <v>https://www.munzee.com/m/EmileP68/2897/</v>
      </c>
      <c r="D166" s="47"/>
      <c r="E166" s="47" t="b">
        <f>IFERROR(__xludf.DUMMYFUNCTION("""COMPUTED_VALUE"""),TRUE)</f>
        <v>1</v>
      </c>
      <c r="F166" s="47" t="str">
        <f>IFERROR(__xludf.DUMMYFUNCTION("""COMPUTED_VALUE"""),"")</f>
        <v/>
      </c>
      <c r="G166" s="47" t="str">
        <f>IFERROR(__xludf.DUMMYFUNCTION("""COMPUTED_VALUE"""),"")</f>
        <v/>
      </c>
      <c r="H166" s="47"/>
      <c r="I166" s="47">
        <f>IFERROR(__xludf.DUMMYFUNCTION("""COMPUTED_VALUE"""),2.0)</f>
        <v>2</v>
      </c>
      <c r="J166" s="47" t="str">
        <f>IFERROR(__xludf.DUMMYFUNCTION("""COMPUTED_VALUE"""),"https:")</f>
        <v>https:</v>
      </c>
      <c r="K166" s="78" t="str">
        <f>IFERROR(__xludf.DUMMYFUNCTION("""COMPUTED_VALUE"""),"www.munzee.com")</f>
        <v>www.munzee.com</v>
      </c>
      <c r="L166" s="47" t="str">
        <f>IFERROR(__xludf.DUMMYFUNCTION("""COMPUTED_VALUE"""),"m")</f>
        <v>m</v>
      </c>
      <c r="M166" s="47" t="str">
        <f>IFERROR(__xludf.DUMMYFUNCTION("""COMPUTED_VALUE"""),"EmileP68")</f>
        <v>EmileP68</v>
      </c>
    </row>
    <row r="167">
      <c r="A167" s="47" t="str">
        <f>IFERROR(__xludf.DUMMYFUNCTION("""COMPUTED_VALUE"""),"Virtual Brown")</f>
        <v>Virtual Brown</v>
      </c>
      <c r="B167" s="47" t="str">
        <f>IFERROR(__xludf.DUMMYFUNCTION("""COMPUTED_VALUE"""),"Pawpatrolthomas")</f>
        <v>Pawpatrolthomas</v>
      </c>
      <c r="C167" s="78" t="str">
        <f>IFERROR(__xludf.DUMMYFUNCTION("""COMPUTED_VALUE"""),"https://www.munzee.com/m/PawPatrolThomas/2202/")</f>
        <v>https://www.munzee.com/m/PawPatrolThomas/2202/</v>
      </c>
      <c r="D167" s="47"/>
      <c r="E167" s="47" t="b">
        <f>IFERROR(__xludf.DUMMYFUNCTION("""COMPUTED_VALUE"""),TRUE)</f>
        <v>1</v>
      </c>
      <c r="F167" s="47" t="str">
        <f>IFERROR(__xludf.DUMMYFUNCTION("""COMPUTED_VALUE"""),"")</f>
        <v/>
      </c>
      <c r="G167" s="47" t="str">
        <f>IFERROR(__xludf.DUMMYFUNCTION("""COMPUTED_VALUE"""),"")</f>
        <v/>
      </c>
      <c r="H167" s="47"/>
      <c r="I167" s="47">
        <f>IFERROR(__xludf.DUMMYFUNCTION("""COMPUTED_VALUE"""),2.0)</f>
        <v>2</v>
      </c>
      <c r="J167" s="47" t="str">
        <f>IFERROR(__xludf.DUMMYFUNCTION("""COMPUTED_VALUE"""),"https:")</f>
        <v>https:</v>
      </c>
      <c r="K167" s="78" t="str">
        <f>IFERROR(__xludf.DUMMYFUNCTION("""COMPUTED_VALUE"""),"www.munzee.com")</f>
        <v>www.munzee.com</v>
      </c>
      <c r="L167" s="47" t="str">
        <f>IFERROR(__xludf.DUMMYFUNCTION("""COMPUTED_VALUE"""),"m")</f>
        <v>m</v>
      </c>
      <c r="M167" s="47" t="str">
        <f>IFERROR(__xludf.DUMMYFUNCTION("""COMPUTED_VALUE"""),"PawPatrolThomas")</f>
        <v>PawPatrolThomas</v>
      </c>
    </row>
    <row r="168">
      <c r="A168" s="47" t="str">
        <f>IFERROR(__xludf.DUMMYFUNCTION("""COMPUTED_VALUE"""),"Virtual Brown")</f>
        <v>Virtual Brown</v>
      </c>
      <c r="B168" s="47" t="str">
        <f>IFERROR(__xludf.DUMMYFUNCTION("""COMPUTED_VALUE"""),"Hoekraam")</f>
        <v>Hoekraam</v>
      </c>
      <c r="C168" s="78" t="str">
        <f>IFERROR(__xludf.DUMMYFUNCTION("""COMPUTED_VALUE"""),"https://www.munzee.com/m/hoekraam/7003")</f>
        <v>https://www.munzee.com/m/hoekraam/7003</v>
      </c>
      <c r="D168" s="47"/>
      <c r="E168" s="47" t="b">
        <f>IFERROR(__xludf.DUMMYFUNCTION("""COMPUTED_VALUE"""),TRUE)</f>
        <v>1</v>
      </c>
      <c r="F168" s="47" t="str">
        <f>IFERROR(__xludf.DUMMYFUNCTION("""COMPUTED_VALUE"""),"")</f>
        <v/>
      </c>
      <c r="G168" s="47" t="str">
        <f>IFERROR(__xludf.DUMMYFUNCTION("""COMPUTED_VALUE"""),"")</f>
        <v/>
      </c>
      <c r="H168" s="47"/>
      <c r="I168" s="47">
        <f>IFERROR(__xludf.DUMMYFUNCTION("""COMPUTED_VALUE"""),2.0)</f>
        <v>2</v>
      </c>
      <c r="J168" s="47" t="str">
        <f>IFERROR(__xludf.DUMMYFUNCTION("""COMPUTED_VALUE"""),"https:")</f>
        <v>https:</v>
      </c>
      <c r="K168" s="78" t="str">
        <f>IFERROR(__xludf.DUMMYFUNCTION("""COMPUTED_VALUE"""),"www.munzee.com")</f>
        <v>www.munzee.com</v>
      </c>
      <c r="L168" s="47" t="str">
        <f>IFERROR(__xludf.DUMMYFUNCTION("""COMPUTED_VALUE"""),"m")</f>
        <v>m</v>
      </c>
      <c r="M168" s="47" t="str">
        <f>IFERROR(__xludf.DUMMYFUNCTION("""COMPUTED_VALUE"""),"hoekraam")</f>
        <v>hoekraam</v>
      </c>
    </row>
    <row r="169">
      <c r="A169" s="47" t="str">
        <f>IFERROR(__xludf.DUMMYFUNCTION("""COMPUTED_VALUE"""),"Virtual Brown")</f>
        <v>Virtual Brown</v>
      </c>
      <c r="B169" s="47" t="str">
        <f>IFERROR(__xludf.DUMMYFUNCTION("""COMPUTED_VALUE"""),"xrayneex")</f>
        <v>xrayneex</v>
      </c>
      <c r="C169" s="78" t="str">
        <f>IFERROR(__xludf.DUMMYFUNCTION("""COMPUTED_VALUE"""),"https://www.munzee.com/m/xrayneex/1293/")</f>
        <v>https://www.munzee.com/m/xrayneex/1293/</v>
      </c>
      <c r="D169" s="47"/>
      <c r="E169" s="47" t="b">
        <f>IFERROR(__xludf.DUMMYFUNCTION("""COMPUTED_VALUE"""),TRUE)</f>
        <v>1</v>
      </c>
      <c r="F169" s="47" t="str">
        <f>IFERROR(__xludf.DUMMYFUNCTION("""COMPUTED_VALUE"""),"")</f>
        <v/>
      </c>
      <c r="G169" s="47" t="str">
        <f>IFERROR(__xludf.DUMMYFUNCTION("""COMPUTED_VALUE"""),"")</f>
        <v/>
      </c>
      <c r="H169" s="47"/>
      <c r="I169" s="47">
        <f>IFERROR(__xludf.DUMMYFUNCTION("""COMPUTED_VALUE"""),2.0)</f>
        <v>2</v>
      </c>
      <c r="J169" s="47" t="str">
        <f>IFERROR(__xludf.DUMMYFUNCTION("""COMPUTED_VALUE"""),"https:")</f>
        <v>https:</v>
      </c>
      <c r="K169" s="78" t="str">
        <f>IFERROR(__xludf.DUMMYFUNCTION("""COMPUTED_VALUE"""),"www.munzee.com")</f>
        <v>www.munzee.com</v>
      </c>
      <c r="L169" s="47" t="str">
        <f>IFERROR(__xludf.DUMMYFUNCTION("""COMPUTED_VALUE"""),"m")</f>
        <v>m</v>
      </c>
      <c r="M169" s="47" t="str">
        <f>IFERROR(__xludf.DUMMYFUNCTION("""COMPUTED_VALUE"""),"xrayneex")</f>
        <v>xrayneex</v>
      </c>
    </row>
    <row r="170">
      <c r="A170" s="47" t="str">
        <f>IFERROR(__xludf.DUMMYFUNCTION("""COMPUTED_VALUE"""),"Virtual Brown")</f>
        <v>Virtual Brown</v>
      </c>
      <c r="B170" s="47" t="str">
        <f>IFERROR(__xludf.DUMMYFUNCTION("""COMPUTED_VALUE"""),"BrotherWilliam")</f>
        <v>BrotherWilliam</v>
      </c>
      <c r="C170" s="78" t="str">
        <f>IFERROR(__xludf.DUMMYFUNCTION("""COMPUTED_VALUE"""),"https://www.munzee.com/m/BrotherWilliam/3863/")</f>
        <v>https://www.munzee.com/m/BrotherWilliam/3863/</v>
      </c>
      <c r="D170" s="47"/>
      <c r="E170" s="47" t="b">
        <f>IFERROR(__xludf.DUMMYFUNCTION("""COMPUTED_VALUE"""),TRUE)</f>
        <v>1</v>
      </c>
      <c r="F170" s="47" t="str">
        <f>IFERROR(__xludf.DUMMYFUNCTION("""COMPUTED_VALUE"""),"")</f>
        <v/>
      </c>
      <c r="G170" s="47" t="str">
        <f>IFERROR(__xludf.DUMMYFUNCTION("""COMPUTED_VALUE"""),"")</f>
        <v/>
      </c>
      <c r="H170" s="47"/>
      <c r="I170" s="47">
        <f>IFERROR(__xludf.DUMMYFUNCTION("""COMPUTED_VALUE"""),2.0)</f>
        <v>2</v>
      </c>
      <c r="J170" s="47" t="str">
        <f>IFERROR(__xludf.DUMMYFUNCTION("""COMPUTED_VALUE"""),"https:")</f>
        <v>https:</v>
      </c>
      <c r="K170" s="78" t="str">
        <f>IFERROR(__xludf.DUMMYFUNCTION("""COMPUTED_VALUE"""),"www.munzee.com")</f>
        <v>www.munzee.com</v>
      </c>
      <c r="L170" s="47" t="str">
        <f>IFERROR(__xludf.DUMMYFUNCTION("""COMPUTED_VALUE"""),"m")</f>
        <v>m</v>
      </c>
      <c r="M170" s="47" t="str">
        <f>IFERROR(__xludf.DUMMYFUNCTION("""COMPUTED_VALUE"""),"BrotherWilliam")</f>
        <v>BrotherWilliam</v>
      </c>
    </row>
    <row r="171">
      <c r="A171" s="47" t="str">
        <f>IFERROR(__xludf.DUMMYFUNCTION("""COMPUTED_VALUE"""),"Virtual Brown")</f>
        <v>Virtual Brown</v>
      </c>
      <c r="B171" s="47" t="str">
        <f>IFERROR(__xludf.DUMMYFUNCTION("""COMPUTED_VALUE"""),"fsafranek")</f>
        <v>fsafranek</v>
      </c>
      <c r="C171" s="78" t="str">
        <f>IFERROR(__xludf.DUMMYFUNCTION("""COMPUTED_VALUE"""),"https://www.munzee.com/m/fsafranek/4276/")</f>
        <v>https://www.munzee.com/m/fsafranek/4276/</v>
      </c>
      <c r="D171" s="47"/>
      <c r="E171" s="47" t="b">
        <f>IFERROR(__xludf.DUMMYFUNCTION("""COMPUTED_VALUE"""),TRUE)</f>
        <v>1</v>
      </c>
      <c r="F171" s="47" t="str">
        <f>IFERROR(__xludf.DUMMYFUNCTION("""COMPUTED_VALUE"""),"")</f>
        <v/>
      </c>
      <c r="G171" s="47" t="str">
        <f>IFERROR(__xludf.DUMMYFUNCTION("""COMPUTED_VALUE"""),"")</f>
        <v/>
      </c>
      <c r="H171" s="47"/>
      <c r="I171" s="47">
        <f>IFERROR(__xludf.DUMMYFUNCTION("""COMPUTED_VALUE"""),2.0)</f>
        <v>2</v>
      </c>
      <c r="J171" s="47" t="str">
        <f>IFERROR(__xludf.DUMMYFUNCTION("""COMPUTED_VALUE"""),"https:")</f>
        <v>https:</v>
      </c>
      <c r="K171" s="78" t="str">
        <f>IFERROR(__xludf.DUMMYFUNCTION("""COMPUTED_VALUE"""),"www.munzee.com")</f>
        <v>www.munzee.com</v>
      </c>
      <c r="L171" s="47" t="str">
        <f>IFERROR(__xludf.DUMMYFUNCTION("""COMPUTED_VALUE"""),"m")</f>
        <v>m</v>
      </c>
      <c r="M171" s="47" t="str">
        <f>IFERROR(__xludf.DUMMYFUNCTION("""COMPUTED_VALUE"""),"fsafranek")</f>
        <v>fsafranek</v>
      </c>
    </row>
    <row r="172">
      <c r="A172" s="47" t="str">
        <f>IFERROR(__xludf.DUMMYFUNCTION("""COMPUTED_VALUE"""),"Virtual Brown")</f>
        <v>Virtual Brown</v>
      </c>
      <c r="B172" s="47" t="str">
        <f>IFERROR(__xludf.DUMMYFUNCTION("""COMPUTED_VALUE"""),"babyw")</f>
        <v>babyw</v>
      </c>
      <c r="C172" s="78" t="str">
        <f>IFERROR(__xludf.DUMMYFUNCTION("""COMPUTED_VALUE"""),"https://www.munzee.com/m/babyw/2847/")</f>
        <v>https://www.munzee.com/m/babyw/2847/</v>
      </c>
      <c r="D172" s="79"/>
      <c r="E172" s="47" t="b">
        <f>IFERROR(__xludf.DUMMYFUNCTION("""COMPUTED_VALUE"""),TRUE)</f>
        <v>1</v>
      </c>
      <c r="F172" s="47" t="str">
        <f>IFERROR(__xludf.DUMMYFUNCTION("""COMPUTED_VALUE"""),"")</f>
        <v/>
      </c>
      <c r="G172" s="47" t="str">
        <f>IFERROR(__xludf.DUMMYFUNCTION("""COMPUTED_VALUE"""),"")</f>
        <v/>
      </c>
      <c r="H172" s="47"/>
      <c r="I172" s="47">
        <f>IFERROR(__xludf.DUMMYFUNCTION("""COMPUTED_VALUE"""),2.0)</f>
        <v>2</v>
      </c>
      <c r="J172" s="47" t="str">
        <f>IFERROR(__xludf.DUMMYFUNCTION("""COMPUTED_VALUE"""),"https:")</f>
        <v>https:</v>
      </c>
      <c r="K172" s="78" t="str">
        <f>IFERROR(__xludf.DUMMYFUNCTION("""COMPUTED_VALUE"""),"www.munzee.com")</f>
        <v>www.munzee.com</v>
      </c>
      <c r="L172" s="47" t="str">
        <f>IFERROR(__xludf.DUMMYFUNCTION("""COMPUTED_VALUE"""),"m")</f>
        <v>m</v>
      </c>
      <c r="M172" s="47" t="str">
        <f>IFERROR(__xludf.DUMMYFUNCTION("""COMPUTED_VALUE"""),"babyw")</f>
        <v>babyw</v>
      </c>
    </row>
    <row r="173">
      <c r="A173" s="47" t="str">
        <f>IFERROR(__xludf.DUMMYFUNCTION("""COMPUTED_VALUE"""),"Virtual Brown")</f>
        <v>Virtual Brown</v>
      </c>
      <c r="B173" s="47" t="str">
        <f>IFERROR(__xludf.DUMMYFUNCTION("""COMPUTED_VALUE"""),"Wangotango")</f>
        <v>Wangotango</v>
      </c>
      <c r="C173" s="78" t="str">
        <f>IFERROR(__xludf.DUMMYFUNCTION("""COMPUTED_VALUE"""),"https://www.munzee.com/m/Wangotango/1192/")</f>
        <v>https://www.munzee.com/m/Wangotango/1192/</v>
      </c>
      <c r="D173" s="47"/>
      <c r="E173" s="47" t="b">
        <f>IFERROR(__xludf.DUMMYFUNCTION("""COMPUTED_VALUE"""),TRUE)</f>
        <v>1</v>
      </c>
      <c r="F173" s="47" t="str">
        <f>IFERROR(__xludf.DUMMYFUNCTION("""COMPUTED_VALUE"""),"")</f>
        <v/>
      </c>
      <c r="G173" s="47" t="str">
        <f>IFERROR(__xludf.DUMMYFUNCTION("""COMPUTED_VALUE"""),"")</f>
        <v/>
      </c>
      <c r="H173" s="47"/>
      <c r="I173" s="47">
        <f>IFERROR(__xludf.DUMMYFUNCTION("""COMPUTED_VALUE"""),2.0)</f>
        <v>2</v>
      </c>
      <c r="J173" s="47" t="str">
        <f>IFERROR(__xludf.DUMMYFUNCTION("""COMPUTED_VALUE"""),"https:")</f>
        <v>https:</v>
      </c>
      <c r="K173" s="78" t="str">
        <f>IFERROR(__xludf.DUMMYFUNCTION("""COMPUTED_VALUE"""),"www.munzee.com")</f>
        <v>www.munzee.com</v>
      </c>
      <c r="L173" s="47" t="str">
        <f>IFERROR(__xludf.DUMMYFUNCTION("""COMPUTED_VALUE"""),"m")</f>
        <v>m</v>
      </c>
      <c r="M173" s="47" t="str">
        <f>IFERROR(__xludf.DUMMYFUNCTION("""COMPUTED_VALUE"""),"Wangotango")</f>
        <v>Wangotango</v>
      </c>
    </row>
    <row r="174">
      <c r="A174" s="47" t="str">
        <f>IFERROR(__xludf.DUMMYFUNCTION("""COMPUTED_VALUE"""),"Virtual Brown")</f>
        <v>Virtual Brown</v>
      </c>
      <c r="B174" s="47" t="str">
        <f>IFERROR(__xludf.DUMMYFUNCTION("""COMPUTED_VALUE"""),"Anetzet ")</f>
        <v>Anetzet </v>
      </c>
      <c r="C174" s="78" t="str">
        <f>IFERROR(__xludf.DUMMYFUNCTION("""COMPUTED_VALUE"""),"https://www.munzee.com/m/Anetzet/2669/")</f>
        <v>https://www.munzee.com/m/Anetzet/2669/</v>
      </c>
      <c r="D174" s="47"/>
      <c r="E174" s="47" t="b">
        <f>IFERROR(__xludf.DUMMYFUNCTION("""COMPUTED_VALUE"""),TRUE)</f>
        <v>1</v>
      </c>
      <c r="F174" s="47" t="str">
        <f>IFERROR(__xludf.DUMMYFUNCTION("""COMPUTED_VALUE"""),"")</f>
        <v/>
      </c>
      <c r="G174" s="47" t="str">
        <f>IFERROR(__xludf.DUMMYFUNCTION("""COMPUTED_VALUE"""),"")</f>
        <v/>
      </c>
      <c r="H174" s="47"/>
      <c r="I174" s="47">
        <f>IFERROR(__xludf.DUMMYFUNCTION("""COMPUTED_VALUE"""),2.0)</f>
        <v>2</v>
      </c>
      <c r="J174" s="47" t="str">
        <f>IFERROR(__xludf.DUMMYFUNCTION("""COMPUTED_VALUE"""),"https:")</f>
        <v>https:</v>
      </c>
      <c r="K174" s="78" t="str">
        <f>IFERROR(__xludf.DUMMYFUNCTION("""COMPUTED_VALUE"""),"www.munzee.com")</f>
        <v>www.munzee.com</v>
      </c>
      <c r="L174" s="47" t="str">
        <f>IFERROR(__xludf.DUMMYFUNCTION("""COMPUTED_VALUE"""),"m")</f>
        <v>m</v>
      </c>
      <c r="M174" s="47" t="str">
        <f>IFERROR(__xludf.DUMMYFUNCTION("""COMPUTED_VALUE"""),"Anetzet")</f>
        <v>Anetzet</v>
      </c>
    </row>
    <row r="175">
      <c r="A175" s="47" t="str">
        <f>IFERROR(__xludf.DUMMYFUNCTION("""COMPUTED_VALUE"""),"Virtual Brown")</f>
        <v>Virtual Brown</v>
      </c>
      <c r="B175" s="47" t="str">
        <f>IFERROR(__xludf.DUMMYFUNCTION("""COMPUTED_VALUE"""),"Drazoria")</f>
        <v>Drazoria</v>
      </c>
      <c r="C175" s="78" t="str">
        <f>IFERROR(__xludf.DUMMYFUNCTION("""COMPUTED_VALUE"""),"https://www.munzee.com/m/Drazoria/691")</f>
        <v>https://www.munzee.com/m/Drazoria/691</v>
      </c>
      <c r="D175" s="47"/>
      <c r="E175" s="47" t="b">
        <f>IFERROR(__xludf.DUMMYFUNCTION("""COMPUTED_VALUE"""),TRUE)</f>
        <v>1</v>
      </c>
      <c r="F175" s="47" t="str">
        <f>IFERROR(__xludf.DUMMYFUNCTION("""COMPUTED_VALUE"""),"")</f>
        <v/>
      </c>
      <c r="G175" s="47" t="str">
        <f>IFERROR(__xludf.DUMMYFUNCTION("""COMPUTED_VALUE"""),"")</f>
        <v/>
      </c>
      <c r="H175" s="47"/>
      <c r="I175" s="47">
        <f>IFERROR(__xludf.DUMMYFUNCTION("""COMPUTED_VALUE"""),2.0)</f>
        <v>2</v>
      </c>
      <c r="J175" s="47" t="str">
        <f>IFERROR(__xludf.DUMMYFUNCTION("""COMPUTED_VALUE"""),"https:")</f>
        <v>https:</v>
      </c>
      <c r="K175" s="78" t="str">
        <f>IFERROR(__xludf.DUMMYFUNCTION("""COMPUTED_VALUE"""),"www.munzee.com")</f>
        <v>www.munzee.com</v>
      </c>
      <c r="L175" s="47" t="str">
        <f>IFERROR(__xludf.DUMMYFUNCTION("""COMPUTED_VALUE"""),"m")</f>
        <v>m</v>
      </c>
      <c r="M175" s="47" t="str">
        <f>IFERROR(__xludf.DUMMYFUNCTION("""COMPUTED_VALUE"""),"Drazoria")</f>
        <v>Drazoria</v>
      </c>
    </row>
    <row r="176">
      <c r="A176" s="47" t="str">
        <f>IFERROR(__xludf.DUMMYFUNCTION("""COMPUTED_VALUE"""),"Virtual Raw Sienna")</f>
        <v>Virtual Raw Sienna</v>
      </c>
      <c r="B176" s="47" t="str">
        <f>IFERROR(__xludf.DUMMYFUNCTION("""COMPUTED_VALUE"""),"Berg14")</f>
        <v>Berg14</v>
      </c>
      <c r="C176" s="78" t="str">
        <f>IFERROR(__xludf.DUMMYFUNCTION("""COMPUTED_VALUE"""),"https://www.munzee.com/m/Berg14/452")</f>
        <v>https://www.munzee.com/m/Berg14/452</v>
      </c>
      <c r="D176" s="47"/>
      <c r="E176" s="47" t="b">
        <f>IFERROR(__xludf.DUMMYFUNCTION("""COMPUTED_VALUE"""),TRUE)</f>
        <v>1</v>
      </c>
      <c r="F176" s="47" t="str">
        <f>IFERROR(__xludf.DUMMYFUNCTION("""COMPUTED_VALUE"""),"")</f>
        <v/>
      </c>
      <c r="G176" s="47" t="str">
        <f>IFERROR(__xludf.DUMMYFUNCTION("""COMPUTED_VALUE"""),"")</f>
        <v/>
      </c>
      <c r="H176" s="47"/>
      <c r="I176" s="47">
        <f>IFERROR(__xludf.DUMMYFUNCTION("""COMPUTED_VALUE"""),2.0)</f>
        <v>2</v>
      </c>
      <c r="J176" s="47" t="str">
        <f>IFERROR(__xludf.DUMMYFUNCTION("""COMPUTED_VALUE"""),"https:")</f>
        <v>https:</v>
      </c>
      <c r="K176" s="78" t="str">
        <f>IFERROR(__xludf.DUMMYFUNCTION("""COMPUTED_VALUE"""),"www.munzee.com")</f>
        <v>www.munzee.com</v>
      </c>
      <c r="L176" s="47" t="str">
        <f>IFERROR(__xludf.DUMMYFUNCTION("""COMPUTED_VALUE"""),"m")</f>
        <v>m</v>
      </c>
      <c r="M176" s="47" t="str">
        <f>IFERROR(__xludf.DUMMYFUNCTION("""COMPUTED_VALUE"""),"Berg14")</f>
        <v>Berg14</v>
      </c>
    </row>
    <row r="177">
      <c r="A177" s="47" t="str">
        <f>IFERROR(__xludf.DUMMYFUNCTION("""COMPUTED_VALUE"""),"Virtual Brown")</f>
        <v>Virtual Brown</v>
      </c>
      <c r="B177" s="47" t="str">
        <f>IFERROR(__xludf.DUMMYFUNCTION("""COMPUTED_VALUE"""),"Tinake1309")</f>
        <v>Tinake1309</v>
      </c>
      <c r="C177" s="78" t="str">
        <f>IFERROR(__xludf.DUMMYFUNCTION("""COMPUTED_VALUE"""),"https://www.munzee.com/m/Tinake1309/669/")</f>
        <v>https://www.munzee.com/m/Tinake1309/669/</v>
      </c>
      <c r="D177" s="47"/>
      <c r="E177" s="47" t="b">
        <f>IFERROR(__xludf.DUMMYFUNCTION("""COMPUTED_VALUE"""),TRUE)</f>
        <v>1</v>
      </c>
      <c r="F177" s="47" t="str">
        <f>IFERROR(__xludf.DUMMYFUNCTION("""COMPUTED_VALUE"""),"")</f>
        <v/>
      </c>
      <c r="G177" s="47" t="str">
        <f>IFERROR(__xludf.DUMMYFUNCTION("""COMPUTED_VALUE"""),"")</f>
        <v/>
      </c>
      <c r="H177" s="47"/>
      <c r="I177" s="47">
        <f>IFERROR(__xludf.DUMMYFUNCTION("""COMPUTED_VALUE"""),2.0)</f>
        <v>2</v>
      </c>
      <c r="J177" s="47" t="str">
        <f>IFERROR(__xludf.DUMMYFUNCTION("""COMPUTED_VALUE"""),"https:")</f>
        <v>https:</v>
      </c>
      <c r="K177" s="78" t="str">
        <f>IFERROR(__xludf.DUMMYFUNCTION("""COMPUTED_VALUE"""),"www.munzee.com")</f>
        <v>www.munzee.com</v>
      </c>
      <c r="L177" s="47" t="str">
        <f>IFERROR(__xludf.DUMMYFUNCTION("""COMPUTED_VALUE"""),"m")</f>
        <v>m</v>
      </c>
      <c r="M177" s="47" t="str">
        <f>IFERROR(__xludf.DUMMYFUNCTION("""COMPUTED_VALUE"""),"Tinake1309")</f>
        <v>Tinake1309</v>
      </c>
    </row>
    <row r="178">
      <c r="A178" s="47" t="str">
        <f>IFERROR(__xludf.DUMMYFUNCTION("""COMPUTED_VALUE"""),"Virtual Brown")</f>
        <v>Virtual Brown</v>
      </c>
      <c r="B178" s="47" t="str">
        <f>IFERROR(__xludf.DUMMYFUNCTION("""COMPUTED_VALUE"""),"Niks13")</f>
        <v>Niks13</v>
      </c>
      <c r="C178" s="78" t="str">
        <f>IFERROR(__xludf.DUMMYFUNCTION("""COMPUTED_VALUE"""),"https://www.munzee.com/m/Niks13/428")</f>
        <v>https://www.munzee.com/m/Niks13/428</v>
      </c>
      <c r="D178" s="47"/>
      <c r="E178" s="47" t="b">
        <f>IFERROR(__xludf.DUMMYFUNCTION("""COMPUTED_VALUE"""),TRUE)</f>
        <v>1</v>
      </c>
      <c r="F178" s="47" t="str">
        <f>IFERROR(__xludf.DUMMYFUNCTION("""COMPUTED_VALUE"""),"")</f>
        <v/>
      </c>
      <c r="G178" s="47" t="str">
        <f>IFERROR(__xludf.DUMMYFUNCTION("""COMPUTED_VALUE"""),"")</f>
        <v/>
      </c>
      <c r="H178" s="47"/>
      <c r="I178" s="47">
        <f>IFERROR(__xludf.DUMMYFUNCTION("""COMPUTED_VALUE"""),2.0)</f>
        <v>2</v>
      </c>
      <c r="J178" s="47" t="str">
        <f>IFERROR(__xludf.DUMMYFUNCTION("""COMPUTED_VALUE"""),"https:")</f>
        <v>https:</v>
      </c>
      <c r="K178" s="78" t="str">
        <f>IFERROR(__xludf.DUMMYFUNCTION("""COMPUTED_VALUE"""),"www.munzee.com")</f>
        <v>www.munzee.com</v>
      </c>
      <c r="L178" s="47" t="str">
        <f>IFERROR(__xludf.DUMMYFUNCTION("""COMPUTED_VALUE"""),"m")</f>
        <v>m</v>
      </c>
      <c r="M178" s="47" t="str">
        <f>IFERROR(__xludf.DUMMYFUNCTION("""COMPUTED_VALUE"""),"Niks13")</f>
        <v>Niks13</v>
      </c>
    </row>
    <row r="179">
      <c r="A179" s="47" t="str">
        <f>IFERROR(__xludf.DUMMYFUNCTION("""COMPUTED_VALUE"""),"Virtual Brown")</f>
        <v>Virtual Brown</v>
      </c>
      <c r="B179" s="47" t="str">
        <f>IFERROR(__xludf.DUMMYFUNCTION("""COMPUTED_VALUE"""),"ArtofEco")</f>
        <v>ArtofEco</v>
      </c>
      <c r="C179" s="78" t="str">
        <f>IFERROR(__xludf.DUMMYFUNCTION("""COMPUTED_VALUE"""),"https://www.munzee.com/m/ArtofEco/2889/")</f>
        <v>https://www.munzee.com/m/ArtofEco/2889/</v>
      </c>
      <c r="D179" s="47"/>
      <c r="E179" s="47" t="b">
        <f>IFERROR(__xludf.DUMMYFUNCTION("""COMPUTED_VALUE"""),TRUE)</f>
        <v>1</v>
      </c>
      <c r="F179" s="47" t="str">
        <f>IFERROR(__xludf.DUMMYFUNCTION("""COMPUTED_VALUE"""),"")</f>
        <v/>
      </c>
      <c r="G179" s="47" t="str">
        <f>IFERROR(__xludf.DUMMYFUNCTION("""COMPUTED_VALUE"""),"")</f>
        <v/>
      </c>
      <c r="H179" s="47"/>
      <c r="I179" s="47">
        <f>IFERROR(__xludf.DUMMYFUNCTION("""COMPUTED_VALUE"""),2.0)</f>
        <v>2</v>
      </c>
      <c r="J179" s="47" t="str">
        <f>IFERROR(__xludf.DUMMYFUNCTION("""COMPUTED_VALUE"""),"https:")</f>
        <v>https:</v>
      </c>
      <c r="K179" s="78" t="str">
        <f>IFERROR(__xludf.DUMMYFUNCTION("""COMPUTED_VALUE"""),"www.munzee.com")</f>
        <v>www.munzee.com</v>
      </c>
      <c r="L179" s="47" t="str">
        <f>IFERROR(__xludf.DUMMYFUNCTION("""COMPUTED_VALUE"""),"m")</f>
        <v>m</v>
      </c>
      <c r="M179" s="47" t="str">
        <f>IFERROR(__xludf.DUMMYFUNCTION("""COMPUTED_VALUE"""),"ArtofEco")</f>
        <v>ArtofEco</v>
      </c>
    </row>
    <row r="180">
      <c r="A180" s="47" t="str">
        <f>IFERROR(__xludf.DUMMYFUNCTION("""COMPUTED_VALUE"""),"Virtual Raw Sienna")</f>
        <v>Virtual Raw Sienna</v>
      </c>
      <c r="B180" s="47" t="str">
        <f>IFERROR(__xludf.DUMMYFUNCTION("""COMPUTED_VALUE"""),"Belladivadee")</f>
        <v>Belladivadee</v>
      </c>
      <c r="C180" s="78" t="str">
        <f>IFERROR(__xludf.DUMMYFUNCTION("""COMPUTED_VALUE"""),"https://www.munzee.com/m/belladivadee/2969/")</f>
        <v>https://www.munzee.com/m/belladivadee/2969/</v>
      </c>
      <c r="D180" s="47"/>
      <c r="E180" s="47" t="b">
        <f>IFERROR(__xludf.DUMMYFUNCTION("""COMPUTED_VALUE"""),TRUE)</f>
        <v>1</v>
      </c>
      <c r="F180" s="47" t="str">
        <f>IFERROR(__xludf.DUMMYFUNCTION("""COMPUTED_VALUE"""),"")</f>
        <v/>
      </c>
      <c r="G180" s="47" t="str">
        <f>IFERROR(__xludf.DUMMYFUNCTION("""COMPUTED_VALUE"""),"")</f>
        <v/>
      </c>
      <c r="H180" s="47"/>
      <c r="I180" s="47">
        <f>IFERROR(__xludf.DUMMYFUNCTION("""COMPUTED_VALUE"""),2.0)</f>
        <v>2</v>
      </c>
      <c r="J180" s="47" t="str">
        <f>IFERROR(__xludf.DUMMYFUNCTION("""COMPUTED_VALUE"""),"https:")</f>
        <v>https:</v>
      </c>
      <c r="K180" s="78" t="str">
        <f>IFERROR(__xludf.DUMMYFUNCTION("""COMPUTED_VALUE"""),"www.munzee.com")</f>
        <v>www.munzee.com</v>
      </c>
      <c r="L180" s="47" t="str">
        <f>IFERROR(__xludf.DUMMYFUNCTION("""COMPUTED_VALUE"""),"m")</f>
        <v>m</v>
      </c>
      <c r="M180" s="47" t="str">
        <f>IFERROR(__xludf.DUMMYFUNCTION("""COMPUTED_VALUE"""),"belladivadee")</f>
        <v>belladivadee</v>
      </c>
    </row>
    <row r="181">
      <c r="A181" s="47" t="str">
        <f>IFERROR(__xludf.DUMMYFUNCTION("""COMPUTED_VALUE"""),"Virtual Brown")</f>
        <v>Virtual Brown</v>
      </c>
      <c r="B181" s="47" t="str">
        <f>IFERROR(__xludf.DUMMYFUNCTION("""COMPUTED_VALUE"""),"Derlame ")</f>
        <v>Derlame </v>
      </c>
      <c r="C181" s="78" t="str">
        <f>IFERROR(__xludf.DUMMYFUNCTION("""COMPUTED_VALUE"""),"https://www.munzee.com/m/Derlame/12299/")</f>
        <v>https://www.munzee.com/m/Derlame/12299/</v>
      </c>
      <c r="D181" s="47"/>
      <c r="E181" s="47" t="b">
        <f>IFERROR(__xludf.DUMMYFUNCTION("""COMPUTED_VALUE"""),TRUE)</f>
        <v>1</v>
      </c>
      <c r="F181" s="47" t="str">
        <f>IFERROR(__xludf.DUMMYFUNCTION("""COMPUTED_VALUE"""),"")</f>
        <v/>
      </c>
      <c r="G181" s="47" t="str">
        <f>IFERROR(__xludf.DUMMYFUNCTION("""COMPUTED_VALUE"""),"")</f>
        <v/>
      </c>
      <c r="H181" s="47"/>
      <c r="I181" s="47">
        <f>IFERROR(__xludf.DUMMYFUNCTION("""COMPUTED_VALUE"""),2.0)</f>
        <v>2</v>
      </c>
      <c r="J181" s="47" t="str">
        <f>IFERROR(__xludf.DUMMYFUNCTION("""COMPUTED_VALUE"""),"https:")</f>
        <v>https:</v>
      </c>
      <c r="K181" s="78" t="str">
        <f>IFERROR(__xludf.DUMMYFUNCTION("""COMPUTED_VALUE"""),"www.munzee.com")</f>
        <v>www.munzee.com</v>
      </c>
      <c r="L181" s="47" t="str">
        <f>IFERROR(__xludf.DUMMYFUNCTION("""COMPUTED_VALUE"""),"m")</f>
        <v>m</v>
      </c>
      <c r="M181" s="47" t="str">
        <f>IFERROR(__xludf.DUMMYFUNCTION("""COMPUTED_VALUE"""),"Derlame")</f>
        <v>Derlame</v>
      </c>
    </row>
    <row r="182">
      <c r="A182" s="47" t="str">
        <f>IFERROR(__xludf.DUMMYFUNCTION("""COMPUTED_VALUE"""),"Virtual Brown")</f>
        <v>Virtual Brown</v>
      </c>
      <c r="B182" s="47" t="str">
        <f>IFERROR(__xludf.DUMMYFUNCTION("""COMPUTED_VALUE"""),"barefootguru")</f>
        <v>barefootguru</v>
      </c>
      <c r="C182" s="78" t="str">
        <f>IFERROR(__xludf.DUMMYFUNCTION("""COMPUTED_VALUE"""),"https://www.munzee.com/m/barefootguru/3093/")</f>
        <v>https://www.munzee.com/m/barefootguru/3093/</v>
      </c>
      <c r="D182" s="47"/>
      <c r="E182" s="47" t="b">
        <f>IFERROR(__xludf.DUMMYFUNCTION("""COMPUTED_VALUE"""),TRUE)</f>
        <v>1</v>
      </c>
      <c r="F182" s="47" t="str">
        <f>IFERROR(__xludf.DUMMYFUNCTION("""COMPUTED_VALUE"""),"")</f>
        <v/>
      </c>
      <c r="G182" s="47" t="str">
        <f>IFERROR(__xludf.DUMMYFUNCTION("""COMPUTED_VALUE"""),"")</f>
        <v/>
      </c>
      <c r="H182" s="47"/>
      <c r="I182" s="47">
        <f>IFERROR(__xludf.DUMMYFUNCTION("""COMPUTED_VALUE"""),2.0)</f>
        <v>2</v>
      </c>
      <c r="J182" s="47" t="str">
        <f>IFERROR(__xludf.DUMMYFUNCTION("""COMPUTED_VALUE"""),"https:")</f>
        <v>https:</v>
      </c>
      <c r="K182" s="78" t="str">
        <f>IFERROR(__xludf.DUMMYFUNCTION("""COMPUTED_VALUE"""),"www.munzee.com")</f>
        <v>www.munzee.com</v>
      </c>
      <c r="L182" s="47" t="str">
        <f>IFERROR(__xludf.DUMMYFUNCTION("""COMPUTED_VALUE"""),"m")</f>
        <v>m</v>
      </c>
      <c r="M182" s="47" t="str">
        <f>IFERROR(__xludf.DUMMYFUNCTION("""COMPUTED_VALUE"""),"barefootguru")</f>
        <v>barefootguru</v>
      </c>
    </row>
    <row r="183">
      <c r="A183" s="47" t="str">
        <f>IFERROR(__xludf.DUMMYFUNCTION("""COMPUTED_VALUE"""),"Virtual Raw Sienna")</f>
        <v>Virtual Raw Sienna</v>
      </c>
      <c r="B183" s="47" t="str">
        <f>IFERROR(__xludf.DUMMYFUNCTION("""COMPUTED_VALUE"""),"Anaira")</f>
        <v>Anaira</v>
      </c>
      <c r="C183" s="78" t="str">
        <f>IFERROR(__xludf.DUMMYFUNCTION("""COMPUTED_VALUE"""),"https://www.munzee.com/m/Aniara/6430/")</f>
        <v>https://www.munzee.com/m/Aniara/6430/</v>
      </c>
      <c r="D183" s="47"/>
      <c r="E183" s="47" t="b">
        <f>IFERROR(__xludf.DUMMYFUNCTION("""COMPUTED_VALUE"""),TRUE)</f>
        <v>1</v>
      </c>
      <c r="F183" s="47" t="str">
        <f>IFERROR(__xludf.DUMMYFUNCTION("""COMPUTED_VALUE"""),"")</f>
        <v/>
      </c>
      <c r="G183" s="47" t="str">
        <f>IFERROR(__xludf.DUMMYFUNCTION("""COMPUTED_VALUE"""),"")</f>
        <v/>
      </c>
      <c r="H183" s="47"/>
      <c r="I183" s="47">
        <f>IFERROR(__xludf.DUMMYFUNCTION("""COMPUTED_VALUE"""),2.0)</f>
        <v>2</v>
      </c>
      <c r="J183" s="47" t="str">
        <f>IFERROR(__xludf.DUMMYFUNCTION("""COMPUTED_VALUE"""),"https:")</f>
        <v>https:</v>
      </c>
      <c r="K183" s="78" t="str">
        <f>IFERROR(__xludf.DUMMYFUNCTION("""COMPUTED_VALUE"""),"www.munzee.com")</f>
        <v>www.munzee.com</v>
      </c>
      <c r="L183" s="47" t="str">
        <f>IFERROR(__xludf.DUMMYFUNCTION("""COMPUTED_VALUE"""),"m")</f>
        <v>m</v>
      </c>
      <c r="M183" s="47" t="str">
        <f>IFERROR(__xludf.DUMMYFUNCTION("""COMPUTED_VALUE"""),"Aniara")</f>
        <v>Aniara</v>
      </c>
    </row>
    <row r="184">
      <c r="A184" s="47" t="str">
        <f>IFERROR(__xludf.DUMMYFUNCTION("""COMPUTED_VALUE"""),"Virtual Brown")</f>
        <v>Virtual Brown</v>
      </c>
      <c r="B184" s="47" t="str">
        <f>IFERROR(__xludf.DUMMYFUNCTION("""COMPUTED_VALUE"""),"cbf600")</f>
        <v>cbf600</v>
      </c>
      <c r="C184" s="78" t="str">
        <f>IFERROR(__xludf.DUMMYFUNCTION("""COMPUTED_VALUE"""),"https://www.munzee.com/m/cbf600/2385/")</f>
        <v>https://www.munzee.com/m/cbf600/2385/</v>
      </c>
      <c r="D184" s="47"/>
      <c r="E184" s="47" t="b">
        <f>IFERROR(__xludf.DUMMYFUNCTION("""COMPUTED_VALUE"""),TRUE)</f>
        <v>1</v>
      </c>
      <c r="F184" s="47" t="str">
        <f>IFERROR(__xludf.DUMMYFUNCTION("""COMPUTED_VALUE"""),"")</f>
        <v/>
      </c>
      <c r="G184" s="47" t="str">
        <f>IFERROR(__xludf.DUMMYFUNCTION("""COMPUTED_VALUE"""),"")</f>
        <v/>
      </c>
      <c r="H184" s="47"/>
      <c r="I184" s="47">
        <f>IFERROR(__xludf.DUMMYFUNCTION("""COMPUTED_VALUE"""),2.0)</f>
        <v>2</v>
      </c>
      <c r="J184" s="47" t="str">
        <f>IFERROR(__xludf.DUMMYFUNCTION("""COMPUTED_VALUE"""),"https:")</f>
        <v>https:</v>
      </c>
      <c r="K184" s="78" t="str">
        <f>IFERROR(__xludf.DUMMYFUNCTION("""COMPUTED_VALUE"""),"www.munzee.com")</f>
        <v>www.munzee.com</v>
      </c>
      <c r="L184" s="47" t="str">
        <f>IFERROR(__xludf.DUMMYFUNCTION("""COMPUTED_VALUE"""),"m")</f>
        <v>m</v>
      </c>
      <c r="M184" s="47" t="str">
        <f>IFERROR(__xludf.DUMMYFUNCTION("""COMPUTED_VALUE"""),"cbf600")</f>
        <v>cbf600</v>
      </c>
    </row>
    <row r="185">
      <c r="A185" s="47" t="str">
        <f>IFERROR(__xludf.DUMMYFUNCTION("""COMPUTED_VALUE"""),"Virtual Raw Sienna")</f>
        <v>Virtual Raw Sienna</v>
      </c>
      <c r="B185" s="47" t="str">
        <f>IFERROR(__xludf.DUMMYFUNCTION("""COMPUTED_VALUE"""),"IggiePiggie")</f>
        <v>IggiePiggie</v>
      </c>
      <c r="C185" s="78" t="str">
        <f>IFERROR(__xludf.DUMMYFUNCTION("""COMPUTED_VALUE"""),"https://www.munzee.com/m/IggiePiggie/1777/")</f>
        <v>https://www.munzee.com/m/IggiePiggie/1777/</v>
      </c>
      <c r="D185" s="47"/>
      <c r="E185" s="47" t="b">
        <f>IFERROR(__xludf.DUMMYFUNCTION("""COMPUTED_VALUE"""),TRUE)</f>
        <v>1</v>
      </c>
      <c r="F185" s="47" t="str">
        <f>IFERROR(__xludf.DUMMYFUNCTION("""COMPUTED_VALUE"""),"")</f>
        <v/>
      </c>
      <c r="G185" s="47" t="str">
        <f>IFERROR(__xludf.DUMMYFUNCTION("""COMPUTED_VALUE"""),"")</f>
        <v/>
      </c>
      <c r="H185" s="47"/>
      <c r="I185" s="47">
        <f>IFERROR(__xludf.DUMMYFUNCTION("""COMPUTED_VALUE"""),2.0)</f>
        <v>2</v>
      </c>
      <c r="J185" s="47" t="str">
        <f>IFERROR(__xludf.DUMMYFUNCTION("""COMPUTED_VALUE"""),"https:")</f>
        <v>https:</v>
      </c>
      <c r="K185" s="78" t="str">
        <f>IFERROR(__xludf.DUMMYFUNCTION("""COMPUTED_VALUE"""),"www.munzee.com")</f>
        <v>www.munzee.com</v>
      </c>
      <c r="L185" s="47" t="str">
        <f>IFERROR(__xludf.DUMMYFUNCTION("""COMPUTED_VALUE"""),"m")</f>
        <v>m</v>
      </c>
      <c r="M185" s="47" t="str">
        <f>IFERROR(__xludf.DUMMYFUNCTION("""COMPUTED_VALUE"""),"IggiePiggie")</f>
        <v>IggiePiggie</v>
      </c>
    </row>
    <row r="186">
      <c r="A186" s="47" t="str">
        <f>IFERROR(__xludf.DUMMYFUNCTION("""COMPUTED_VALUE"""),"Virtual Brown")</f>
        <v>Virtual Brown</v>
      </c>
      <c r="B186" s="47" t="str">
        <f>IFERROR(__xludf.DUMMYFUNCTION("""COMPUTED_VALUE"""),"CrazyLadyLisa")</f>
        <v>CrazyLadyLisa</v>
      </c>
      <c r="C186" s="78" t="str">
        <f>IFERROR(__xludf.DUMMYFUNCTION("""COMPUTED_VALUE"""),"https://www.munzee.com/m/CrazyLadyLisa/14448/")</f>
        <v>https://www.munzee.com/m/CrazyLadyLisa/14448/</v>
      </c>
      <c r="D186" s="47"/>
      <c r="E186" s="47" t="b">
        <f>IFERROR(__xludf.DUMMYFUNCTION("""COMPUTED_VALUE"""),TRUE)</f>
        <v>1</v>
      </c>
      <c r="F186" s="47" t="str">
        <f>IFERROR(__xludf.DUMMYFUNCTION("""COMPUTED_VALUE"""),"")</f>
        <v/>
      </c>
      <c r="G186" s="47" t="str">
        <f>IFERROR(__xludf.DUMMYFUNCTION("""COMPUTED_VALUE"""),"")</f>
        <v/>
      </c>
      <c r="H186" s="47"/>
      <c r="I186" s="47">
        <f>IFERROR(__xludf.DUMMYFUNCTION("""COMPUTED_VALUE"""),2.0)</f>
        <v>2</v>
      </c>
      <c r="J186" s="47" t="str">
        <f>IFERROR(__xludf.DUMMYFUNCTION("""COMPUTED_VALUE"""),"https:")</f>
        <v>https:</v>
      </c>
      <c r="K186" s="78" t="str">
        <f>IFERROR(__xludf.DUMMYFUNCTION("""COMPUTED_VALUE"""),"www.munzee.com")</f>
        <v>www.munzee.com</v>
      </c>
      <c r="L186" s="47" t="str">
        <f>IFERROR(__xludf.DUMMYFUNCTION("""COMPUTED_VALUE"""),"m")</f>
        <v>m</v>
      </c>
      <c r="M186" s="47" t="str">
        <f>IFERROR(__xludf.DUMMYFUNCTION("""COMPUTED_VALUE"""),"CrazyLadyLisa")</f>
        <v>CrazyLadyLisa</v>
      </c>
    </row>
    <row r="187">
      <c r="A187" s="47" t="str">
        <f>IFERROR(__xludf.DUMMYFUNCTION("""COMPUTED_VALUE"""),"Virtual Brown")</f>
        <v>Virtual Brown</v>
      </c>
      <c r="B187" s="47" t="str">
        <f>IFERROR(__xludf.DUMMYFUNCTION("""COMPUTED_VALUE"""),"IXE13")</f>
        <v>IXE13</v>
      </c>
      <c r="C187" s="78" t="str">
        <f>IFERROR(__xludf.DUMMYFUNCTION("""COMPUTED_VALUE"""),"https://www.munzee.com/m/IXE13/206/")</f>
        <v>https://www.munzee.com/m/IXE13/206/</v>
      </c>
      <c r="D187" s="47"/>
      <c r="E187" s="47" t="b">
        <f>IFERROR(__xludf.DUMMYFUNCTION("""COMPUTED_VALUE"""),TRUE)</f>
        <v>1</v>
      </c>
      <c r="F187" s="47" t="str">
        <f>IFERROR(__xludf.DUMMYFUNCTION("""COMPUTED_VALUE"""),"")</f>
        <v/>
      </c>
      <c r="G187" s="47" t="str">
        <f>IFERROR(__xludf.DUMMYFUNCTION("""COMPUTED_VALUE"""),"")</f>
        <v/>
      </c>
      <c r="H187" s="47"/>
      <c r="I187" s="47">
        <f>IFERROR(__xludf.DUMMYFUNCTION("""COMPUTED_VALUE"""),2.0)</f>
        <v>2</v>
      </c>
      <c r="J187" s="47" t="str">
        <f>IFERROR(__xludf.DUMMYFUNCTION("""COMPUTED_VALUE"""),"https:")</f>
        <v>https:</v>
      </c>
      <c r="K187" s="78" t="str">
        <f>IFERROR(__xludf.DUMMYFUNCTION("""COMPUTED_VALUE"""),"www.munzee.com")</f>
        <v>www.munzee.com</v>
      </c>
      <c r="L187" s="47" t="str">
        <f>IFERROR(__xludf.DUMMYFUNCTION("""COMPUTED_VALUE"""),"m")</f>
        <v>m</v>
      </c>
      <c r="M187" s="47" t="str">
        <f>IFERROR(__xludf.DUMMYFUNCTION("""COMPUTED_VALUE"""),"IXE13")</f>
        <v>IXE13</v>
      </c>
    </row>
    <row r="188">
      <c r="A188" s="47" t="str">
        <f>IFERROR(__xludf.DUMMYFUNCTION("""COMPUTED_VALUE"""),"Virtual Brown")</f>
        <v>Virtual Brown</v>
      </c>
      <c r="B188" s="47" t="str">
        <f>IFERROR(__xludf.DUMMYFUNCTION("""COMPUTED_VALUE"""),"Laouate")</f>
        <v>Laouate</v>
      </c>
      <c r="C188" s="78" t="str">
        <f>IFERROR(__xludf.DUMMYFUNCTION("""COMPUTED_VALUE"""),"https://www.munzee.com/m/Laouate/315/")</f>
        <v>https://www.munzee.com/m/Laouate/315/</v>
      </c>
      <c r="D188" s="47"/>
      <c r="E188" s="47" t="b">
        <f>IFERROR(__xludf.DUMMYFUNCTION("""COMPUTED_VALUE"""),TRUE)</f>
        <v>1</v>
      </c>
      <c r="F188" s="47" t="str">
        <f>IFERROR(__xludf.DUMMYFUNCTION("""COMPUTED_VALUE"""),"")</f>
        <v/>
      </c>
      <c r="G188" s="47" t="str">
        <f>IFERROR(__xludf.DUMMYFUNCTION("""COMPUTED_VALUE"""),"")</f>
        <v/>
      </c>
      <c r="H188" s="47"/>
      <c r="I188" s="47">
        <f>IFERROR(__xludf.DUMMYFUNCTION("""COMPUTED_VALUE"""),2.0)</f>
        <v>2</v>
      </c>
      <c r="J188" s="47" t="str">
        <f>IFERROR(__xludf.DUMMYFUNCTION("""COMPUTED_VALUE"""),"https:")</f>
        <v>https:</v>
      </c>
      <c r="K188" s="78" t="str">
        <f>IFERROR(__xludf.DUMMYFUNCTION("""COMPUTED_VALUE"""),"www.munzee.com")</f>
        <v>www.munzee.com</v>
      </c>
      <c r="L188" s="47" t="str">
        <f>IFERROR(__xludf.DUMMYFUNCTION("""COMPUTED_VALUE"""),"m")</f>
        <v>m</v>
      </c>
      <c r="M188" s="47" t="str">
        <f>IFERROR(__xludf.DUMMYFUNCTION("""COMPUTED_VALUE"""),"Laouate")</f>
        <v>Laouate</v>
      </c>
    </row>
    <row r="189">
      <c r="A189" s="47" t="str">
        <f>IFERROR(__xludf.DUMMYFUNCTION("""COMPUTED_VALUE"""),"Virtual Brown")</f>
        <v>Virtual Brown</v>
      </c>
      <c r="B189" s="47" t="str">
        <f>IFERROR(__xludf.DUMMYFUNCTION("""COMPUTED_VALUE"""),"cbf600")</f>
        <v>cbf600</v>
      </c>
      <c r="C189" s="78" t="str">
        <f>IFERROR(__xludf.DUMMYFUNCTION("""COMPUTED_VALUE"""),"https://www.munzee.com/m/cbf600/2246/")</f>
        <v>https://www.munzee.com/m/cbf600/2246/</v>
      </c>
      <c r="D189" s="47"/>
      <c r="E189" s="47" t="b">
        <f>IFERROR(__xludf.DUMMYFUNCTION("""COMPUTED_VALUE"""),TRUE)</f>
        <v>1</v>
      </c>
      <c r="F189" s="47" t="str">
        <f>IFERROR(__xludf.DUMMYFUNCTION("""COMPUTED_VALUE"""),"")</f>
        <v/>
      </c>
      <c r="G189" s="47" t="str">
        <f>IFERROR(__xludf.DUMMYFUNCTION("""COMPUTED_VALUE"""),"")</f>
        <v/>
      </c>
      <c r="H189" s="47"/>
      <c r="I189" s="47">
        <f>IFERROR(__xludf.DUMMYFUNCTION("""COMPUTED_VALUE"""),2.0)</f>
        <v>2</v>
      </c>
      <c r="J189" s="47" t="str">
        <f>IFERROR(__xludf.DUMMYFUNCTION("""COMPUTED_VALUE"""),"https:")</f>
        <v>https:</v>
      </c>
      <c r="K189" s="78" t="str">
        <f>IFERROR(__xludf.DUMMYFUNCTION("""COMPUTED_VALUE"""),"www.munzee.com")</f>
        <v>www.munzee.com</v>
      </c>
      <c r="L189" s="47" t="str">
        <f>IFERROR(__xludf.DUMMYFUNCTION("""COMPUTED_VALUE"""),"m")</f>
        <v>m</v>
      </c>
      <c r="M189" s="47" t="str">
        <f>IFERROR(__xludf.DUMMYFUNCTION("""COMPUTED_VALUE"""),"cbf600")</f>
        <v>cbf600</v>
      </c>
    </row>
    <row r="190">
      <c r="A190" s="47" t="str">
        <f>IFERROR(__xludf.DUMMYFUNCTION("""COMPUTED_VALUE"""),"Virtual Brown")</f>
        <v>Virtual Brown</v>
      </c>
      <c r="B190" s="47" t="str">
        <f>IFERROR(__xludf.DUMMYFUNCTION("""COMPUTED_VALUE"""),"5Star")</f>
        <v>5Star</v>
      </c>
      <c r="C190" s="78" t="str">
        <f>IFERROR(__xludf.DUMMYFUNCTION("""COMPUTED_VALUE"""),"https://www.munzee.com/m/5Star/5595/")</f>
        <v>https://www.munzee.com/m/5Star/5595/</v>
      </c>
      <c r="D190" s="47"/>
      <c r="E190" s="47" t="b">
        <f>IFERROR(__xludf.DUMMYFUNCTION("""COMPUTED_VALUE"""),TRUE)</f>
        <v>1</v>
      </c>
      <c r="F190" s="47" t="str">
        <f>IFERROR(__xludf.DUMMYFUNCTION("""COMPUTED_VALUE"""),"")</f>
        <v/>
      </c>
      <c r="G190" s="47" t="str">
        <f>IFERROR(__xludf.DUMMYFUNCTION("""COMPUTED_VALUE"""),"")</f>
        <v/>
      </c>
      <c r="H190" s="47"/>
      <c r="I190" s="47">
        <f>IFERROR(__xludf.DUMMYFUNCTION("""COMPUTED_VALUE"""),2.0)</f>
        <v>2</v>
      </c>
      <c r="J190" s="47" t="str">
        <f>IFERROR(__xludf.DUMMYFUNCTION("""COMPUTED_VALUE"""),"https:")</f>
        <v>https:</v>
      </c>
      <c r="K190" s="78" t="str">
        <f>IFERROR(__xludf.DUMMYFUNCTION("""COMPUTED_VALUE"""),"www.munzee.com")</f>
        <v>www.munzee.com</v>
      </c>
      <c r="L190" s="47" t="str">
        <f>IFERROR(__xludf.DUMMYFUNCTION("""COMPUTED_VALUE"""),"m")</f>
        <v>m</v>
      </c>
      <c r="M190" s="47" t="str">
        <f>IFERROR(__xludf.DUMMYFUNCTION("""COMPUTED_VALUE"""),"5Star")</f>
        <v>5Star</v>
      </c>
    </row>
    <row r="191">
      <c r="A191" s="47" t="str">
        <f>IFERROR(__xludf.DUMMYFUNCTION("""COMPUTED_VALUE"""),"Virtual Brown")</f>
        <v>Virtual Brown</v>
      </c>
      <c r="B191" s="47" t="str">
        <f>IFERROR(__xludf.DUMMYFUNCTION("""COMPUTED_VALUE"""),"Questing4 ")</f>
        <v>Questing4 </v>
      </c>
      <c r="C191" s="78" t="str">
        <f>IFERROR(__xludf.DUMMYFUNCTION("""COMPUTED_VALUE"""),"https://www.munzee.com/m/Questing4/7153")</f>
        <v>https://www.munzee.com/m/Questing4/7153</v>
      </c>
      <c r="D191" s="47"/>
      <c r="E191" s="47" t="b">
        <f>IFERROR(__xludf.DUMMYFUNCTION("""COMPUTED_VALUE"""),TRUE)</f>
        <v>1</v>
      </c>
      <c r="F191" s="47" t="str">
        <f>IFERROR(__xludf.DUMMYFUNCTION("""COMPUTED_VALUE"""),"")</f>
        <v/>
      </c>
      <c r="G191" s="47" t="str">
        <f>IFERROR(__xludf.DUMMYFUNCTION("""COMPUTED_VALUE"""),"")</f>
        <v/>
      </c>
      <c r="H191" s="47"/>
      <c r="I191" s="47">
        <f>IFERROR(__xludf.DUMMYFUNCTION("""COMPUTED_VALUE"""),2.0)</f>
        <v>2</v>
      </c>
      <c r="J191" s="47" t="str">
        <f>IFERROR(__xludf.DUMMYFUNCTION("""COMPUTED_VALUE"""),"https:")</f>
        <v>https:</v>
      </c>
      <c r="K191" s="78" t="str">
        <f>IFERROR(__xludf.DUMMYFUNCTION("""COMPUTED_VALUE"""),"www.munzee.com")</f>
        <v>www.munzee.com</v>
      </c>
      <c r="L191" s="47" t="str">
        <f>IFERROR(__xludf.DUMMYFUNCTION("""COMPUTED_VALUE"""),"m")</f>
        <v>m</v>
      </c>
      <c r="M191" s="47" t="str">
        <f>IFERROR(__xludf.DUMMYFUNCTION("""COMPUTED_VALUE"""),"Questing4")</f>
        <v>Questing4</v>
      </c>
    </row>
    <row r="192">
      <c r="A192" s="47" t="str">
        <f>IFERROR(__xludf.DUMMYFUNCTION("""COMPUTED_VALUE"""),"Virtual Brown")</f>
        <v>Virtual Brown</v>
      </c>
      <c r="B192" s="47" t="str">
        <f>IFERROR(__xludf.DUMMYFUNCTION("""COMPUTED_VALUE"""),"GroteSuferd")</f>
        <v>GroteSuferd</v>
      </c>
      <c r="C192" s="78" t="str">
        <f>IFERROR(__xludf.DUMMYFUNCTION("""COMPUTED_VALUE"""),"https://www.munzee.com/m/GroteSufferd/319/")</f>
        <v>https://www.munzee.com/m/GroteSufferd/319/</v>
      </c>
      <c r="D192" s="47"/>
      <c r="E192" s="47" t="b">
        <f>IFERROR(__xludf.DUMMYFUNCTION("""COMPUTED_VALUE"""),TRUE)</f>
        <v>1</v>
      </c>
      <c r="F192" s="47" t="str">
        <f>IFERROR(__xludf.DUMMYFUNCTION("""COMPUTED_VALUE"""),"")</f>
        <v/>
      </c>
      <c r="G192" s="47" t="str">
        <f>IFERROR(__xludf.DUMMYFUNCTION("""COMPUTED_VALUE"""),"")</f>
        <v/>
      </c>
      <c r="H192" s="47"/>
      <c r="I192" s="47">
        <f>IFERROR(__xludf.DUMMYFUNCTION("""COMPUTED_VALUE"""),2.0)</f>
        <v>2</v>
      </c>
      <c r="J192" s="47" t="str">
        <f>IFERROR(__xludf.DUMMYFUNCTION("""COMPUTED_VALUE"""),"https:")</f>
        <v>https:</v>
      </c>
      <c r="K192" s="78" t="str">
        <f>IFERROR(__xludf.DUMMYFUNCTION("""COMPUTED_VALUE"""),"www.munzee.com")</f>
        <v>www.munzee.com</v>
      </c>
      <c r="L192" s="47" t="str">
        <f>IFERROR(__xludf.DUMMYFUNCTION("""COMPUTED_VALUE"""),"m")</f>
        <v>m</v>
      </c>
      <c r="M192" s="47" t="str">
        <f>IFERROR(__xludf.DUMMYFUNCTION("""COMPUTED_VALUE"""),"GroteSufferd")</f>
        <v>GroteSufferd</v>
      </c>
    </row>
    <row r="193">
      <c r="A193" s="47" t="str">
        <f>IFERROR(__xludf.DUMMYFUNCTION("""COMPUTED_VALUE"""),"Virtual Raw Sienna")</f>
        <v>Virtual Raw Sienna</v>
      </c>
      <c r="B193" s="47" t="str">
        <f>IFERROR(__xludf.DUMMYFUNCTION("""COMPUTED_VALUE"""),"Trappertje")</f>
        <v>Trappertje</v>
      </c>
      <c r="C193" s="78" t="str">
        <f>IFERROR(__xludf.DUMMYFUNCTION("""COMPUTED_VALUE"""),"https://www.munzee.com/m/Trappertje/4601/")</f>
        <v>https://www.munzee.com/m/Trappertje/4601/</v>
      </c>
      <c r="D193" s="47"/>
      <c r="E193" s="47" t="b">
        <f>IFERROR(__xludf.DUMMYFUNCTION("""COMPUTED_VALUE"""),TRUE)</f>
        <v>1</v>
      </c>
      <c r="F193" s="47" t="str">
        <f>IFERROR(__xludf.DUMMYFUNCTION("""COMPUTED_VALUE"""),"")</f>
        <v/>
      </c>
      <c r="G193" s="47" t="str">
        <f>IFERROR(__xludf.DUMMYFUNCTION("""COMPUTED_VALUE"""),"")</f>
        <v/>
      </c>
      <c r="H193" s="47"/>
      <c r="I193" s="47">
        <f>IFERROR(__xludf.DUMMYFUNCTION("""COMPUTED_VALUE"""),2.0)</f>
        <v>2</v>
      </c>
      <c r="J193" s="47" t="str">
        <f>IFERROR(__xludf.DUMMYFUNCTION("""COMPUTED_VALUE"""),"https:")</f>
        <v>https:</v>
      </c>
      <c r="K193" s="78" t="str">
        <f>IFERROR(__xludf.DUMMYFUNCTION("""COMPUTED_VALUE"""),"www.munzee.com")</f>
        <v>www.munzee.com</v>
      </c>
      <c r="L193" s="47" t="str">
        <f>IFERROR(__xludf.DUMMYFUNCTION("""COMPUTED_VALUE"""),"m")</f>
        <v>m</v>
      </c>
      <c r="M193" s="47" t="str">
        <f>IFERROR(__xludf.DUMMYFUNCTION("""COMPUTED_VALUE"""),"Trappertje")</f>
        <v>Trappertje</v>
      </c>
    </row>
    <row r="194">
      <c r="A194" s="47" t="str">
        <f>IFERROR(__xludf.DUMMYFUNCTION("""COMPUTED_VALUE"""),"Virtual Brown")</f>
        <v>Virtual Brown</v>
      </c>
      <c r="B194" s="47" t="str">
        <f>IFERROR(__xludf.DUMMYFUNCTION("""COMPUTED_VALUE"""),"Bisquick2")</f>
        <v>Bisquick2</v>
      </c>
      <c r="C194" s="78" t="str">
        <f>IFERROR(__xludf.DUMMYFUNCTION("""COMPUTED_VALUE"""),"https://www.munzee.com/m/Bisquick2/4224")</f>
        <v>https://www.munzee.com/m/Bisquick2/4224</v>
      </c>
      <c r="D194" s="82"/>
      <c r="E194" s="47" t="b">
        <f>IFERROR(__xludf.DUMMYFUNCTION("""COMPUTED_VALUE"""),TRUE)</f>
        <v>1</v>
      </c>
      <c r="F194" s="47" t="str">
        <f>IFERROR(__xludf.DUMMYFUNCTION("""COMPUTED_VALUE"""),"")</f>
        <v/>
      </c>
      <c r="G194" s="47" t="str">
        <f>IFERROR(__xludf.DUMMYFUNCTION("""COMPUTED_VALUE"""),"")</f>
        <v/>
      </c>
      <c r="H194" s="47"/>
      <c r="I194" s="47">
        <f>IFERROR(__xludf.DUMMYFUNCTION("""COMPUTED_VALUE"""),2.0)</f>
        <v>2</v>
      </c>
      <c r="J194" s="47" t="str">
        <f>IFERROR(__xludf.DUMMYFUNCTION("""COMPUTED_VALUE"""),"https:")</f>
        <v>https:</v>
      </c>
      <c r="K194" s="78" t="str">
        <f>IFERROR(__xludf.DUMMYFUNCTION("""COMPUTED_VALUE"""),"www.munzee.com")</f>
        <v>www.munzee.com</v>
      </c>
      <c r="L194" s="47" t="str">
        <f>IFERROR(__xludf.DUMMYFUNCTION("""COMPUTED_VALUE"""),"m")</f>
        <v>m</v>
      </c>
      <c r="M194" s="47" t="str">
        <f>IFERROR(__xludf.DUMMYFUNCTION("""COMPUTED_VALUE"""),"Bisquick2")</f>
        <v>Bisquick2</v>
      </c>
    </row>
    <row r="195">
      <c r="A195" s="47" t="str">
        <f>IFERROR(__xludf.DUMMYFUNCTION("""COMPUTED_VALUE"""),"Virtual Brown")</f>
        <v>Virtual Brown</v>
      </c>
      <c r="B195" s="47" t="str">
        <f>IFERROR(__xludf.DUMMYFUNCTION("""COMPUTED_VALUE"""),"upapou")</f>
        <v>upapou</v>
      </c>
      <c r="C195" s="78" t="str">
        <f>IFERROR(__xludf.DUMMYFUNCTION("""COMPUTED_VALUE"""),"https://www.munzee.com/m/upapou/991/")</f>
        <v>https://www.munzee.com/m/upapou/991/</v>
      </c>
      <c r="D195" s="47"/>
      <c r="E195" s="47" t="b">
        <f>IFERROR(__xludf.DUMMYFUNCTION("""COMPUTED_VALUE"""),TRUE)</f>
        <v>1</v>
      </c>
      <c r="F195" s="47" t="str">
        <f>IFERROR(__xludf.DUMMYFUNCTION("""COMPUTED_VALUE"""),"")</f>
        <v/>
      </c>
      <c r="G195" s="47" t="str">
        <f>IFERROR(__xludf.DUMMYFUNCTION("""COMPUTED_VALUE"""),"")</f>
        <v/>
      </c>
      <c r="H195" s="47"/>
      <c r="I195" s="47">
        <f>IFERROR(__xludf.DUMMYFUNCTION("""COMPUTED_VALUE"""),2.0)</f>
        <v>2</v>
      </c>
      <c r="J195" s="47" t="str">
        <f>IFERROR(__xludf.DUMMYFUNCTION("""COMPUTED_VALUE"""),"https:")</f>
        <v>https:</v>
      </c>
      <c r="K195" s="78" t="str">
        <f>IFERROR(__xludf.DUMMYFUNCTION("""COMPUTED_VALUE"""),"www.munzee.com")</f>
        <v>www.munzee.com</v>
      </c>
      <c r="L195" s="47" t="str">
        <f>IFERROR(__xludf.DUMMYFUNCTION("""COMPUTED_VALUE"""),"m")</f>
        <v>m</v>
      </c>
      <c r="M195" s="47" t="str">
        <f>IFERROR(__xludf.DUMMYFUNCTION("""COMPUTED_VALUE"""),"upapou")</f>
        <v>upapou</v>
      </c>
    </row>
    <row r="196">
      <c r="A196" s="47" t="str">
        <f>IFERROR(__xludf.DUMMYFUNCTION("""COMPUTED_VALUE"""),"Virtual Raw Sienna")</f>
        <v>Virtual Raw Sienna</v>
      </c>
      <c r="B196" s="47" t="str">
        <f>IFERROR(__xludf.DUMMYFUNCTION("""COMPUTED_VALUE"""),"WiseOldWizard")</f>
        <v>WiseOldWizard</v>
      </c>
      <c r="C196" s="78" t="str">
        <f>IFERROR(__xludf.DUMMYFUNCTION("""COMPUTED_VALUE"""),"https://www.munzee.com/m/WiseOldWizard/3936/")</f>
        <v>https://www.munzee.com/m/WiseOldWizard/3936/</v>
      </c>
      <c r="D196" s="47"/>
      <c r="E196" s="47" t="b">
        <f>IFERROR(__xludf.DUMMYFUNCTION("""COMPUTED_VALUE"""),TRUE)</f>
        <v>1</v>
      </c>
      <c r="F196" s="47" t="str">
        <f>IFERROR(__xludf.DUMMYFUNCTION("""COMPUTED_VALUE"""),"")</f>
        <v/>
      </c>
      <c r="G196" s="47" t="str">
        <f>IFERROR(__xludf.DUMMYFUNCTION("""COMPUTED_VALUE"""),"")</f>
        <v/>
      </c>
      <c r="H196" s="47"/>
      <c r="I196" s="47">
        <f>IFERROR(__xludf.DUMMYFUNCTION("""COMPUTED_VALUE"""),2.0)</f>
        <v>2</v>
      </c>
      <c r="J196" s="47" t="str">
        <f>IFERROR(__xludf.DUMMYFUNCTION("""COMPUTED_VALUE"""),"https:")</f>
        <v>https:</v>
      </c>
      <c r="K196" s="78" t="str">
        <f>IFERROR(__xludf.DUMMYFUNCTION("""COMPUTED_VALUE"""),"www.munzee.com")</f>
        <v>www.munzee.com</v>
      </c>
      <c r="L196" s="47" t="str">
        <f>IFERROR(__xludf.DUMMYFUNCTION("""COMPUTED_VALUE"""),"m")</f>
        <v>m</v>
      </c>
      <c r="M196" s="47" t="str">
        <f>IFERROR(__xludf.DUMMYFUNCTION("""COMPUTED_VALUE"""),"WiseOldWizard")</f>
        <v>WiseOldWizard</v>
      </c>
    </row>
    <row r="197">
      <c r="A197" s="47" t="str">
        <f>IFERROR(__xludf.DUMMYFUNCTION("""COMPUTED_VALUE"""),"Virtual Brown")</f>
        <v>Virtual Brown</v>
      </c>
      <c r="B197" s="47" t="str">
        <f>IFERROR(__xludf.DUMMYFUNCTION("""COMPUTED_VALUE"""),"TheFrog")</f>
        <v>TheFrog</v>
      </c>
      <c r="C197" s="78" t="str">
        <f>IFERROR(__xludf.DUMMYFUNCTION("""COMPUTED_VALUE"""),"https://www.munzee.com/m/TheFrog/4068/")</f>
        <v>https://www.munzee.com/m/TheFrog/4068/</v>
      </c>
      <c r="D197" s="47"/>
      <c r="E197" s="47" t="b">
        <f>IFERROR(__xludf.DUMMYFUNCTION("""COMPUTED_VALUE"""),TRUE)</f>
        <v>1</v>
      </c>
      <c r="F197" s="47" t="str">
        <f>IFERROR(__xludf.DUMMYFUNCTION("""COMPUTED_VALUE"""),"")</f>
        <v/>
      </c>
      <c r="G197" s="47" t="str">
        <f>IFERROR(__xludf.DUMMYFUNCTION("""COMPUTED_VALUE"""),"")</f>
        <v/>
      </c>
      <c r="H197" s="47"/>
      <c r="I197" s="47">
        <f>IFERROR(__xludf.DUMMYFUNCTION("""COMPUTED_VALUE"""),2.0)</f>
        <v>2</v>
      </c>
      <c r="J197" s="47" t="str">
        <f>IFERROR(__xludf.DUMMYFUNCTION("""COMPUTED_VALUE"""),"https:")</f>
        <v>https:</v>
      </c>
      <c r="K197" s="78" t="str">
        <f>IFERROR(__xludf.DUMMYFUNCTION("""COMPUTED_VALUE"""),"www.munzee.com")</f>
        <v>www.munzee.com</v>
      </c>
      <c r="L197" s="47" t="str">
        <f>IFERROR(__xludf.DUMMYFUNCTION("""COMPUTED_VALUE"""),"m")</f>
        <v>m</v>
      </c>
      <c r="M197" s="47" t="str">
        <f>IFERROR(__xludf.DUMMYFUNCTION("""COMPUTED_VALUE"""),"TheFrog")</f>
        <v>TheFrog</v>
      </c>
    </row>
    <row r="198">
      <c r="A198" s="47" t="str">
        <f>IFERROR(__xludf.DUMMYFUNCTION("""COMPUTED_VALUE"""),"Virtual Brown")</f>
        <v>Virtual Brown</v>
      </c>
      <c r="B198" s="47" t="str">
        <f>IFERROR(__xludf.DUMMYFUNCTION("""COMPUTED_VALUE"""),"123xilef")</f>
        <v>123xilef</v>
      </c>
      <c r="C198" s="78" t="str">
        <f>IFERROR(__xludf.DUMMYFUNCTION("""COMPUTED_VALUE"""),"https://www.munzee.com/m/123xilef/6714/")</f>
        <v>https://www.munzee.com/m/123xilef/6714/</v>
      </c>
      <c r="D198" s="47"/>
      <c r="E198" s="47" t="b">
        <f>IFERROR(__xludf.DUMMYFUNCTION("""COMPUTED_VALUE"""),TRUE)</f>
        <v>1</v>
      </c>
      <c r="F198" s="47" t="str">
        <f>IFERROR(__xludf.DUMMYFUNCTION("""COMPUTED_VALUE"""),"")</f>
        <v/>
      </c>
      <c r="G198" s="47" t="str">
        <f>IFERROR(__xludf.DUMMYFUNCTION("""COMPUTED_VALUE"""),"")</f>
        <v/>
      </c>
      <c r="H198" s="47"/>
      <c r="I198" s="47">
        <f>IFERROR(__xludf.DUMMYFUNCTION("""COMPUTED_VALUE"""),2.0)</f>
        <v>2</v>
      </c>
      <c r="J198" s="47" t="str">
        <f>IFERROR(__xludf.DUMMYFUNCTION("""COMPUTED_VALUE"""),"https:")</f>
        <v>https:</v>
      </c>
      <c r="K198" s="78" t="str">
        <f>IFERROR(__xludf.DUMMYFUNCTION("""COMPUTED_VALUE"""),"www.munzee.com")</f>
        <v>www.munzee.com</v>
      </c>
      <c r="L198" s="47" t="str">
        <f>IFERROR(__xludf.DUMMYFUNCTION("""COMPUTED_VALUE"""),"m")</f>
        <v>m</v>
      </c>
      <c r="M198" s="47" t="str">
        <f>IFERROR(__xludf.DUMMYFUNCTION("""COMPUTED_VALUE"""),"123xilef")</f>
        <v>123xilef</v>
      </c>
    </row>
    <row r="199">
      <c r="A199" s="47" t="str">
        <f>IFERROR(__xludf.DUMMYFUNCTION("""COMPUTED_VALUE"""),"Virtual Raw Sienna")</f>
        <v>Virtual Raw Sienna</v>
      </c>
      <c r="B199" s="47" t="str">
        <f>IFERROR(__xludf.DUMMYFUNCTION("""COMPUTED_VALUE"""),"TheFatCats")</f>
        <v>TheFatCats</v>
      </c>
      <c r="C199" s="78" t="str">
        <f>IFERROR(__xludf.DUMMYFUNCTION("""COMPUTED_VALUE"""),"https://www.munzee.com/m/TheFatCats/3638/")</f>
        <v>https://www.munzee.com/m/TheFatCats/3638/</v>
      </c>
      <c r="D199" s="47"/>
      <c r="E199" s="47" t="b">
        <f>IFERROR(__xludf.DUMMYFUNCTION("""COMPUTED_VALUE"""),TRUE)</f>
        <v>1</v>
      </c>
      <c r="F199" s="47" t="str">
        <f>IFERROR(__xludf.DUMMYFUNCTION("""COMPUTED_VALUE"""),"")</f>
        <v/>
      </c>
      <c r="G199" s="47" t="str">
        <f>IFERROR(__xludf.DUMMYFUNCTION("""COMPUTED_VALUE"""),"")</f>
        <v/>
      </c>
      <c r="H199" s="47"/>
      <c r="I199" s="47">
        <f>IFERROR(__xludf.DUMMYFUNCTION("""COMPUTED_VALUE"""),2.0)</f>
        <v>2</v>
      </c>
      <c r="J199" s="47" t="str">
        <f>IFERROR(__xludf.DUMMYFUNCTION("""COMPUTED_VALUE"""),"https:")</f>
        <v>https:</v>
      </c>
      <c r="K199" s="78" t="str">
        <f>IFERROR(__xludf.DUMMYFUNCTION("""COMPUTED_VALUE"""),"www.munzee.com")</f>
        <v>www.munzee.com</v>
      </c>
      <c r="L199" s="47" t="str">
        <f>IFERROR(__xludf.DUMMYFUNCTION("""COMPUTED_VALUE"""),"m")</f>
        <v>m</v>
      </c>
      <c r="M199" s="47" t="str">
        <f>IFERROR(__xludf.DUMMYFUNCTION("""COMPUTED_VALUE"""),"TheFatCats")</f>
        <v>TheFatCats</v>
      </c>
    </row>
    <row r="200">
      <c r="A200" s="47" t="str">
        <f>IFERROR(__xludf.DUMMYFUNCTION("""COMPUTED_VALUE"""),"Virtual Brown")</f>
        <v>Virtual Brown</v>
      </c>
      <c r="B200" s="47" t="str">
        <f>IFERROR(__xludf.DUMMYFUNCTION("""COMPUTED_VALUE"""),"Benotje")</f>
        <v>Benotje</v>
      </c>
      <c r="C200" s="78" t="str">
        <f>IFERROR(__xludf.DUMMYFUNCTION("""COMPUTED_VALUE"""),"https://www.munzee.com/m/benotje/1354")</f>
        <v>https://www.munzee.com/m/benotje/1354</v>
      </c>
      <c r="D200" s="47"/>
      <c r="E200" s="47" t="b">
        <f>IFERROR(__xludf.DUMMYFUNCTION("""COMPUTED_VALUE"""),TRUE)</f>
        <v>1</v>
      </c>
      <c r="F200" s="47" t="str">
        <f>IFERROR(__xludf.DUMMYFUNCTION("""COMPUTED_VALUE"""),"")</f>
        <v/>
      </c>
      <c r="G200" s="47" t="str">
        <f>IFERROR(__xludf.DUMMYFUNCTION("""COMPUTED_VALUE"""),"")</f>
        <v/>
      </c>
      <c r="H200" s="47"/>
      <c r="I200" s="47">
        <f>IFERROR(__xludf.DUMMYFUNCTION("""COMPUTED_VALUE"""),2.0)</f>
        <v>2</v>
      </c>
      <c r="J200" s="47" t="str">
        <f>IFERROR(__xludf.DUMMYFUNCTION("""COMPUTED_VALUE"""),"https:")</f>
        <v>https:</v>
      </c>
      <c r="K200" s="78" t="str">
        <f>IFERROR(__xludf.DUMMYFUNCTION("""COMPUTED_VALUE"""),"www.munzee.com")</f>
        <v>www.munzee.com</v>
      </c>
      <c r="L200" s="47" t="str">
        <f>IFERROR(__xludf.DUMMYFUNCTION("""COMPUTED_VALUE"""),"m")</f>
        <v>m</v>
      </c>
      <c r="M200" s="47" t="str">
        <f>IFERROR(__xludf.DUMMYFUNCTION("""COMPUTED_VALUE"""),"benotje")</f>
        <v>benotje</v>
      </c>
    </row>
    <row r="201">
      <c r="A201" s="47" t="str">
        <f>IFERROR(__xludf.DUMMYFUNCTION("""COMPUTED_VALUE"""),"Virtual Brown")</f>
        <v>Virtual Brown</v>
      </c>
      <c r="B201" s="47" t="str">
        <f>IFERROR(__xludf.DUMMYFUNCTION("""COMPUTED_VALUE"""),"Lonelywalker")</f>
        <v>Lonelywalker</v>
      </c>
      <c r="C201" s="78" t="str">
        <f>IFERROR(__xludf.DUMMYFUNCTION("""COMPUTED_VALUE"""),"https://www.munzee.com/m/LonelyWalker/466/")</f>
        <v>https://www.munzee.com/m/LonelyWalker/466/</v>
      </c>
      <c r="D201" s="47"/>
      <c r="E201" s="47" t="b">
        <f>IFERROR(__xludf.DUMMYFUNCTION("""COMPUTED_VALUE"""),TRUE)</f>
        <v>1</v>
      </c>
      <c r="F201" s="47" t="str">
        <f>IFERROR(__xludf.DUMMYFUNCTION("""COMPUTED_VALUE"""),"")</f>
        <v/>
      </c>
      <c r="G201" s="47" t="str">
        <f>IFERROR(__xludf.DUMMYFUNCTION("""COMPUTED_VALUE"""),"")</f>
        <v/>
      </c>
      <c r="H201" s="47"/>
      <c r="I201" s="47">
        <f>IFERROR(__xludf.DUMMYFUNCTION("""COMPUTED_VALUE"""),2.0)</f>
        <v>2</v>
      </c>
      <c r="J201" s="47" t="str">
        <f>IFERROR(__xludf.DUMMYFUNCTION("""COMPUTED_VALUE"""),"https:")</f>
        <v>https:</v>
      </c>
      <c r="K201" s="78" t="str">
        <f>IFERROR(__xludf.DUMMYFUNCTION("""COMPUTED_VALUE"""),"www.munzee.com")</f>
        <v>www.munzee.com</v>
      </c>
      <c r="L201" s="47" t="str">
        <f>IFERROR(__xludf.DUMMYFUNCTION("""COMPUTED_VALUE"""),"m")</f>
        <v>m</v>
      </c>
      <c r="M201" s="47" t="str">
        <f>IFERROR(__xludf.DUMMYFUNCTION("""COMPUTED_VALUE"""),"LonelyWalker")</f>
        <v>LonelyWalker</v>
      </c>
    </row>
    <row r="202">
      <c r="A202" s="47" t="str">
        <f>IFERROR(__xludf.DUMMYFUNCTION("""COMPUTED_VALUE"""),"Virtual Brown")</f>
        <v>Virtual Brown</v>
      </c>
      <c r="B202" s="47" t="str">
        <f>IFERROR(__xludf.DUMMYFUNCTION("""COMPUTED_VALUE"""),"sverlaan")</f>
        <v>sverlaan</v>
      </c>
      <c r="C202" s="78" t="str">
        <f>IFERROR(__xludf.DUMMYFUNCTION("""COMPUTED_VALUE"""),"https://www.munzee.com/m/sverlaan/4148/")</f>
        <v>https://www.munzee.com/m/sverlaan/4148/</v>
      </c>
      <c r="D202" s="82"/>
      <c r="E202" s="47" t="b">
        <f>IFERROR(__xludf.DUMMYFUNCTION("""COMPUTED_VALUE"""),TRUE)</f>
        <v>1</v>
      </c>
      <c r="F202" s="47" t="str">
        <f>IFERROR(__xludf.DUMMYFUNCTION("""COMPUTED_VALUE"""),"")</f>
        <v/>
      </c>
      <c r="G202" s="47" t="str">
        <f>IFERROR(__xludf.DUMMYFUNCTION("""COMPUTED_VALUE"""),"")</f>
        <v/>
      </c>
      <c r="H202" s="47"/>
      <c r="I202" s="47">
        <f>IFERROR(__xludf.DUMMYFUNCTION("""COMPUTED_VALUE"""),2.0)</f>
        <v>2</v>
      </c>
      <c r="J202" s="47" t="str">
        <f>IFERROR(__xludf.DUMMYFUNCTION("""COMPUTED_VALUE"""),"https:")</f>
        <v>https:</v>
      </c>
      <c r="K202" s="78" t="str">
        <f>IFERROR(__xludf.DUMMYFUNCTION("""COMPUTED_VALUE"""),"www.munzee.com")</f>
        <v>www.munzee.com</v>
      </c>
      <c r="L202" s="47" t="str">
        <f>IFERROR(__xludf.DUMMYFUNCTION("""COMPUTED_VALUE"""),"m")</f>
        <v>m</v>
      </c>
      <c r="M202" s="47" t="str">
        <f>IFERROR(__xludf.DUMMYFUNCTION("""COMPUTED_VALUE"""),"sverlaan")</f>
        <v>sverlaan</v>
      </c>
    </row>
    <row r="203">
      <c r="A203" s="47" t="str">
        <f>IFERROR(__xludf.DUMMYFUNCTION("""COMPUTED_VALUE"""),"Virtual Brown")</f>
        <v>Virtual Brown</v>
      </c>
      <c r="B203" s="47" t="str">
        <f>IFERROR(__xludf.DUMMYFUNCTION("""COMPUTED_VALUE"""),"PawPatrolThomas")</f>
        <v>PawPatrolThomas</v>
      </c>
      <c r="C203" s="78" t="str">
        <f>IFERROR(__xludf.DUMMYFUNCTION("""COMPUTED_VALUE"""),"https://www.munzee.com/m/PawPatrolThomas/2193/")</f>
        <v>https://www.munzee.com/m/PawPatrolThomas/2193/</v>
      </c>
      <c r="D203" s="47"/>
      <c r="E203" s="47" t="b">
        <f>IFERROR(__xludf.DUMMYFUNCTION("""COMPUTED_VALUE"""),TRUE)</f>
        <v>1</v>
      </c>
      <c r="F203" s="47" t="str">
        <f>IFERROR(__xludf.DUMMYFUNCTION("""COMPUTED_VALUE"""),"")</f>
        <v/>
      </c>
      <c r="G203" s="47" t="str">
        <f>IFERROR(__xludf.DUMMYFUNCTION("""COMPUTED_VALUE"""),"")</f>
        <v/>
      </c>
      <c r="H203" s="47"/>
      <c r="I203" s="47">
        <f>IFERROR(__xludf.DUMMYFUNCTION("""COMPUTED_VALUE"""),2.0)</f>
        <v>2</v>
      </c>
      <c r="J203" s="47" t="str">
        <f>IFERROR(__xludf.DUMMYFUNCTION("""COMPUTED_VALUE"""),"https:")</f>
        <v>https:</v>
      </c>
      <c r="K203" s="78" t="str">
        <f>IFERROR(__xludf.DUMMYFUNCTION("""COMPUTED_VALUE"""),"www.munzee.com")</f>
        <v>www.munzee.com</v>
      </c>
      <c r="L203" s="47" t="str">
        <f>IFERROR(__xludf.DUMMYFUNCTION("""COMPUTED_VALUE"""),"m")</f>
        <v>m</v>
      </c>
      <c r="M203" s="47" t="str">
        <f>IFERROR(__xludf.DUMMYFUNCTION("""COMPUTED_VALUE"""),"PawPatrolThomas")</f>
        <v>PawPatrolThomas</v>
      </c>
    </row>
    <row r="204">
      <c r="A204" s="47" t="str">
        <f>IFERROR(__xludf.DUMMYFUNCTION("""COMPUTED_VALUE"""),"Virtual Brown")</f>
        <v>Virtual Brown</v>
      </c>
      <c r="B204" s="47" t="str">
        <f>IFERROR(__xludf.DUMMYFUNCTION("""COMPUTED_VALUE"""),"jacksparrow")</f>
        <v>jacksparrow</v>
      </c>
      <c r="C204" s="78" t="str">
        <f>IFERROR(__xludf.DUMMYFUNCTION("""COMPUTED_VALUE"""),"https://www.munzee.com/m/JackSparrow/19354")</f>
        <v>https://www.munzee.com/m/JackSparrow/19354</v>
      </c>
      <c r="D204" s="47"/>
      <c r="E204" s="47" t="b">
        <f>IFERROR(__xludf.DUMMYFUNCTION("""COMPUTED_VALUE"""),TRUE)</f>
        <v>1</v>
      </c>
      <c r="F204" s="47" t="str">
        <f>IFERROR(__xludf.DUMMYFUNCTION("""COMPUTED_VALUE"""),"")</f>
        <v/>
      </c>
      <c r="G204" s="47" t="str">
        <f>IFERROR(__xludf.DUMMYFUNCTION("""COMPUTED_VALUE"""),"")</f>
        <v/>
      </c>
      <c r="H204" s="47"/>
      <c r="I204" s="47">
        <f>IFERROR(__xludf.DUMMYFUNCTION("""COMPUTED_VALUE"""),2.0)</f>
        <v>2</v>
      </c>
      <c r="J204" s="47" t="str">
        <f>IFERROR(__xludf.DUMMYFUNCTION("""COMPUTED_VALUE"""),"https:")</f>
        <v>https:</v>
      </c>
      <c r="K204" s="78" t="str">
        <f>IFERROR(__xludf.DUMMYFUNCTION("""COMPUTED_VALUE"""),"www.munzee.com")</f>
        <v>www.munzee.com</v>
      </c>
      <c r="L204" s="47" t="str">
        <f>IFERROR(__xludf.DUMMYFUNCTION("""COMPUTED_VALUE"""),"m")</f>
        <v>m</v>
      </c>
      <c r="M204" s="47" t="str">
        <f>IFERROR(__xludf.DUMMYFUNCTION("""COMPUTED_VALUE"""),"JackSparrow")</f>
        <v>JackSparrow</v>
      </c>
    </row>
    <row r="205">
      <c r="A205" s="47" t="str">
        <f>IFERROR(__xludf.DUMMYFUNCTION("""COMPUTED_VALUE"""),"Virtual Brown")</f>
        <v>Virtual Brown</v>
      </c>
      <c r="B205" s="47" t="str">
        <f>IFERROR(__xludf.DUMMYFUNCTION("""COMPUTED_VALUE"""),"OdinsFiRe")</f>
        <v>OdinsFiRe</v>
      </c>
      <c r="C205" s="78" t="str">
        <f>IFERROR(__xludf.DUMMYFUNCTION("""COMPUTED_VALUE"""),"https://www.munzee.com/m/OdinsFiRe/1530/")</f>
        <v>https://www.munzee.com/m/OdinsFiRe/1530/</v>
      </c>
      <c r="D205" s="47"/>
      <c r="E205" s="47" t="b">
        <f>IFERROR(__xludf.DUMMYFUNCTION("""COMPUTED_VALUE"""),TRUE)</f>
        <v>1</v>
      </c>
      <c r="F205" s="47" t="str">
        <f>IFERROR(__xludf.DUMMYFUNCTION("""COMPUTED_VALUE"""),"")</f>
        <v/>
      </c>
      <c r="G205" s="47" t="str">
        <f>IFERROR(__xludf.DUMMYFUNCTION("""COMPUTED_VALUE"""),"")</f>
        <v/>
      </c>
      <c r="H205" s="47"/>
      <c r="I205" s="47">
        <f>IFERROR(__xludf.DUMMYFUNCTION("""COMPUTED_VALUE"""),2.0)</f>
        <v>2</v>
      </c>
      <c r="J205" s="47" t="str">
        <f>IFERROR(__xludf.DUMMYFUNCTION("""COMPUTED_VALUE"""),"https:")</f>
        <v>https:</v>
      </c>
      <c r="K205" s="78" t="str">
        <f>IFERROR(__xludf.DUMMYFUNCTION("""COMPUTED_VALUE"""),"www.munzee.com")</f>
        <v>www.munzee.com</v>
      </c>
      <c r="L205" s="47" t="str">
        <f>IFERROR(__xludf.DUMMYFUNCTION("""COMPUTED_VALUE"""),"m")</f>
        <v>m</v>
      </c>
      <c r="M205" s="47" t="str">
        <f>IFERROR(__xludf.DUMMYFUNCTION("""COMPUTED_VALUE"""),"OdinsFiRe")</f>
        <v>OdinsFiRe</v>
      </c>
    </row>
    <row r="206">
      <c r="A206" s="47" t="str">
        <f>IFERROR(__xludf.DUMMYFUNCTION("""COMPUTED_VALUE"""),"Virtual Raw Sienna")</f>
        <v>Virtual Raw Sienna</v>
      </c>
      <c r="B206" s="47" t="str">
        <f>IFERROR(__xludf.DUMMYFUNCTION("""COMPUTED_VALUE"""),"jwg68")</f>
        <v>jwg68</v>
      </c>
      <c r="C206" s="78" t="str">
        <f>IFERROR(__xludf.DUMMYFUNCTION("""COMPUTED_VALUE"""),"https://www.munzee.com/m/jwg68/1250/")</f>
        <v>https://www.munzee.com/m/jwg68/1250/</v>
      </c>
      <c r="D206" s="47"/>
      <c r="E206" s="47" t="b">
        <f>IFERROR(__xludf.DUMMYFUNCTION("""COMPUTED_VALUE"""),TRUE)</f>
        <v>1</v>
      </c>
      <c r="F206" s="47" t="str">
        <f>IFERROR(__xludf.DUMMYFUNCTION("""COMPUTED_VALUE"""),"")</f>
        <v/>
      </c>
      <c r="G206" s="47" t="str">
        <f>IFERROR(__xludf.DUMMYFUNCTION("""COMPUTED_VALUE"""),"")</f>
        <v/>
      </c>
      <c r="H206" s="47"/>
      <c r="I206" s="47">
        <f>IFERROR(__xludf.DUMMYFUNCTION("""COMPUTED_VALUE"""),2.0)</f>
        <v>2</v>
      </c>
      <c r="J206" s="47" t="str">
        <f>IFERROR(__xludf.DUMMYFUNCTION("""COMPUTED_VALUE"""),"https:")</f>
        <v>https:</v>
      </c>
      <c r="K206" s="78" t="str">
        <f>IFERROR(__xludf.DUMMYFUNCTION("""COMPUTED_VALUE"""),"www.munzee.com")</f>
        <v>www.munzee.com</v>
      </c>
      <c r="L206" s="47" t="str">
        <f>IFERROR(__xludf.DUMMYFUNCTION("""COMPUTED_VALUE"""),"m")</f>
        <v>m</v>
      </c>
      <c r="M206" s="47" t="str">
        <f>IFERROR(__xludf.DUMMYFUNCTION("""COMPUTED_VALUE"""),"jwg68")</f>
        <v>jwg68</v>
      </c>
    </row>
    <row r="207">
      <c r="A207" s="47" t="str">
        <f>IFERROR(__xludf.DUMMYFUNCTION("""COMPUTED_VALUE"""),"Virtual Raw Sienna")</f>
        <v>Virtual Raw Sienna</v>
      </c>
      <c r="B207" s="47" t="str">
        <f>IFERROR(__xludf.DUMMYFUNCTION("""COMPUTED_VALUE"""),"cbf600")</f>
        <v>cbf600</v>
      </c>
      <c r="C207" s="78" t="str">
        <f>IFERROR(__xludf.DUMMYFUNCTION("""COMPUTED_VALUE"""),"https://www.munzee.com/m/cbf600/2247/")</f>
        <v>https://www.munzee.com/m/cbf600/2247/</v>
      </c>
      <c r="D207" s="47"/>
      <c r="E207" s="47" t="b">
        <f>IFERROR(__xludf.DUMMYFUNCTION("""COMPUTED_VALUE"""),TRUE)</f>
        <v>1</v>
      </c>
      <c r="F207" s="47" t="str">
        <f>IFERROR(__xludf.DUMMYFUNCTION("""COMPUTED_VALUE"""),"")</f>
        <v/>
      </c>
      <c r="G207" s="47" t="str">
        <f>IFERROR(__xludf.DUMMYFUNCTION("""COMPUTED_VALUE"""),"")</f>
        <v/>
      </c>
      <c r="H207" s="47"/>
      <c r="I207" s="47">
        <f>IFERROR(__xludf.DUMMYFUNCTION("""COMPUTED_VALUE"""),2.0)</f>
        <v>2</v>
      </c>
      <c r="J207" s="47" t="str">
        <f>IFERROR(__xludf.DUMMYFUNCTION("""COMPUTED_VALUE"""),"https:")</f>
        <v>https:</v>
      </c>
      <c r="K207" s="78" t="str">
        <f>IFERROR(__xludf.DUMMYFUNCTION("""COMPUTED_VALUE"""),"www.munzee.com")</f>
        <v>www.munzee.com</v>
      </c>
      <c r="L207" s="47" t="str">
        <f>IFERROR(__xludf.DUMMYFUNCTION("""COMPUTED_VALUE"""),"m")</f>
        <v>m</v>
      </c>
      <c r="M207" s="47" t="str">
        <f>IFERROR(__xludf.DUMMYFUNCTION("""COMPUTED_VALUE"""),"cbf600")</f>
        <v>cbf600</v>
      </c>
    </row>
    <row r="208">
      <c r="A208" s="47" t="str">
        <f>IFERROR(__xludf.DUMMYFUNCTION("""COMPUTED_VALUE"""),"Virtual Brown")</f>
        <v>Virtual Brown</v>
      </c>
      <c r="B208" s="47" t="str">
        <f>IFERROR(__xludf.DUMMYFUNCTION("""COMPUTED_VALUE"""),"Andrew81")</f>
        <v>Andrew81</v>
      </c>
      <c r="C208" s="78" t="str">
        <f>IFERROR(__xludf.DUMMYFUNCTION("""COMPUTED_VALUE"""),"https://www.munzee.com/m/Andrew81/1334")</f>
        <v>https://www.munzee.com/m/Andrew81/1334</v>
      </c>
      <c r="D208" s="47"/>
      <c r="E208" s="47" t="b">
        <f>IFERROR(__xludf.DUMMYFUNCTION("""COMPUTED_VALUE"""),TRUE)</f>
        <v>1</v>
      </c>
      <c r="F208" s="47" t="str">
        <f>IFERROR(__xludf.DUMMYFUNCTION("""COMPUTED_VALUE"""),"")</f>
        <v/>
      </c>
      <c r="G208" s="47" t="str">
        <f>IFERROR(__xludf.DUMMYFUNCTION("""COMPUTED_VALUE"""),"")</f>
        <v/>
      </c>
      <c r="H208" s="47"/>
      <c r="I208" s="47">
        <f>IFERROR(__xludf.DUMMYFUNCTION("""COMPUTED_VALUE"""),2.0)</f>
        <v>2</v>
      </c>
      <c r="J208" s="47" t="str">
        <f>IFERROR(__xludf.DUMMYFUNCTION("""COMPUTED_VALUE"""),"https:")</f>
        <v>https:</v>
      </c>
      <c r="K208" s="78" t="str">
        <f>IFERROR(__xludf.DUMMYFUNCTION("""COMPUTED_VALUE"""),"www.munzee.com")</f>
        <v>www.munzee.com</v>
      </c>
      <c r="L208" s="47" t="str">
        <f>IFERROR(__xludf.DUMMYFUNCTION("""COMPUTED_VALUE"""),"m")</f>
        <v>m</v>
      </c>
      <c r="M208" s="47" t="str">
        <f>IFERROR(__xludf.DUMMYFUNCTION("""COMPUTED_VALUE"""),"Andrew81")</f>
        <v>Andrew81</v>
      </c>
    </row>
    <row r="209">
      <c r="A209" s="47" t="str">
        <f>IFERROR(__xludf.DUMMYFUNCTION("""COMPUTED_VALUE"""),"Virtual Brown")</f>
        <v>Virtual Brown</v>
      </c>
      <c r="B209" s="47" t="str">
        <f>IFERROR(__xludf.DUMMYFUNCTION("""COMPUTED_VALUE"""),"DHitz")</f>
        <v>DHitz</v>
      </c>
      <c r="C209" s="78" t="str">
        <f>IFERROR(__xludf.DUMMYFUNCTION("""COMPUTED_VALUE"""),"https://www.munzee.com/m/DHitz/3700/")</f>
        <v>https://www.munzee.com/m/DHitz/3700/</v>
      </c>
      <c r="D209" s="47"/>
      <c r="E209" s="47" t="b">
        <f>IFERROR(__xludf.DUMMYFUNCTION("""COMPUTED_VALUE"""),TRUE)</f>
        <v>1</v>
      </c>
      <c r="F209" s="47" t="str">
        <f>IFERROR(__xludf.DUMMYFUNCTION("""COMPUTED_VALUE"""),"")</f>
        <v/>
      </c>
      <c r="G209" s="47" t="str">
        <f>IFERROR(__xludf.DUMMYFUNCTION("""COMPUTED_VALUE"""),"")</f>
        <v/>
      </c>
      <c r="H209" s="47"/>
      <c r="I209" s="47">
        <f>IFERROR(__xludf.DUMMYFUNCTION("""COMPUTED_VALUE"""),2.0)</f>
        <v>2</v>
      </c>
      <c r="J209" s="47" t="str">
        <f>IFERROR(__xludf.DUMMYFUNCTION("""COMPUTED_VALUE"""),"https:")</f>
        <v>https:</v>
      </c>
      <c r="K209" s="78" t="str">
        <f>IFERROR(__xludf.DUMMYFUNCTION("""COMPUTED_VALUE"""),"www.munzee.com")</f>
        <v>www.munzee.com</v>
      </c>
      <c r="L209" s="47" t="str">
        <f>IFERROR(__xludf.DUMMYFUNCTION("""COMPUTED_VALUE"""),"m")</f>
        <v>m</v>
      </c>
      <c r="M209" s="47" t="str">
        <f>IFERROR(__xludf.DUMMYFUNCTION("""COMPUTED_VALUE"""),"DHitz")</f>
        <v>DHitz</v>
      </c>
    </row>
    <row r="210">
      <c r="A210" s="47" t="str">
        <f>IFERROR(__xludf.DUMMYFUNCTION("""COMPUTED_VALUE"""),"Virtual Brown")</f>
        <v>Virtual Brown</v>
      </c>
      <c r="B210" s="47" t="str">
        <f>IFERROR(__xludf.DUMMYFUNCTION("""COMPUTED_VALUE"""),"FromTheTardis")</f>
        <v>FromTheTardis</v>
      </c>
      <c r="C210" s="78" t="str">
        <f>IFERROR(__xludf.DUMMYFUNCTION("""COMPUTED_VALUE"""),"https://www.munzee.com/m/FromTheTardis/1339/")</f>
        <v>https://www.munzee.com/m/FromTheTardis/1339/</v>
      </c>
      <c r="D210" s="47"/>
      <c r="E210" s="47" t="b">
        <f>IFERROR(__xludf.DUMMYFUNCTION("""COMPUTED_VALUE"""),TRUE)</f>
        <v>1</v>
      </c>
      <c r="F210" s="47" t="str">
        <f>IFERROR(__xludf.DUMMYFUNCTION("""COMPUTED_VALUE"""),"")</f>
        <v/>
      </c>
      <c r="G210" s="47" t="str">
        <f>IFERROR(__xludf.DUMMYFUNCTION("""COMPUTED_VALUE"""),"")</f>
        <v/>
      </c>
      <c r="H210" s="47"/>
      <c r="I210" s="47">
        <f>IFERROR(__xludf.DUMMYFUNCTION("""COMPUTED_VALUE"""),2.0)</f>
        <v>2</v>
      </c>
      <c r="J210" s="47" t="str">
        <f>IFERROR(__xludf.DUMMYFUNCTION("""COMPUTED_VALUE"""),"https:")</f>
        <v>https:</v>
      </c>
      <c r="K210" s="78" t="str">
        <f>IFERROR(__xludf.DUMMYFUNCTION("""COMPUTED_VALUE"""),"www.munzee.com")</f>
        <v>www.munzee.com</v>
      </c>
      <c r="L210" s="47" t="str">
        <f>IFERROR(__xludf.DUMMYFUNCTION("""COMPUTED_VALUE"""),"m")</f>
        <v>m</v>
      </c>
      <c r="M210" s="47" t="str">
        <f>IFERROR(__xludf.DUMMYFUNCTION("""COMPUTED_VALUE"""),"FromTheTardis")</f>
        <v>FromTheTardis</v>
      </c>
    </row>
    <row r="211">
      <c r="A211" s="47" t="str">
        <f>IFERROR(__xludf.DUMMYFUNCTION("""COMPUTED_VALUE"""),"Virtual Raw Sienna")</f>
        <v>Virtual Raw Sienna</v>
      </c>
      <c r="B211" s="47" t="str">
        <f>IFERROR(__xludf.DUMMYFUNCTION("""COMPUTED_VALUE"""),"lison55")</f>
        <v>lison55</v>
      </c>
      <c r="C211" s="78" t="str">
        <f>IFERROR(__xludf.DUMMYFUNCTION("""COMPUTED_VALUE"""),"https://www.munzee.com/m/lison55/5165/")</f>
        <v>https://www.munzee.com/m/lison55/5165/</v>
      </c>
      <c r="D211" s="47"/>
      <c r="E211" s="47" t="b">
        <f>IFERROR(__xludf.DUMMYFUNCTION("""COMPUTED_VALUE"""),TRUE)</f>
        <v>1</v>
      </c>
      <c r="F211" s="47" t="str">
        <f>IFERROR(__xludf.DUMMYFUNCTION("""COMPUTED_VALUE"""),"")</f>
        <v/>
      </c>
      <c r="G211" s="47" t="str">
        <f>IFERROR(__xludf.DUMMYFUNCTION("""COMPUTED_VALUE"""),"")</f>
        <v/>
      </c>
      <c r="H211" s="47"/>
      <c r="I211" s="47">
        <f>IFERROR(__xludf.DUMMYFUNCTION("""COMPUTED_VALUE"""),2.0)</f>
        <v>2</v>
      </c>
      <c r="J211" s="47" t="str">
        <f>IFERROR(__xludf.DUMMYFUNCTION("""COMPUTED_VALUE"""),"https:")</f>
        <v>https:</v>
      </c>
      <c r="K211" s="78" t="str">
        <f>IFERROR(__xludf.DUMMYFUNCTION("""COMPUTED_VALUE"""),"www.munzee.com")</f>
        <v>www.munzee.com</v>
      </c>
      <c r="L211" s="47" t="str">
        <f>IFERROR(__xludf.DUMMYFUNCTION("""COMPUTED_VALUE"""),"m")</f>
        <v>m</v>
      </c>
      <c r="M211" s="47" t="str">
        <f>IFERROR(__xludf.DUMMYFUNCTION("""COMPUTED_VALUE"""),"lison55")</f>
        <v>lison55</v>
      </c>
    </row>
    <row r="212">
      <c r="A212" s="47" t="str">
        <f>IFERROR(__xludf.DUMMYFUNCTION("""COMPUTED_VALUE"""),"Virtual Raw Sienna")</f>
        <v>Virtual Raw Sienna</v>
      </c>
      <c r="B212" s="47" t="str">
        <f>IFERROR(__xludf.DUMMYFUNCTION("""COMPUTED_VALUE"""),"Andrew81")</f>
        <v>Andrew81</v>
      </c>
      <c r="C212" s="78" t="str">
        <f>IFERROR(__xludf.DUMMYFUNCTION("""COMPUTED_VALUE"""),"https://www.munzee.com/m/Andrew81/1362")</f>
        <v>https://www.munzee.com/m/Andrew81/1362</v>
      </c>
      <c r="D212" s="47"/>
      <c r="E212" s="47" t="b">
        <f>IFERROR(__xludf.DUMMYFUNCTION("""COMPUTED_VALUE"""),TRUE)</f>
        <v>1</v>
      </c>
      <c r="F212" s="47" t="str">
        <f>IFERROR(__xludf.DUMMYFUNCTION("""COMPUTED_VALUE"""),"")</f>
        <v/>
      </c>
      <c r="G212" s="47" t="str">
        <f>IFERROR(__xludf.DUMMYFUNCTION("""COMPUTED_VALUE"""),"")</f>
        <v/>
      </c>
      <c r="H212" s="47"/>
      <c r="I212" s="47">
        <f>IFERROR(__xludf.DUMMYFUNCTION("""COMPUTED_VALUE"""),2.0)</f>
        <v>2</v>
      </c>
      <c r="J212" s="47" t="str">
        <f>IFERROR(__xludf.DUMMYFUNCTION("""COMPUTED_VALUE"""),"https:")</f>
        <v>https:</v>
      </c>
      <c r="K212" s="78" t="str">
        <f>IFERROR(__xludf.DUMMYFUNCTION("""COMPUTED_VALUE"""),"www.munzee.com")</f>
        <v>www.munzee.com</v>
      </c>
      <c r="L212" s="47" t="str">
        <f>IFERROR(__xludf.DUMMYFUNCTION("""COMPUTED_VALUE"""),"m")</f>
        <v>m</v>
      </c>
      <c r="M212" s="47" t="str">
        <f>IFERROR(__xludf.DUMMYFUNCTION("""COMPUTED_VALUE"""),"Andrew81")</f>
        <v>Andrew81</v>
      </c>
    </row>
    <row r="213">
      <c r="A213" s="47" t="str">
        <f>IFERROR(__xludf.DUMMYFUNCTION("""COMPUTED_VALUE"""),"Virtual Brown")</f>
        <v>Virtual Brown</v>
      </c>
      <c r="B213" s="47" t="str">
        <f>IFERROR(__xludf.DUMMYFUNCTION("""COMPUTED_VALUE"""),"lanyasummer")</f>
        <v>lanyasummer</v>
      </c>
      <c r="C213" s="78" t="str">
        <f>IFERROR(__xludf.DUMMYFUNCTION("""COMPUTED_VALUE"""),"https://www.munzee.com/m/Lanyasummer/4103/")</f>
        <v>https://www.munzee.com/m/Lanyasummer/4103/</v>
      </c>
      <c r="D213" s="47"/>
      <c r="E213" s="47" t="b">
        <f>IFERROR(__xludf.DUMMYFUNCTION("""COMPUTED_VALUE"""),TRUE)</f>
        <v>1</v>
      </c>
      <c r="F213" s="47" t="str">
        <f>IFERROR(__xludf.DUMMYFUNCTION("""COMPUTED_VALUE"""),"")</f>
        <v/>
      </c>
      <c r="G213" s="47" t="str">
        <f>IFERROR(__xludf.DUMMYFUNCTION("""COMPUTED_VALUE"""),"")</f>
        <v/>
      </c>
      <c r="H213" s="47"/>
      <c r="I213" s="47">
        <f>IFERROR(__xludf.DUMMYFUNCTION("""COMPUTED_VALUE"""),2.0)</f>
        <v>2</v>
      </c>
      <c r="J213" s="47" t="str">
        <f>IFERROR(__xludf.DUMMYFUNCTION("""COMPUTED_VALUE"""),"https:")</f>
        <v>https:</v>
      </c>
      <c r="K213" s="78" t="str">
        <f>IFERROR(__xludf.DUMMYFUNCTION("""COMPUTED_VALUE"""),"www.munzee.com")</f>
        <v>www.munzee.com</v>
      </c>
      <c r="L213" s="47" t="str">
        <f>IFERROR(__xludf.DUMMYFUNCTION("""COMPUTED_VALUE"""),"m")</f>
        <v>m</v>
      </c>
      <c r="M213" s="47" t="str">
        <f>IFERROR(__xludf.DUMMYFUNCTION("""COMPUTED_VALUE"""),"Lanyasummer")</f>
        <v>Lanyasummer</v>
      </c>
    </row>
    <row r="214">
      <c r="A214" s="47" t="str">
        <f>IFERROR(__xludf.DUMMYFUNCTION("""COMPUTED_VALUE"""),"Virtual Brown")</f>
        <v>Virtual Brown</v>
      </c>
      <c r="B214" s="47" t="str">
        <f>IFERROR(__xludf.DUMMYFUNCTION("""COMPUTED_VALUE"""),"J1Huisman")</f>
        <v>J1Huisman</v>
      </c>
      <c r="C214" s="78" t="str">
        <f>IFERROR(__xludf.DUMMYFUNCTION("""COMPUTED_VALUE"""),"https://www.munzee.com/m/J1Huisman/11167/")</f>
        <v>https://www.munzee.com/m/J1Huisman/11167/</v>
      </c>
      <c r="D214" s="47"/>
      <c r="E214" s="47" t="b">
        <f>IFERROR(__xludf.DUMMYFUNCTION("""COMPUTED_VALUE"""),TRUE)</f>
        <v>1</v>
      </c>
      <c r="F214" s="47" t="str">
        <f>IFERROR(__xludf.DUMMYFUNCTION("""COMPUTED_VALUE"""),"")</f>
        <v/>
      </c>
      <c r="G214" s="47" t="str">
        <f>IFERROR(__xludf.DUMMYFUNCTION("""COMPUTED_VALUE"""),"")</f>
        <v/>
      </c>
      <c r="H214" s="47"/>
      <c r="I214" s="47">
        <f>IFERROR(__xludf.DUMMYFUNCTION("""COMPUTED_VALUE"""),2.0)</f>
        <v>2</v>
      </c>
      <c r="J214" s="47" t="str">
        <f>IFERROR(__xludf.DUMMYFUNCTION("""COMPUTED_VALUE"""),"https:")</f>
        <v>https:</v>
      </c>
      <c r="K214" s="78" t="str">
        <f>IFERROR(__xludf.DUMMYFUNCTION("""COMPUTED_VALUE"""),"www.munzee.com")</f>
        <v>www.munzee.com</v>
      </c>
      <c r="L214" s="47" t="str">
        <f>IFERROR(__xludf.DUMMYFUNCTION("""COMPUTED_VALUE"""),"m")</f>
        <v>m</v>
      </c>
      <c r="M214" s="47" t="str">
        <f>IFERROR(__xludf.DUMMYFUNCTION("""COMPUTED_VALUE"""),"J1Huisman")</f>
        <v>J1Huisman</v>
      </c>
    </row>
    <row r="215">
      <c r="A215" s="47" t="str">
        <f>IFERROR(__xludf.DUMMYFUNCTION("""COMPUTED_VALUE"""),"Virtual Brown")</f>
        <v>Virtual Brown</v>
      </c>
      <c r="B215" s="47" t="str">
        <f>IFERROR(__xludf.DUMMYFUNCTION("""COMPUTED_VALUE"""),"Pinkeltje")</f>
        <v>Pinkeltje</v>
      </c>
      <c r="C215" s="78" t="str">
        <f>IFERROR(__xludf.DUMMYFUNCTION("""COMPUTED_VALUE"""),"https://www.munzee.com/m/Pinkeltje/1066/")</f>
        <v>https://www.munzee.com/m/Pinkeltje/1066/</v>
      </c>
      <c r="D215" s="47"/>
      <c r="E215" s="47" t="b">
        <f>IFERROR(__xludf.DUMMYFUNCTION("""COMPUTED_VALUE"""),TRUE)</f>
        <v>1</v>
      </c>
      <c r="F215" s="47" t="str">
        <f>IFERROR(__xludf.DUMMYFUNCTION("""COMPUTED_VALUE"""),"")</f>
        <v/>
      </c>
      <c r="G215" s="47" t="str">
        <f>IFERROR(__xludf.DUMMYFUNCTION("""COMPUTED_VALUE"""),"")</f>
        <v/>
      </c>
      <c r="H215" s="47"/>
      <c r="I215" s="47">
        <f>IFERROR(__xludf.DUMMYFUNCTION("""COMPUTED_VALUE"""),2.0)</f>
        <v>2</v>
      </c>
      <c r="J215" s="47" t="str">
        <f>IFERROR(__xludf.DUMMYFUNCTION("""COMPUTED_VALUE"""),"https:")</f>
        <v>https:</v>
      </c>
      <c r="K215" s="78" t="str">
        <f>IFERROR(__xludf.DUMMYFUNCTION("""COMPUTED_VALUE"""),"www.munzee.com")</f>
        <v>www.munzee.com</v>
      </c>
      <c r="L215" s="47" t="str">
        <f>IFERROR(__xludf.DUMMYFUNCTION("""COMPUTED_VALUE"""),"m")</f>
        <v>m</v>
      </c>
      <c r="M215" s="47" t="str">
        <f>IFERROR(__xludf.DUMMYFUNCTION("""COMPUTED_VALUE"""),"Pinkeltje")</f>
        <v>Pinkeltje</v>
      </c>
    </row>
    <row r="216">
      <c r="A216" s="47" t="str">
        <f>IFERROR(__xludf.DUMMYFUNCTION("""COMPUTED_VALUE"""),"Virtual Raw Sienna")</f>
        <v>Virtual Raw Sienna</v>
      </c>
      <c r="B216" s="47" t="str">
        <f>IFERROR(__xludf.DUMMYFUNCTION("""COMPUTED_VALUE"""),"bambinacattiva")</f>
        <v>bambinacattiva</v>
      </c>
      <c r="C216" s="78" t="str">
        <f>IFERROR(__xludf.DUMMYFUNCTION("""COMPUTED_VALUE"""),"https://www.munzee.com/m/Bambinacattiva/667/")</f>
        <v>https://www.munzee.com/m/Bambinacattiva/667/</v>
      </c>
      <c r="D216" s="47"/>
      <c r="E216" s="47" t="b">
        <f>IFERROR(__xludf.DUMMYFUNCTION("""COMPUTED_VALUE"""),TRUE)</f>
        <v>1</v>
      </c>
      <c r="F216" s="47" t="str">
        <f>IFERROR(__xludf.DUMMYFUNCTION("""COMPUTED_VALUE"""),"")</f>
        <v/>
      </c>
      <c r="G216" s="47" t="str">
        <f>IFERROR(__xludf.DUMMYFUNCTION("""COMPUTED_VALUE"""),"")</f>
        <v/>
      </c>
      <c r="H216" s="47"/>
      <c r="I216" s="47">
        <f>IFERROR(__xludf.DUMMYFUNCTION("""COMPUTED_VALUE"""),2.0)</f>
        <v>2</v>
      </c>
      <c r="J216" s="47" t="str">
        <f>IFERROR(__xludf.DUMMYFUNCTION("""COMPUTED_VALUE"""),"https:")</f>
        <v>https:</v>
      </c>
      <c r="K216" s="78" t="str">
        <f>IFERROR(__xludf.DUMMYFUNCTION("""COMPUTED_VALUE"""),"www.munzee.com")</f>
        <v>www.munzee.com</v>
      </c>
      <c r="L216" s="47" t="str">
        <f>IFERROR(__xludf.DUMMYFUNCTION("""COMPUTED_VALUE"""),"m")</f>
        <v>m</v>
      </c>
      <c r="M216" s="47" t="str">
        <f>IFERROR(__xludf.DUMMYFUNCTION("""COMPUTED_VALUE"""),"Bambinacattiva")</f>
        <v>Bambinacattiva</v>
      </c>
    </row>
    <row r="217">
      <c r="A217" s="47" t="str">
        <f>IFERROR(__xludf.DUMMYFUNCTION("""COMPUTED_VALUE"""),"Virtual Brown")</f>
        <v>Virtual Brown</v>
      </c>
      <c r="B217" s="47" t="str">
        <f>IFERROR(__xludf.DUMMYFUNCTION("""COMPUTED_VALUE"""),"sverlaan")</f>
        <v>sverlaan</v>
      </c>
      <c r="C217" s="78" t="str">
        <f>IFERROR(__xludf.DUMMYFUNCTION("""COMPUTED_VALUE"""),"https://www.munzee.com/m/sverlaan/4124/")</f>
        <v>https://www.munzee.com/m/sverlaan/4124/</v>
      </c>
      <c r="D217" s="47"/>
      <c r="E217" s="47" t="b">
        <f>IFERROR(__xludf.DUMMYFUNCTION("""COMPUTED_VALUE"""),TRUE)</f>
        <v>1</v>
      </c>
      <c r="F217" s="47" t="str">
        <f>IFERROR(__xludf.DUMMYFUNCTION("""COMPUTED_VALUE"""),"")</f>
        <v/>
      </c>
      <c r="G217" s="47" t="str">
        <f>IFERROR(__xludf.DUMMYFUNCTION("""COMPUTED_VALUE"""),"")</f>
        <v/>
      </c>
      <c r="H217" s="47"/>
      <c r="I217" s="47">
        <f>IFERROR(__xludf.DUMMYFUNCTION("""COMPUTED_VALUE"""),2.0)</f>
        <v>2</v>
      </c>
      <c r="J217" s="47" t="str">
        <f>IFERROR(__xludf.DUMMYFUNCTION("""COMPUTED_VALUE"""),"https:")</f>
        <v>https:</v>
      </c>
      <c r="K217" s="78" t="str">
        <f>IFERROR(__xludf.DUMMYFUNCTION("""COMPUTED_VALUE"""),"www.munzee.com")</f>
        <v>www.munzee.com</v>
      </c>
      <c r="L217" s="47" t="str">
        <f>IFERROR(__xludf.DUMMYFUNCTION("""COMPUTED_VALUE"""),"m")</f>
        <v>m</v>
      </c>
      <c r="M217" s="47" t="str">
        <f>IFERROR(__xludf.DUMMYFUNCTION("""COMPUTED_VALUE"""),"sverlaan")</f>
        <v>sverlaan</v>
      </c>
    </row>
    <row r="218">
      <c r="A218" s="47" t="str">
        <f>IFERROR(__xludf.DUMMYFUNCTION("""COMPUTED_VALUE"""),"Virtual Brown")</f>
        <v>Virtual Brown</v>
      </c>
      <c r="B218" s="47" t="str">
        <f>IFERROR(__xludf.DUMMYFUNCTION("""COMPUTED_VALUE"""),"Emilep68")</f>
        <v>Emilep68</v>
      </c>
      <c r="C218" s="78" t="str">
        <f>IFERROR(__xludf.DUMMYFUNCTION("""COMPUTED_VALUE"""),"https://www.munzee.com/m/EmileP68/2896/")</f>
        <v>https://www.munzee.com/m/EmileP68/2896/</v>
      </c>
      <c r="D218" s="47"/>
      <c r="E218" s="47" t="b">
        <f>IFERROR(__xludf.DUMMYFUNCTION("""COMPUTED_VALUE"""),TRUE)</f>
        <v>1</v>
      </c>
      <c r="F218" s="47" t="str">
        <f>IFERROR(__xludf.DUMMYFUNCTION("""COMPUTED_VALUE"""),"")</f>
        <v/>
      </c>
      <c r="G218" s="47" t="str">
        <f>IFERROR(__xludf.DUMMYFUNCTION("""COMPUTED_VALUE"""),"")</f>
        <v/>
      </c>
      <c r="H218" s="47"/>
      <c r="I218" s="47">
        <f>IFERROR(__xludf.DUMMYFUNCTION("""COMPUTED_VALUE"""),2.0)</f>
        <v>2</v>
      </c>
      <c r="J218" s="47" t="str">
        <f>IFERROR(__xludf.DUMMYFUNCTION("""COMPUTED_VALUE"""),"https:")</f>
        <v>https:</v>
      </c>
      <c r="K218" s="78" t="str">
        <f>IFERROR(__xludf.DUMMYFUNCTION("""COMPUTED_VALUE"""),"www.munzee.com")</f>
        <v>www.munzee.com</v>
      </c>
      <c r="L218" s="47" t="str">
        <f>IFERROR(__xludf.DUMMYFUNCTION("""COMPUTED_VALUE"""),"m")</f>
        <v>m</v>
      </c>
      <c r="M218" s="47" t="str">
        <f>IFERROR(__xludf.DUMMYFUNCTION("""COMPUTED_VALUE"""),"EmileP68")</f>
        <v>EmileP68</v>
      </c>
    </row>
    <row r="219">
      <c r="A219" s="47" t="str">
        <f>IFERROR(__xludf.DUMMYFUNCTION("""COMPUTED_VALUE"""),"Virtual Brown")</f>
        <v>Virtual Brown</v>
      </c>
      <c r="B219" s="47" t="str">
        <f>IFERROR(__xludf.DUMMYFUNCTION("""COMPUTED_VALUE"""),"Pawpatrolthomas")</f>
        <v>Pawpatrolthomas</v>
      </c>
      <c r="C219" s="78" t="str">
        <f>IFERROR(__xludf.DUMMYFUNCTION("""COMPUTED_VALUE"""),"https://www.munzee.com/m/PawPatrolThomas/2199/")</f>
        <v>https://www.munzee.com/m/PawPatrolThomas/2199/</v>
      </c>
      <c r="D219" s="47"/>
      <c r="E219" s="47" t="b">
        <f>IFERROR(__xludf.DUMMYFUNCTION("""COMPUTED_VALUE"""),TRUE)</f>
        <v>1</v>
      </c>
      <c r="F219" s="47" t="str">
        <f>IFERROR(__xludf.DUMMYFUNCTION("""COMPUTED_VALUE"""),"")</f>
        <v/>
      </c>
      <c r="G219" s="47" t="str">
        <f>IFERROR(__xludf.DUMMYFUNCTION("""COMPUTED_VALUE"""),"")</f>
        <v/>
      </c>
      <c r="H219" s="47"/>
      <c r="I219" s="47">
        <f>IFERROR(__xludf.DUMMYFUNCTION("""COMPUTED_VALUE"""),2.0)</f>
        <v>2</v>
      </c>
      <c r="J219" s="47" t="str">
        <f>IFERROR(__xludf.DUMMYFUNCTION("""COMPUTED_VALUE"""),"https:")</f>
        <v>https:</v>
      </c>
      <c r="K219" s="78" t="str">
        <f>IFERROR(__xludf.DUMMYFUNCTION("""COMPUTED_VALUE"""),"www.munzee.com")</f>
        <v>www.munzee.com</v>
      </c>
      <c r="L219" s="47" t="str">
        <f>IFERROR(__xludf.DUMMYFUNCTION("""COMPUTED_VALUE"""),"m")</f>
        <v>m</v>
      </c>
      <c r="M219" s="47" t="str">
        <f>IFERROR(__xludf.DUMMYFUNCTION("""COMPUTED_VALUE"""),"PawPatrolThomas")</f>
        <v>PawPatrolThomas</v>
      </c>
    </row>
    <row r="220">
      <c r="A220" s="47" t="str">
        <f>IFERROR(__xludf.DUMMYFUNCTION("""COMPUTED_VALUE"""),"Virtual Brown")</f>
        <v>Virtual Brown</v>
      </c>
      <c r="B220" s="47" t="str">
        <f>IFERROR(__xludf.DUMMYFUNCTION("""COMPUTED_VALUE"""),"Hoekraam")</f>
        <v>Hoekraam</v>
      </c>
      <c r="C220" s="78" t="str">
        <f>IFERROR(__xludf.DUMMYFUNCTION("""COMPUTED_VALUE"""),"https://www.munzee.com/m/hoekraam/7004")</f>
        <v>https://www.munzee.com/m/hoekraam/7004</v>
      </c>
      <c r="D220" s="47"/>
      <c r="E220" s="47" t="b">
        <f>IFERROR(__xludf.DUMMYFUNCTION("""COMPUTED_VALUE"""),TRUE)</f>
        <v>1</v>
      </c>
      <c r="F220" s="47" t="str">
        <f>IFERROR(__xludf.DUMMYFUNCTION("""COMPUTED_VALUE"""),"")</f>
        <v/>
      </c>
      <c r="G220" s="47" t="str">
        <f>IFERROR(__xludf.DUMMYFUNCTION("""COMPUTED_VALUE"""),"")</f>
        <v/>
      </c>
      <c r="H220" s="47"/>
      <c r="I220" s="47">
        <f>IFERROR(__xludf.DUMMYFUNCTION("""COMPUTED_VALUE"""),2.0)</f>
        <v>2</v>
      </c>
      <c r="J220" s="47" t="str">
        <f>IFERROR(__xludf.DUMMYFUNCTION("""COMPUTED_VALUE"""),"https:")</f>
        <v>https:</v>
      </c>
      <c r="K220" s="78" t="str">
        <f>IFERROR(__xludf.DUMMYFUNCTION("""COMPUTED_VALUE"""),"www.munzee.com")</f>
        <v>www.munzee.com</v>
      </c>
      <c r="L220" s="47" t="str">
        <f>IFERROR(__xludf.DUMMYFUNCTION("""COMPUTED_VALUE"""),"m")</f>
        <v>m</v>
      </c>
      <c r="M220" s="47" t="str">
        <f>IFERROR(__xludf.DUMMYFUNCTION("""COMPUTED_VALUE"""),"hoekraam")</f>
        <v>hoekraam</v>
      </c>
    </row>
    <row r="221">
      <c r="A221" s="47" t="str">
        <f>IFERROR(__xludf.DUMMYFUNCTION("""COMPUTED_VALUE"""),"Virtual Brown")</f>
        <v>Virtual Brown</v>
      </c>
      <c r="B221" s="47" t="str">
        <f>IFERROR(__xludf.DUMMYFUNCTION("""COMPUTED_VALUE"""),"xrayneex")</f>
        <v>xrayneex</v>
      </c>
      <c r="C221" s="78" t="str">
        <f>IFERROR(__xludf.DUMMYFUNCTION("""COMPUTED_VALUE"""),"https://www.munzee.com/m/xrayneex/1292/")</f>
        <v>https://www.munzee.com/m/xrayneex/1292/</v>
      </c>
      <c r="D221" s="47"/>
      <c r="E221" s="47" t="b">
        <f>IFERROR(__xludf.DUMMYFUNCTION("""COMPUTED_VALUE"""),TRUE)</f>
        <v>1</v>
      </c>
      <c r="F221" s="47" t="str">
        <f>IFERROR(__xludf.DUMMYFUNCTION("""COMPUTED_VALUE"""),"")</f>
        <v/>
      </c>
      <c r="G221" s="47" t="str">
        <f>IFERROR(__xludf.DUMMYFUNCTION("""COMPUTED_VALUE"""),"")</f>
        <v/>
      </c>
      <c r="H221" s="47"/>
      <c r="I221" s="47">
        <f>IFERROR(__xludf.DUMMYFUNCTION("""COMPUTED_VALUE"""),2.0)</f>
        <v>2</v>
      </c>
      <c r="J221" s="47" t="str">
        <f>IFERROR(__xludf.DUMMYFUNCTION("""COMPUTED_VALUE"""),"https:")</f>
        <v>https:</v>
      </c>
      <c r="K221" s="78" t="str">
        <f>IFERROR(__xludf.DUMMYFUNCTION("""COMPUTED_VALUE"""),"www.munzee.com")</f>
        <v>www.munzee.com</v>
      </c>
      <c r="L221" s="47" t="str">
        <f>IFERROR(__xludf.DUMMYFUNCTION("""COMPUTED_VALUE"""),"m")</f>
        <v>m</v>
      </c>
      <c r="M221" s="47" t="str">
        <f>IFERROR(__xludf.DUMMYFUNCTION("""COMPUTED_VALUE"""),"xrayneex")</f>
        <v>xrayneex</v>
      </c>
    </row>
    <row r="222">
      <c r="A222" s="47" t="str">
        <f>IFERROR(__xludf.DUMMYFUNCTION("""COMPUTED_VALUE"""),"Virtual Brown")</f>
        <v>Virtual Brown</v>
      </c>
      <c r="B222" s="47" t="str">
        <f>IFERROR(__xludf.DUMMYFUNCTION("""COMPUTED_VALUE"""),"WiseOldWizard")</f>
        <v>WiseOldWizard</v>
      </c>
      <c r="C222" s="78" t="str">
        <f>IFERROR(__xludf.DUMMYFUNCTION("""COMPUTED_VALUE"""),"https://www.munzee.com/m/WiseOldWizard/3956/")</f>
        <v>https://www.munzee.com/m/WiseOldWizard/3956/</v>
      </c>
      <c r="D222" s="47"/>
      <c r="E222" s="47" t="b">
        <f>IFERROR(__xludf.DUMMYFUNCTION("""COMPUTED_VALUE"""),TRUE)</f>
        <v>1</v>
      </c>
      <c r="F222" s="47" t="str">
        <f>IFERROR(__xludf.DUMMYFUNCTION("""COMPUTED_VALUE"""),"")</f>
        <v/>
      </c>
      <c r="G222" s="47" t="str">
        <f>IFERROR(__xludf.DUMMYFUNCTION("""COMPUTED_VALUE"""),"")</f>
        <v/>
      </c>
      <c r="H222" s="47"/>
      <c r="I222" s="47">
        <f>IFERROR(__xludf.DUMMYFUNCTION("""COMPUTED_VALUE"""),2.0)</f>
        <v>2</v>
      </c>
      <c r="J222" s="47" t="str">
        <f>IFERROR(__xludf.DUMMYFUNCTION("""COMPUTED_VALUE"""),"https:")</f>
        <v>https:</v>
      </c>
      <c r="K222" s="78" t="str">
        <f>IFERROR(__xludf.DUMMYFUNCTION("""COMPUTED_VALUE"""),"www.munzee.com")</f>
        <v>www.munzee.com</v>
      </c>
      <c r="L222" s="47" t="str">
        <f>IFERROR(__xludf.DUMMYFUNCTION("""COMPUTED_VALUE"""),"m")</f>
        <v>m</v>
      </c>
      <c r="M222" s="47" t="str">
        <f>IFERROR(__xludf.DUMMYFUNCTION("""COMPUTED_VALUE"""),"WiseOldWizard")</f>
        <v>WiseOldWizard</v>
      </c>
    </row>
    <row r="223">
      <c r="A223" s="47" t="str">
        <f>IFERROR(__xludf.DUMMYFUNCTION("""COMPUTED_VALUE"""),"Virtual Brown")</f>
        <v>Virtual Brown</v>
      </c>
      <c r="B223" s="47" t="str">
        <f>IFERROR(__xludf.DUMMYFUNCTION("""COMPUTED_VALUE"""),"BrotherWilliam")</f>
        <v>BrotherWilliam</v>
      </c>
      <c r="C223" s="78" t="str">
        <f>IFERROR(__xludf.DUMMYFUNCTION("""COMPUTED_VALUE"""),"https://www.munzee.com/m/BrotherWilliam/3871/")</f>
        <v>https://www.munzee.com/m/BrotherWilliam/3871/</v>
      </c>
      <c r="D223" s="47"/>
      <c r="E223" s="47" t="b">
        <f>IFERROR(__xludf.DUMMYFUNCTION("""COMPUTED_VALUE"""),TRUE)</f>
        <v>1</v>
      </c>
      <c r="F223" s="47" t="str">
        <f>IFERROR(__xludf.DUMMYFUNCTION("""COMPUTED_VALUE"""),"")</f>
        <v/>
      </c>
      <c r="G223" s="47" t="str">
        <f>IFERROR(__xludf.DUMMYFUNCTION("""COMPUTED_VALUE"""),"")</f>
        <v/>
      </c>
      <c r="H223" s="47"/>
      <c r="I223" s="47">
        <f>IFERROR(__xludf.DUMMYFUNCTION("""COMPUTED_VALUE"""),2.0)</f>
        <v>2</v>
      </c>
      <c r="J223" s="47" t="str">
        <f>IFERROR(__xludf.DUMMYFUNCTION("""COMPUTED_VALUE"""),"https:")</f>
        <v>https:</v>
      </c>
      <c r="K223" s="78" t="str">
        <f>IFERROR(__xludf.DUMMYFUNCTION("""COMPUTED_VALUE"""),"www.munzee.com")</f>
        <v>www.munzee.com</v>
      </c>
      <c r="L223" s="47" t="str">
        <f>IFERROR(__xludf.DUMMYFUNCTION("""COMPUTED_VALUE"""),"m")</f>
        <v>m</v>
      </c>
      <c r="M223" s="47" t="str">
        <f>IFERROR(__xludf.DUMMYFUNCTION("""COMPUTED_VALUE"""),"BrotherWilliam")</f>
        <v>BrotherWilliam</v>
      </c>
    </row>
    <row r="224">
      <c r="A224" s="47" t="str">
        <f>IFERROR(__xludf.DUMMYFUNCTION("""COMPUTED_VALUE"""),"Virtual Brown")</f>
        <v>Virtual Brown</v>
      </c>
      <c r="B224" s="47" t="str">
        <f>IFERROR(__xludf.DUMMYFUNCTION("""COMPUTED_VALUE"""),"Drazoria")</f>
        <v>Drazoria</v>
      </c>
      <c r="C224" s="78" t="str">
        <f>IFERROR(__xludf.DUMMYFUNCTION("""COMPUTED_VALUE"""),"https://www.munzee.com/m/Drazoria/712")</f>
        <v>https://www.munzee.com/m/Drazoria/712</v>
      </c>
      <c r="D224" s="47"/>
      <c r="E224" s="47" t="b">
        <f>IFERROR(__xludf.DUMMYFUNCTION("""COMPUTED_VALUE"""),TRUE)</f>
        <v>1</v>
      </c>
      <c r="F224" s="47" t="str">
        <f>IFERROR(__xludf.DUMMYFUNCTION("""COMPUTED_VALUE"""),"")</f>
        <v/>
      </c>
      <c r="G224" s="47" t="str">
        <f>IFERROR(__xludf.DUMMYFUNCTION("""COMPUTED_VALUE"""),"")</f>
        <v/>
      </c>
      <c r="H224" s="47"/>
      <c r="I224" s="47">
        <f>IFERROR(__xludf.DUMMYFUNCTION("""COMPUTED_VALUE"""),2.0)</f>
        <v>2</v>
      </c>
      <c r="J224" s="47" t="str">
        <f>IFERROR(__xludf.DUMMYFUNCTION("""COMPUTED_VALUE"""),"https:")</f>
        <v>https:</v>
      </c>
      <c r="K224" s="78" t="str">
        <f>IFERROR(__xludf.DUMMYFUNCTION("""COMPUTED_VALUE"""),"www.munzee.com")</f>
        <v>www.munzee.com</v>
      </c>
      <c r="L224" s="47" t="str">
        <f>IFERROR(__xludf.DUMMYFUNCTION("""COMPUTED_VALUE"""),"m")</f>
        <v>m</v>
      </c>
      <c r="M224" s="47" t="str">
        <f>IFERROR(__xludf.DUMMYFUNCTION("""COMPUTED_VALUE"""),"Drazoria")</f>
        <v>Drazoria</v>
      </c>
    </row>
    <row r="225">
      <c r="A225" s="47" t="str">
        <f>IFERROR(__xludf.DUMMYFUNCTION("""COMPUTED_VALUE"""),"Virtual Brown")</f>
        <v>Virtual Brown</v>
      </c>
      <c r="B225" s="47" t="str">
        <f>IFERROR(__xludf.DUMMYFUNCTION("""COMPUTED_VALUE"""),"Tinake1309")</f>
        <v>Tinake1309</v>
      </c>
      <c r="C225" s="78" t="str">
        <f>IFERROR(__xludf.DUMMYFUNCTION("""COMPUTED_VALUE"""),"https://www.munzee.com/m/Tinake1309/688/")</f>
        <v>https://www.munzee.com/m/Tinake1309/688/</v>
      </c>
      <c r="D225" s="47"/>
      <c r="E225" s="47" t="b">
        <f>IFERROR(__xludf.DUMMYFUNCTION("""COMPUTED_VALUE"""),TRUE)</f>
        <v>1</v>
      </c>
      <c r="F225" s="47" t="str">
        <f>IFERROR(__xludf.DUMMYFUNCTION("""COMPUTED_VALUE"""),"")</f>
        <v/>
      </c>
      <c r="G225" s="47" t="str">
        <f>IFERROR(__xludf.DUMMYFUNCTION("""COMPUTED_VALUE"""),"")</f>
        <v/>
      </c>
      <c r="H225" s="47"/>
      <c r="I225" s="47">
        <f>IFERROR(__xludf.DUMMYFUNCTION("""COMPUTED_VALUE"""),2.0)</f>
        <v>2</v>
      </c>
      <c r="J225" s="47" t="str">
        <f>IFERROR(__xludf.DUMMYFUNCTION("""COMPUTED_VALUE"""),"https:")</f>
        <v>https:</v>
      </c>
      <c r="K225" s="78" t="str">
        <f>IFERROR(__xludf.DUMMYFUNCTION("""COMPUTED_VALUE"""),"www.munzee.com")</f>
        <v>www.munzee.com</v>
      </c>
      <c r="L225" s="47" t="str">
        <f>IFERROR(__xludf.DUMMYFUNCTION("""COMPUTED_VALUE"""),"m")</f>
        <v>m</v>
      </c>
      <c r="M225" s="47" t="str">
        <f>IFERROR(__xludf.DUMMYFUNCTION("""COMPUTED_VALUE"""),"Tinake1309")</f>
        <v>Tinake1309</v>
      </c>
    </row>
    <row r="226">
      <c r="A226" s="47" t="str">
        <f>IFERROR(__xludf.DUMMYFUNCTION("""COMPUTED_VALUE"""),"Virtual Brown")</f>
        <v>Virtual Brown</v>
      </c>
      <c r="B226" s="47" t="str">
        <f>IFERROR(__xludf.DUMMYFUNCTION("""COMPUTED_VALUE"""),"Berg14 ")</f>
        <v>Berg14 </v>
      </c>
      <c r="C226" s="78" t="str">
        <f>IFERROR(__xludf.DUMMYFUNCTION("""COMPUTED_VALUE"""),"https://www.munzee.com/m/Berg14/541/")</f>
        <v>https://www.munzee.com/m/Berg14/541/</v>
      </c>
      <c r="D226" s="47"/>
      <c r="E226" s="47" t="b">
        <f>IFERROR(__xludf.DUMMYFUNCTION("""COMPUTED_VALUE"""),TRUE)</f>
        <v>1</v>
      </c>
      <c r="F226" s="47" t="str">
        <f>IFERROR(__xludf.DUMMYFUNCTION("""COMPUTED_VALUE"""),"")</f>
        <v/>
      </c>
      <c r="G226" s="47" t="str">
        <f>IFERROR(__xludf.DUMMYFUNCTION("""COMPUTED_VALUE"""),"")</f>
        <v/>
      </c>
      <c r="H226" s="47"/>
      <c r="I226" s="47">
        <f>IFERROR(__xludf.DUMMYFUNCTION("""COMPUTED_VALUE"""),2.0)</f>
        <v>2</v>
      </c>
      <c r="J226" s="47" t="str">
        <f>IFERROR(__xludf.DUMMYFUNCTION("""COMPUTED_VALUE"""),"https:")</f>
        <v>https:</v>
      </c>
      <c r="K226" s="78" t="str">
        <f>IFERROR(__xludf.DUMMYFUNCTION("""COMPUTED_VALUE"""),"www.munzee.com")</f>
        <v>www.munzee.com</v>
      </c>
      <c r="L226" s="47" t="str">
        <f>IFERROR(__xludf.DUMMYFUNCTION("""COMPUTED_VALUE"""),"m")</f>
        <v>m</v>
      </c>
      <c r="M226" s="47" t="str">
        <f>IFERROR(__xludf.DUMMYFUNCTION("""COMPUTED_VALUE"""),"Berg14")</f>
        <v>Berg14</v>
      </c>
    </row>
    <row r="227">
      <c r="A227" s="47" t="str">
        <f>IFERROR(__xludf.DUMMYFUNCTION("""COMPUTED_VALUE"""),"Virtual Brown")</f>
        <v>Virtual Brown</v>
      </c>
      <c r="B227" s="47" t="str">
        <f>IFERROR(__xludf.DUMMYFUNCTION("""COMPUTED_VALUE"""),"Niks13")</f>
        <v>Niks13</v>
      </c>
      <c r="C227" s="78" t="str">
        <f>IFERROR(__xludf.DUMMYFUNCTION("""COMPUTED_VALUE"""),"https://www.munzee.com/m/Niks13/461/")</f>
        <v>https://www.munzee.com/m/Niks13/461/</v>
      </c>
      <c r="D227" s="47"/>
      <c r="E227" s="47" t="b">
        <f>IFERROR(__xludf.DUMMYFUNCTION("""COMPUTED_VALUE"""),TRUE)</f>
        <v>1</v>
      </c>
      <c r="F227" s="47" t="str">
        <f>IFERROR(__xludf.DUMMYFUNCTION("""COMPUTED_VALUE"""),"")</f>
        <v/>
      </c>
      <c r="G227" s="47" t="str">
        <f>IFERROR(__xludf.DUMMYFUNCTION("""COMPUTED_VALUE"""),"")</f>
        <v/>
      </c>
      <c r="H227" s="47"/>
      <c r="I227" s="47">
        <f>IFERROR(__xludf.DUMMYFUNCTION("""COMPUTED_VALUE"""),2.0)</f>
        <v>2</v>
      </c>
      <c r="J227" s="47" t="str">
        <f>IFERROR(__xludf.DUMMYFUNCTION("""COMPUTED_VALUE"""),"https:")</f>
        <v>https:</v>
      </c>
      <c r="K227" s="78" t="str">
        <f>IFERROR(__xludf.DUMMYFUNCTION("""COMPUTED_VALUE"""),"www.munzee.com")</f>
        <v>www.munzee.com</v>
      </c>
      <c r="L227" s="47" t="str">
        <f>IFERROR(__xludf.DUMMYFUNCTION("""COMPUTED_VALUE"""),"m")</f>
        <v>m</v>
      </c>
      <c r="M227" s="47" t="str">
        <f>IFERROR(__xludf.DUMMYFUNCTION("""COMPUTED_VALUE"""),"Niks13")</f>
        <v>Niks13</v>
      </c>
    </row>
    <row r="228">
      <c r="A228" s="47" t="str">
        <f>IFERROR(__xludf.DUMMYFUNCTION("""COMPUTED_VALUE"""),"Virtual Raw Sienna")</f>
        <v>Virtual Raw Sienna</v>
      </c>
      <c r="B228" s="47" t="str">
        <f>IFERROR(__xludf.DUMMYFUNCTION("""COMPUTED_VALUE"""),"babyw")</f>
        <v>babyw</v>
      </c>
      <c r="C228" s="78" t="str">
        <f>IFERROR(__xludf.DUMMYFUNCTION("""COMPUTED_VALUE"""),"https://www.munzee.com/m/babyw/2727/")</f>
        <v>https://www.munzee.com/m/babyw/2727/</v>
      </c>
      <c r="D228" s="79"/>
      <c r="E228" s="47" t="b">
        <f>IFERROR(__xludf.DUMMYFUNCTION("""COMPUTED_VALUE"""),TRUE)</f>
        <v>1</v>
      </c>
      <c r="F228" s="47" t="str">
        <f>IFERROR(__xludf.DUMMYFUNCTION("""COMPUTED_VALUE"""),"")</f>
        <v/>
      </c>
      <c r="G228" s="47" t="str">
        <f>IFERROR(__xludf.DUMMYFUNCTION("""COMPUTED_VALUE"""),"")</f>
        <v/>
      </c>
      <c r="H228" s="47"/>
      <c r="I228" s="47">
        <f>IFERROR(__xludf.DUMMYFUNCTION("""COMPUTED_VALUE"""),2.0)</f>
        <v>2</v>
      </c>
      <c r="J228" s="47" t="str">
        <f>IFERROR(__xludf.DUMMYFUNCTION("""COMPUTED_VALUE"""),"https:")</f>
        <v>https:</v>
      </c>
      <c r="K228" s="78" t="str">
        <f>IFERROR(__xludf.DUMMYFUNCTION("""COMPUTED_VALUE"""),"www.munzee.com")</f>
        <v>www.munzee.com</v>
      </c>
      <c r="L228" s="47" t="str">
        <f>IFERROR(__xludf.DUMMYFUNCTION("""COMPUTED_VALUE"""),"m")</f>
        <v>m</v>
      </c>
      <c r="M228" s="47" t="str">
        <f>IFERROR(__xludf.DUMMYFUNCTION("""COMPUTED_VALUE"""),"babyw")</f>
        <v>babyw</v>
      </c>
    </row>
    <row r="229">
      <c r="A229" s="47" t="str">
        <f>IFERROR(__xludf.DUMMYFUNCTION("""COMPUTED_VALUE"""),"Virtual Brown")</f>
        <v>Virtual Brown</v>
      </c>
      <c r="B229" s="47" t="str">
        <f>IFERROR(__xludf.DUMMYFUNCTION("""COMPUTED_VALUE"""),"ArtofEco")</f>
        <v>ArtofEco</v>
      </c>
      <c r="C229" s="78" t="str">
        <f>IFERROR(__xludf.DUMMYFUNCTION("""COMPUTED_VALUE"""),"https://www.munzee.com/m/ArtofEco/2894/")</f>
        <v>https://www.munzee.com/m/ArtofEco/2894/</v>
      </c>
      <c r="D229" s="47"/>
      <c r="E229" s="47" t="b">
        <f>IFERROR(__xludf.DUMMYFUNCTION("""COMPUTED_VALUE"""),TRUE)</f>
        <v>1</v>
      </c>
      <c r="F229" s="47" t="str">
        <f>IFERROR(__xludf.DUMMYFUNCTION("""COMPUTED_VALUE"""),"")</f>
        <v/>
      </c>
      <c r="G229" s="47" t="str">
        <f>IFERROR(__xludf.DUMMYFUNCTION("""COMPUTED_VALUE"""),"")</f>
        <v/>
      </c>
      <c r="H229" s="47"/>
      <c r="I229" s="47">
        <f>IFERROR(__xludf.DUMMYFUNCTION("""COMPUTED_VALUE"""),2.0)</f>
        <v>2</v>
      </c>
      <c r="J229" s="47" t="str">
        <f>IFERROR(__xludf.DUMMYFUNCTION("""COMPUTED_VALUE"""),"https:")</f>
        <v>https:</v>
      </c>
      <c r="K229" s="78" t="str">
        <f>IFERROR(__xludf.DUMMYFUNCTION("""COMPUTED_VALUE"""),"www.munzee.com")</f>
        <v>www.munzee.com</v>
      </c>
      <c r="L229" s="47" t="str">
        <f>IFERROR(__xludf.DUMMYFUNCTION("""COMPUTED_VALUE"""),"m")</f>
        <v>m</v>
      </c>
      <c r="M229" s="47" t="str">
        <f>IFERROR(__xludf.DUMMYFUNCTION("""COMPUTED_VALUE"""),"ArtofEco")</f>
        <v>ArtofEco</v>
      </c>
    </row>
    <row r="230">
      <c r="A230" s="47" t="str">
        <f>IFERROR(__xludf.DUMMYFUNCTION("""COMPUTED_VALUE"""),"Virtual Brown")</f>
        <v>Virtual Brown</v>
      </c>
      <c r="B230" s="47" t="str">
        <f>IFERROR(__xludf.DUMMYFUNCTION("""COMPUTED_VALUE"""),"Anetzet ")</f>
        <v>Anetzet </v>
      </c>
      <c r="C230" s="78" t="str">
        <f>IFERROR(__xludf.DUMMYFUNCTION("""COMPUTED_VALUE"""),"https://www.munzee.com/m/Anetzet/2538/")</f>
        <v>https://www.munzee.com/m/Anetzet/2538/</v>
      </c>
      <c r="D230" s="47"/>
      <c r="E230" s="47" t="b">
        <f>IFERROR(__xludf.DUMMYFUNCTION("""COMPUTED_VALUE"""),TRUE)</f>
        <v>1</v>
      </c>
      <c r="F230" s="47" t="str">
        <f>IFERROR(__xludf.DUMMYFUNCTION("""COMPUTED_VALUE"""),"")</f>
        <v/>
      </c>
      <c r="G230" s="47" t="str">
        <f>IFERROR(__xludf.DUMMYFUNCTION("""COMPUTED_VALUE"""),"")</f>
        <v/>
      </c>
      <c r="H230" s="47"/>
      <c r="I230" s="47">
        <f>IFERROR(__xludf.DUMMYFUNCTION("""COMPUTED_VALUE"""),2.0)</f>
        <v>2</v>
      </c>
      <c r="J230" s="47" t="str">
        <f>IFERROR(__xludf.DUMMYFUNCTION("""COMPUTED_VALUE"""),"https:")</f>
        <v>https:</v>
      </c>
      <c r="K230" s="78" t="str">
        <f>IFERROR(__xludf.DUMMYFUNCTION("""COMPUTED_VALUE"""),"www.munzee.com")</f>
        <v>www.munzee.com</v>
      </c>
      <c r="L230" s="47" t="str">
        <f>IFERROR(__xludf.DUMMYFUNCTION("""COMPUTED_VALUE"""),"m")</f>
        <v>m</v>
      </c>
      <c r="M230" s="47" t="str">
        <f>IFERROR(__xludf.DUMMYFUNCTION("""COMPUTED_VALUE"""),"Anetzet")</f>
        <v>Anetzet</v>
      </c>
    </row>
    <row r="231">
      <c r="A231" s="47" t="str">
        <f>IFERROR(__xludf.DUMMYFUNCTION("""COMPUTED_VALUE"""),"Virtual Brown")</f>
        <v>Virtual Brown</v>
      </c>
      <c r="B231" s="47" t="str">
        <f>IFERROR(__xludf.DUMMYFUNCTION("""COMPUTED_VALUE"""),"fsafranek")</f>
        <v>fsafranek</v>
      </c>
      <c r="C231" s="78" t="str">
        <f>IFERROR(__xludf.DUMMYFUNCTION("""COMPUTED_VALUE"""),"https://www.munzee.com/m/fsafranek/4125/")</f>
        <v>https://www.munzee.com/m/fsafranek/4125/</v>
      </c>
      <c r="D231" s="47"/>
      <c r="E231" s="47" t="b">
        <f>IFERROR(__xludf.DUMMYFUNCTION("""COMPUTED_VALUE"""),TRUE)</f>
        <v>1</v>
      </c>
      <c r="F231" s="47" t="str">
        <f>IFERROR(__xludf.DUMMYFUNCTION("""COMPUTED_VALUE"""),"")</f>
        <v/>
      </c>
      <c r="G231" s="47" t="str">
        <f>IFERROR(__xludf.DUMMYFUNCTION("""COMPUTED_VALUE"""),"")</f>
        <v/>
      </c>
      <c r="H231" s="47"/>
      <c r="I231" s="47">
        <f>IFERROR(__xludf.DUMMYFUNCTION("""COMPUTED_VALUE"""),2.0)</f>
        <v>2</v>
      </c>
      <c r="J231" s="47" t="str">
        <f>IFERROR(__xludf.DUMMYFUNCTION("""COMPUTED_VALUE"""),"https:")</f>
        <v>https:</v>
      </c>
      <c r="K231" s="78" t="str">
        <f>IFERROR(__xludf.DUMMYFUNCTION("""COMPUTED_VALUE"""),"www.munzee.com")</f>
        <v>www.munzee.com</v>
      </c>
      <c r="L231" s="47" t="str">
        <f>IFERROR(__xludf.DUMMYFUNCTION("""COMPUTED_VALUE"""),"m")</f>
        <v>m</v>
      </c>
      <c r="M231" s="47" t="str">
        <f>IFERROR(__xludf.DUMMYFUNCTION("""COMPUTED_VALUE"""),"fsafranek")</f>
        <v>fsafranek</v>
      </c>
    </row>
    <row r="232">
      <c r="A232" s="47" t="str">
        <f>IFERROR(__xludf.DUMMYFUNCTION("""COMPUTED_VALUE"""),"Virtual Raw Sienna")</f>
        <v>Virtual Raw Sienna</v>
      </c>
      <c r="B232" s="47" t="str">
        <f>IFERROR(__xludf.DUMMYFUNCTION("""COMPUTED_VALUE"""),"IggiePiggie")</f>
        <v>IggiePiggie</v>
      </c>
      <c r="C232" s="78" t="str">
        <f>IFERROR(__xludf.DUMMYFUNCTION("""COMPUTED_VALUE"""),"https://www.munzee.com/m/IggiePiggie/1779/")</f>
        <v>https://www.munzee.com/m/IggiePiggie/1779/</v>
      </c>
      <c r="D232" s="47"/>
      <c r="E232" s="47" t="b">
        <f>IFERROR(__xludf.DUMMYFUNCTION("""COMPUTED_VALUE"""),TRUE)</f>
        <v>1</v>
      </c>
      <c r="F232" s="47" t="str">
        <f>IFERROR(__xludf.DUMMYFUNCTION("""COMPUTED_VALUE"""),"")</f>
        <v/>
      </c>
      <c r="G232" s="47" t="str">
        <f>IFERROR(__xludf.DUMMYFUNCTION("""COMPUTED_VALUE"""),"")</f>
        <v/>
      </c>
      <c r="H232" s="47"/>
      <c r="I232" s="47">
        <f>IFERROR(__xludf.DUMMYFUNCTION("""COMPUTED_VALUE"""),2.0)</f>
        <v>2</v>
      </c>
      <c r="J232" s="47" t="str">
        <f>IFERROR(__xludf.DUMMYFUNCTION("""COMPUTED_VALUE"""),"https:")</f>
        <v>https:</v>
      </c>
      <c r="K232" s="78" t="str">
        <f>IFERROR(__xludf.DUMMYFUNCTION("""COMPUTED_VALUE"""),"www.munzee.com")</f>
        <v>www.munzee.com</v>
      </c>
      <c r="L232" s="47" t="str">
        <f>IFERROR(__xludf.DUMMYFUNCTION("""COMPUTED_VALUE"""),"m")</f>
        <v>m</v>
      </c>
      <c r="M232" s="47" t="str">
        <f>IFERROR(__xludf.DUMMYFUNCTION("""COMPUTED_VALUE"""),"IggiePiggie")</f>
        <v>IggiePiggie</v>
      </c>
    </row>
    <row r="233">
      <c r="A233" s="47" t="str">
        <f>IFERROR(__xludf.DUMMYFUNCTION("""COMPUTED_VALUE"""),"Virtual Brown")</f>
        <v>Virtual Brown</v>
      </c>
      <c r="B233" s="47" t="str">
        <f>IFERROR(__xludf.DUMMYFUNCTION("""COMPUTED_VALUE"""),"JackSparrow")</f>
        <v>JackSparrow</v>
      </c>
      <c r="C233" s="78" t="str">
        <f>IFERROR(__xludf.DUMMYFUNCTION("""COMPUTED_VALUE"""),"https://www.munzee.com/m/JackSparrow/19353")</f>
        <v>https://www.munzee.com/m/JackSparrow/19353</v>
      </c>
      <c r="D233" s="47"/>
      <c r="E233" s="47" t="b">
        <f>IFERROR(__xludf.DUMMYFUNCTION("""COMPUTED_VALUE"""),TRUE)</f>
        <v>1</v>
      </c>
      <c r="F233" s="47" t="str">
        <f>IFERROR(__xludf.DUMMYFUNCTION("""COMPUTED_VALUE"""),"")</f>
        <v/>
      </c>
      <c r="G233" s="47" t="str">
        <f>IFERROR(__xludf.DUMMYFUNCTION("""COMPUTED_VALUE"""),"")</f>
        <v/>
      </c>
      <c r="H233" s="47"/>
      <c r="I233" s="47">
        <f>IFERROR(__xludf.DUMMYFUNCTION("""COMPUTED_VALUE"""),2.0)</f>
        <v>2</v>
      </c>
      <c r="J233" s="47" t="str">
        <f>IFERROR(__xludf.DUMMYFUNCTION("""COMPUTED_VALUE"""),"https:")</f>
        <v>https:</v>
      </c>
      <c r="K233" s="78" t="str">
        <f>IFERROR(__xludf.DUMMYFUNCTION("""COMPUTED_VALUE"""),"www.munzee.com")</f>
        <v>www.munzee.com</v>
      </c>
      <c r="L233" s="47" t="str">
        <f>IFERROR(__xludf.DUMMYFUNCTION("""COMPUTED_VALUE"""),"m")</f>
        <v>m</v>
      </c>
      <c r="M233" s="47" t="str">
        <f>IFERROR(__xludf.DUMMYFUNCTION("""COMPUTED_VALUE"""),"JackSparrow")</f>
        <v>JackSparrow</v>
      </c>
    </row>
    <row r="234">
      <c r="A234" s="47" t="str">
        <f>IFERROR(__xludf.DUMMYFUNCTION("""COMPUTED_VALUE"""),"Virtual Brown")</f>
        <v>Virtual Brown</v>
      </c>
      <c r="B234" s="47" t="str">
        <f>IFERROR(__xludf.DUMMYFUNCTION("""COMPUTED_VALUE"""),"barefootguru")</f>
        <v>barefootguru</v>
      </c>
      <c r="C234" s="78" t="str">
        <f>IFERROR(__xludf.DUMMYFUNCTION("""COMPUTED_VALUE"""),"https://www.munzee.com/m/barefootguru/3094/")</f>
        <v>https://www.munzee.com/m/barefootguru/3094/</v>
      </c>
      <c r="D234" s="47"/>
      <c r="E234" s="47" t="b">
        <f>IFERROR(__xludf.DUMMYFUNCTION("""COMPUTED_VALUE"""),TRUE)</f>
        <v>1</v>
      </c>
      <c r="F234" s="47" t="str">
        <f>IFERROR(__xludf.DUMMYFUNCTION("""COMPUTED_VALUE"""),"")</f>
        <v/>
      </c>
      <c r="G234" s="47" t="str">
        <f>IFERROR(__xludf.DUMMYFUNCTION("""COMPUTED_VALUE"""),"")</f>
        <v/>
      </c>
      <c r="H234" s="47"/>
      <c r="I234" s="47">
        <f>IFERROR(__xludf.DUMMYFUNCTION("""COMPUTED_VALUE"""),2.0)</f>
        <v>2</v>
      </c>
      <c r="J234" s="47" t="str">
        <f>IFERROR(__xludf.DUMMYFUNCTION("""COMPUTED_VALUE"""),"https:")</f>
        <v>https:</v>
      </c>
      <c r="K234" s="78" t="str">
        <f>IFERROR(__xludf.DUMMYFUNCTION("""COMPUTED_VALUE"""),"www.munzee.com")</f>
        <v>www.munzee.com</v>
      </c>
      <c r="L234" s="47" t="str">
        <f>IFERROR(__xludf.DUMMYFUNCTION("""COMPUTED_VALUE"""),"m")</f>
        <v>m</v>
      </c>
      <c r="M234" s="47" t="str">
        <f>IFERROR(__xludf.DUMMYFUNCTION("""COMPUTED_VALUE"""),"barefootguru")</f>
        <v>barefootguru</v>
      </c>
    </row>
    <row r="235">
      <c r="A235" s="47" t="str">
        <f>IFERROR(__xludf.DUMMYFUNCTION("""COMPUTED_VALUE"""),"Virtual Raw Sienna")</f>
        <v>Virtual Raw Sienna</v>
      </c>
      <c r="B235" s="47" t="str">
        <f>IFERROR(__xludf.DUMMYFUNCTION("""COMPUTED_VALUE"""),"Benotje")</f>
        <v>Benotje</v>
      </c>
      <c r="C235" s="78" t="str">
        <f>IFERROR(__xludf.DUMMYFUNCTION("""COMPUTED_VALUE"""),"https://www.munzee.com/m/benotje/1356/")</f>
        <v>https://www.munzee.com/m/benotje/1356/</v>
      </c>
      <c r="D235" s="47"/>
      <c r="E235" s="47" t="b">
        <f>IFERROR(__xludf.DUMMYFUNCTION("""COMPUTED_VALUE"""),TRUE)</f>
        <v>1</v>
      </c>
      <c r="F235" s="47" t="str">
        <f>IFERROR(__xludf.DUMMYFUNCTION("""COMPUTED_VALUE"""),"")</f>
        <v/>
      </c>
      <c r="G235" s="47" t="str">
        <f>IFERROR(__xludf.DUMMYFUNCTION("""COMPUTED_VALUE"""),"")</f>
        <v/>
      </c>
      <c r="H235" s="47"/>
      <c r="I235" s="47">
        <f>IFERROR(__xludf.DUMMYFUNCTION("""COMPUTED_VALUE"""),2.0)</f>
        <v>2</v>
      </c>
      <c r="J235" s="47" t="str">
        <f>IFERROR(__xludf.DUMMYFUNCTION("""COMPUTED_VALUE"""),"https:")</f>
        <v>https:</v>
      </c>
      <c r="K235" s="78" t="str">
        <f>IFERROR(__xludf.DUMMYFUNCTION("""COMPUTED_VALUE"""),"www.munzee.com")</f>
        <v>www.munzee.com</v>
      </c>
      <c r="L235" s="47" t="str">
        <f>IFERROR(__xludf.DUMMYFUNCTION("""COMPUTED_VALUE"""),"m")</f>
        <v>m</v>
      </c>
      <c r="M235" s="47" t="str">
        <f>IFERROR(__xludf.DUMMYFUNCTION("""COMPUTED_VALUE"""),"benotje")</f>
        <v>benotje</v>
      </c>
    </row>
    <row r="236">
      <c r="A236" s="47" t="str">
        <f>IFERROR(__xludf.DUMMYFUNCTION("""COMPUTED_VALUE"""),"Virtual Brown")</f>
        <v>Virtual Brown</v>
      </c>
      <c r="B236" s="47" t="str">
        <f>IFERROR(__xludf.DUMMYFUNCTION("""COMPUTED_VALUE"""),"cbf600")</f>
        <v>cbf600</v>
      </c>
      <c r="C236" s="78" t="str">
        <f>IFERROR(__xludf.DUMMYFUNCTION("""COMPUTED_VALUE"""),"https://www.munzee.com/m/cbf600/2253/")</f>
        <v>https://www.munzee.com/m/cbf600/2253/</v>
      </c>
      <c r="D236" s="47"/>
      <c r="E236" s="47" t="b">
        <f>IFERROR(__xludf.DUMMYFUNCTION("""COMPUTED_VALUE"""),TRUE)</f>
        <v>1</v>
      </c>
      <c r="F236" s="47" t="str">
        <f>IFERROR(__xludf.DUMMYFUNCTION("""COMPUTED_VALUE"""),"")</f>
        <v/>
      </c>
      <c r="G236" s="47" t="str">
        <f>IFERROR(__xludf.DUMMYFUNCTION("""COMPUTED_VALUE"""),"")</f>
        <v/>
      </c>
      <c r="H236" s="47"/>
      <c r="I236" s="47">
        <f>IFERROR(__xludf.DUMMYFUNCTION("""COMPUTED_VALUE"""),2.0)</f>
        <v>2</v>
      </c>
      <c r="J236" s="47" t="str">
        <f>IFERROR(__xludf.DUMMYFUNCTION("""COMPUTED_VALUE"""),"https:")</f>
        <v>https:</v>
      </c>
      <c r="K236" s="78" t="str">
        <f>IFERROR(__xludf.DUMMYFUNCTION("""COMPUTED_VALUE"""),"www.munzee.com")</f>
        <v>www.munzee.com</v>
      </c>
      <c r="L236" s="47" t="str">
        <f>IFERROR(__xludf.DUMMYFUNCTION("""COMPUTED_VALUE"""),"m")</f>
        <v>m</v>
      </c>
      <c r="M236" s="47" t="str">
        <f>IFERROR(__xludf.DUMMYFUNCTION("""COMPUTED_VALUE"""),"cbf600")</f>
        <v>cbf600</v>
      </c>
    </row>
    <row r="237">
      <c r="A237" s="47" t="str">
        <f>IFERROR(__xludf.DUMMYFUNCTION("""COMPUTED_VALUE"""),"Virtual Raw Sienna")</f>
        <v>Virtual Raw Sienna</v>
      </c>
      <c r="B237" s="47" t="str">
        <f>IFERROR(__xludf.DUMMYFUNCTION("""COMPUTED_VALUE"""),"Aniara")</f>
        <v>Aniara</v>
      </c>
      <c r="C237" s="78" t="str">
        <f>IFERROR(__xludf.DUMMYFUNCTION("""COMPUTED_VALUE"""),"https://www.munzee.com/m/Aniara/6429/")</f>
        <v>https://www.munzee.com/m/Aniara/6429/</v>
      </c>
      <c r="D237" s="47"/>
      <c r="E237" s="47" t="b">
        <f>IFERROR(__xludf.DUMMYFUNCTION("""COMPUTED_VALUE"""),TRUE)</f>
        <v>1</v>
      </c>
      <c r="F237" s="47" t="str">
        <f>IFERROR(__xludf.DUMMYFUNCTION("""COMPUTED_VALUE"""),"")</f>
        <v/>
      </c>
      <c r="G237" s="47" t="str">
        <f>IFERROR(__xludf.DUMMYFUNCTION("""COMPUTED_VALUE"""),"")</f>
        <v/>
      </c>
      <c r="H237" s="47"/>
      <c r="I237" s="47">
        <f>IFERROR(__xludf.DUMMYFUNCTION("""COMPUTED_VALUE"""),2.0)</f>
        <v>2</v>
      </c>
      <c r="J237" s="47" t="str">
        <f>IFERROR(__xludf.DUMMYFUNCTION("""COMPUTED_VALUE"""),"https:")</f>
        <v>https:</v>
      </c>
      <c r="K237" s="78" t="str">
        <f>IFERROR(__xludf.DUMMYFUNCTION("""COMPUTED_VALUE"""),"www.munzee.com")</f>
        <v>www.munzee.com</v>
      </c>
      <c r="L237" s="47" t="str">
        <f>IFERROR(__xludf.DUMMYFUNCTION("""COMPUTED_VALUE"""),"m")</f>
        <v>m</v>
      </c>
      <c r="M237" s="47" t="str">
        <f>IFERROR(__xludf.DUMMYFUNCTION("""COMPUTED_VALUE"""),"Aniara")</f>
        <v>Aniara</v>
      </c>
    </row>
    <row r="238">
      <c r="A238" s="47" t="str">
        <f>IFERROR(__xludf.DUMMYFUNCTION("""COMPUTED_VALUE"""),"Virtual Brown")</f>
        <v>Virtual Brown</v>
      </c>
      <c r="B238" s="47" t="str">
        <f>IFERROR(__xludf.DUMMYFUNCTION("""COMPUTED_VALUE"""),"bambinacattiva")</f>
        <v>bambinacattiva</v>
      </c>
      <c r="C238" s="78" t="str">
        <f>IFERROR(__xludf.DUMMYFUNCTION("""COMPUTED_VALUE"""),"https://www.munzee.com/m/Bambinacattiva/659/")</f>
        <v>https://www.munzee.com/m/Bambinacattiva/659/</v>
      </c>
      <c r="D238" s="47"/>
      <c r="E238" s="47" t="b">
        <f>IFERROR(__xludf.DUMMYFUNCTION("""COMPUTED_VALUE"""),TRUE)</f>
        <v>1</v>
      </c>
      <c r="F238" s="47" t="str">
        <f>IFERROR(__xludf.DUMMYFUNCTION("""COMPUTED_VALUE"""),"")</f>
        <v/>
      </c>
      <c r="G238" s="47" t="str">
        <f>IFERROR(__xludf.DUMMYFUNCTION("""COMPUTED_VALUE"""),"")</f>
        <v/>
      </c>
      <c r="H238" s="47"/>
      <c r="I238" s="47">
        <f>IFERROR(__xludf.DUMMYFUNCTION("""COMPUTED_VALUE"""),2.0)</f>
        <v>2</v>
      </c>
      <c r="J238" s="47" t="str">
        <f>IFERROR(__xludf.DUMMYFUNCTION("""COMPUTED_VALUE"""),"https:")</f>
        <v>https:</v>
      </c>
      <c r="K238" s="78" t="str">
        <f>IFERROR(__xludf.DUMMYFUNCTION("""COMPUTED_VALUE"""),"www.munzee.com")</f>
        <v>www.munzee.com</v>
      </c>
      <c r="L238" s="47" t="str">
        <f>IFERROR(__xludf.DUMMYFUNCTION("""COMPUTED_VALUE"""),"m")</f>
        <v>m</v>
      </c>
      <c r="M238" s="47" t="str">
        <f>IFERROR(__xludf.DUMMYFUNCTION("""COMPUTED_VALUE"""),"Bambinacattiva")</f>
        <v>Bambinacattiva</v>
      </c>
    </row>
    <row r="239">
      <c r="A239" s="47" t="str">
        <f>IFERROR(__xludf.DUMMYFUNCTION("""COMPUTED_VALUE"""),"Virtual Brown")</f>
        <v>Virtual Brown</v>
      </c>
      <c r="B239" s="47" t="str">
        <f>IFERROR(__xludf.DUMMYFUNCTION("""COMPUTED_VALUE"""),"GroteSufferd")</f>
        <v>GroteSufferd</v>
      </c>
      <c r="C239" s="78" t="str">
        <f>IFERROR(__xludf.DUMMYFUNCTION("""COMPUTED_VALUE"""),"https://www.munzee.com/m/GroteSufferd/321/")</f>
        <v>https://www.munzee.com/m/GroteSufferd/321/</v>
      </c>
      <c r="D239" s="47"/>
      <c r="E239" s="47" t="b">
        <f>IFERROR(__xludf.DUMMYFUNCTION("""COMPUTED_VALUE"""),TRUE)</f>
        <v>1</v>
      </c>
      <c r="F239" s="47" t="str">
        <f>IFERROR(__xludf.DUMMYFUNCTION("""COMPUTED_VALUE"""),"")</f>
        <v/>
      </c>
      <c r="G239" s="47" t="str">
        <f>IFERROR(__xludf.DUMMYFUNCTION("""COMPUTED_VALUE"""),"")</f>
        <v/>
      </c>
      <c r="H239" s="47"/>
      <c r="I239" s="47">
        <f>IFERROR(__xludf.DUMMYFUNCTION("""COMPUTED_VALUE"""),2.0)</f>
        <v>2</v>
      </c>
      <c r="J239" s="47" t="str">
        <f>IFERROR(__xludf.DUMMYFUNCTION("""COMPUTED_VALUE"""),"https:")</f>
        <v>https:</v>
      </c>
      <c r="K239" s="78" t="str">
        <f>IFERROR(__xludf.DUMMYFUNCTION("""COMPUTED_VALUE"""),"www.munzee.com")</f>
        <v>www.munzee.com</v>
      </c>
      <c r="L239" s="47" t="str">
        <f>IFERROR(__xludf.DUMMYFUNCTION("""COMPUTED_VALUE"""),"m")</f>
        <v>m</v>
      </c>
      <c r="M239" s="47" t="str">
        <f>IFERROR(__xludf.DUMMYFUNCTION("""COMPUTED_VALUE"""),"GroteSufferd")</f>
        <v>GroteSufferd</v>
      </c>
    </row>
    <row r="240">
      <c r="A240" s="47" t="str">
        <f>IFERROR(__xludf.DUMMYFUNCTION("""COMPUTED_VALUE"""),"Virtual Brown")</f>
        <v>Virtual Brown</v>
      </c>
      <c r="B240" s="47" t="str">
        <f>IFERROR(__xludf.DUMMYFUNCTION("""COMPUTED_VALUE"""),"Bisquick2")</f>
        <v>Bisquick2</v>
      </c>
      <c r="C240" s="78" t="str">
        <f>IFERROR(__xludf.DUMMYFUNCTION("""COMPUTED_VALUE"""),"https://www.munzee.com/m/Bisquick2/4230/")</f>
        <v>https://www.munzee.com/m/Bisquick2/4230/</v>
      </c>
      <c r="D240" s="82"/>
      <c r="E240" s="47" t="b">
        <f>IFERROR(__xludf.DUMMYFUNCTION("""COMPUTED_VALUE"""),TRUE)</f>
        <v>1</v>
      </c>
      <c r="F240" s="47"/>
      <c r="G240" s="47" t="str">
        <f>IFERROR(__xludf.DUMMYFUNCTION("""COMPUTED_VALUE"""),"")</f>
        <v/>
      </c>
      <c r="H240" s="47"/>
      <c r="I240" s="47">
        <f>IFERROR(__xludf.DUMMYFUNCTION("""COMPUTED_VALUE"""),2.0)</f>
        <v>2</v>
      </c>
      <c r="J240" s="47" t="str">
        <f>IFERROR(__xludf.DUMMYFUNCTION("""COMPUTED_VALUE"""),"https:")</f>
        <v>https:</v>
      </c>
      <c r="K240" s="78" t="str">
        <f>IFERROR(__xludf.DUMMYFUNCTION("""COMPUTED_VALUE"""),"www.munzee.com")</f>
        <v>www.munzee.com</v>
      </c>
      <c r="L240" s="47" t="str">
        <f>IFERROR(__xludf.DUMMYFUNCTION("""COMPUTED_VALUE"""),"m")</f>
        <v>m</v>
      </c>
      <c r="M240" s="47" t="str">
        <f>IFERROR(__xludf.DUMMYFUNCTION("""COMPUTED_VALUE"""),"Bisquick2")</f>
        <v>Bisquick2</v>
      </c>
    </row>
    <row r="241">
      <c r="A241" s="47" t="str">
        <f>IFERROR(__xludf.DUMMYFUNCTION("""COMPUTED_VALUE"""),"Virtual Brown")</f>
        <v>Virtual Brown</v>
      </c>
      <c r="B241" s="47" t="str">
        <f>IFERROR(__xludf.DUMMYFUNCTION("""COMPUTED_VALUE"""),"OdinsFiRe")</f>
        <v>OdinsFiRe</v>
      </c>
      <c r="C241" s="78" t="str">
        <f>IFERROR(__xludf.DUMMYFUNCTION("""COMPUTED_VALUE"""),"https://www.munzee.com/m/OdinsFiRe/1533")</f>
        <v>https://www.munzee.com/m/OdinsFiRe/1533</v>
      </c>
      <c r="D241" s="82"/>
      <c r="E241" s="47" t="b">
        <f>IFERROR(__xludf.DUMMYFUNCTION("""COMPUTED_VALUE"""),TRUE)</f>
        <v>1</v>
      </c>
      <c r="F241" s="47" t="str">
        <f>IFERROR(__xludf.DUMMYFUNCTION("""COMPUTED_VALUE"""),"")</f>
        <v/>
      </c>
      <c r="G241" s="47" t="str">
        <f>IFERROR(__xludf.DUMMYFUNCTION("""COMPUTED_VALUE"""),"")</f>
        <v/>
      </c>
      <c r="H241" s="47"/>
      <c r="I241" s="47">
        <f>IFERROR(__xludf.DUMMYFUNCTION("""COMPUTED_VALUE"""),2.0)</f>
        <v>2</v>
      </c>
      <c r="J241" s="47" t="str">
        <f>IFERROR(__xludf.DUMMYFUNCTION("""COMPUTED_VALUE"""),"https:")</f>
        <v>https:</v>
      </c>
      <c r="K241" s="78" t="str">
        <f>IFERROR(__xludf.DUMMYFUNCTION("""COMPUTED_VALUE"""),"www.munzee.com")</f>
        <v>www.munzee.com</v>
      </c>
      <c r="L241" s="47" t="str">
        <f>IFERROR(__xludf.DUMMYFUNCTION("""COMPUTED_VALUE"""),"m")</f>
        <v>m</v>
      </c>
      <c r="M241" s="47" t="str">
        <f>IFERROR(__xludf.DUMMYFUNCTION("""COMPUTED_VALUE"""),"OdinsFiRe")</f>
        <v>OdinsFiRe</v>
      </c>
    </row>
    <row r="242">
      <c r="A242" s="47" t="str">
        <f>IFERROR(__xludf.DUMMYFUNCTION("""COMPUTED_VALUE"""),"Virtual Brown")</f>
        <v>Virtual Brown</v>
      </c>
      <c r="B242" s="47" t="str">
        <f>IFERROR(__xludf.DUMMYFUNCTION("""COMPUTED_VALUE"""),"5Star")</f>
        <v>5Star</v>
      </c>
      <c r="C242" s="78" t="str">
        <f>IFERROR(__xludf.DUMMYFUNCTION("""COMPUTED_VALUE"""),"https://www.munzee.com/m/5Star/5720/")</f>
        <v>https://www.munzee.com/m/5Star/5720/</v>
      </c>
      <c r="D242" s="47"/>
      <c r="E242" s="47" t="b">
        <f>IFERROR(__xludf.DUMMYFUNCTION("""COMPUTED_VALUE"""),TRUE)</f>
        <v>1</v>
      </c>
      <c r="F242" s="47" t="str">
        <f>IFERROR(__xludf.DUMMYFUNCTION("""COMPUTED_VALUE"""),"")</f>
        <v/>
      </c>
      <c r="G242" s="47" t="str">
        <f>IFERROR(__xludf.DUMMYFUNCTION("""COMPUTED_VALUE"""),"")</f>
        <v/>
      </c>
      <c r="H242" s="47"/>
      <c r="I242" s="47">
        <f>IFERROR(__xludf.DUMMYFUNCTION("""COMPUTED_VALUE"""),2.0)</f>
        <v>2</v>
      </c>
      <c r="J242" s="47" t="str">
        <f>IFERROR(__xludf.DUMMYFUNCTION("""COMPUTED_VALUE"""),"https:")</f>
        <v>https:</v>
      </c>
      <c r="K242" s="78" t="str">
        <f>IFERROR(__xludf.DUMMYFUNCTION("""COMPUTED_VALUE"""),"www.munzee.com")</f>
        <v>www.munzee.com</v>
      </c>
      <c r="L242" s="47" t="str">
        <f>IFERROR(__xludf.DUMMYFUNCTION("""COMPUTED_VALUE"""),"m")</f>
        <v>m</v>
      </c>
      <c r="M242" s="47" t="str">
        <f>IFERROR(__xludf.DUMMYFUNCTION("""COMPUTED_VALUE"""),"5Star")</f>
        <v>5Star</v>
      </c>
    </row>
    <row r="243">
      <c r="A243" s="47" t="str">
        <f>IFERROR(__xludf.DUMMYFUNCTION("""COMPUTED_VALUE"""),"Virtual Brown")</f>
        <v>Virtual Brown</v>
      </c>
      <c r="B243" s="47" t="str">
        <f>IFERROR(__xludf.DUMMYFUNCTION("""COMPUTED_VALUE"""),"Wangotango")</f>
        <v>Wangotango</v>
      </c>
      <c r="C243" s="78" t="str">
        <f>IFERROR(__xludf.DUMMYFUNCTION("""COMPUTED_VALUE"""),"https://www.munzee.com/m/Wangotango/1210/")</f>
        <v>https://www.munzee.com/m/Wangotango/1210/</v>
      </c>
      <c r="D243" s="47"/>
      <c r="E243" s="47" t="b">
        <f>IFERROR(__xludf.DUMMYFUNCTION("""COMPUTED_VALUE"""),TRUE)</f>
        <v>1</v>
      </c>
      <c r="F243" s="47" t="str">
        <f>IFERROR(__xludf.DUMMYFUNCTION("""COMPUTED_VALUE"""),"")</f>
        <v/>
      </c>
      <c r="G243" s="47" t="str">
        <f>IFERROR(__xludf.DUMMYFUNCTION("""COMPUTED_VALUE"""),"")</f>
        <v/>
      </c>
      <c r="H243" s="47"/>
      <c r="I243" s="47">
        <f>IFERROR(__xludf.DUMMYFUNCTION("""COMPUTED_VALUE"""),2.0)</f>
        <v>2</v>
      </c>
      <c r="J243" s="47" t="str">
        <f>IFERROR(__xludf.DUMMYFUNCTION("""COMPUTED_VALUE"""),"https:")</f>
        <v>https:</v>
      </c>
      <c r="K243" s="78" t="str">
        <f>IFERROR(__xludf.DUMMYFUNCTION("""COMPUTED_VALUE"""),"www.munzee.com")</f>
        <v>www.munzee.com</v>
      </c>
      <c r="L243" s="47" t="str">
        <f>IFERROR(__xludf.DUMMYFUNCTION("""COMPUTED_VALUE"""),"m")</f>
        <v>m</v>
      </c>
      <c r="M243" s="47" t="str">
        <f>IFERROR(__xludf.DUMMYFUNCTION("""COMPUTED_VALUE"""),"Wangotango")</f>
        <v>Wangotango</v>
      </c>
    </row>
    <row r="244">
      <c r="A244" s="47" t="str">
        <f>IFERROR(__xludf.DUMMYFUNCTION("""COMPUTED_VALUE"""),"Virtual Brown")</f>
        <v>Virtual Brown</v>
      </c>
      <c r="B244" s="47" t="str">
        <f>IFERROR(__xludf.DUMMYFUNCTION("""COMPUTED_VALUE"""),"Belladivadee")</f>
        <v>Belladivadee</v>
      </c>
      <c r="C244" s="78" t="str">
        <f>IFERROR(__xludf.DUMMYFUNCTION("""COMPUTED_VALUE"""),"https://www.munzee.com/m/belladivadee/2975/")</f>
        <v>https://www.munzee.com/m/belladivadee/2975/</v>
      </c>
      <c r="D244" s="47"/>
      <c r="E244" s="47" t="b">
        <f>IFERROR(__xludf.DUMMYFUNCTION("""COMPUTED_VALUE"""),TRUE)</f>
        <v>1</v>
      </c>
      <c r="F244" s="47" t="str">
        <f>IFERROR(__xludf.DUMMYFUNCTION("""COMPUTED_VALUE"""),"")</f>
        <v/>
      </c>
      <c r="G244" s="47" t="str">
        <f>IFERROR(__xludf.DUMMYFUNCTION("""COMPUTED_VALUE"""),"")</f>
        <v/>
      </c>
      <c r="H244" s="47"/>
      <c r="I244" s="47">
        <f>IFERROR(__xludf.DUMMYFUNCTION("""COMPUTED_VALUE"""),2.0)</f>
        <v>2</v>
      </c>
      <c r="J244" s="47" t="str">
        <f>IFERROR(__xludf.DUMMYFUNCTION("""COMPUTED_VALUE"""),"https:")</f>
        <v>https:</v>
      </c>
      <c r="K244" s="78" t="str">
        <f>IFERROR(__xludf.DUMMYFUNCTION("""COMPUTED_VALUE"""),"www.munzee.com")</f>
        <v>www.munzee.com</v>
      </c>
      <c r="L244" s="47" t="str">
        <f>IFERROR(__xludf.DUMMYFUNCTION("""COMPUTED_VALUE"""),"m")</f>
        <v>m</v>
      </c>
      <c r="M244" s="47" t="str">
        <f>IFERROR(__xludf.DUMMYFUNCTION("""COMPUTED_VALUE"""),"belladivadee")</f>
        <v>belladivadee</v>
      </c>
    </row>
    <row r="245">
      <c r="A245" s="47" t="str">
        <f>IFERROR(__xludf.DUMMYFUNCTION("""COMPUTED_VALUE"""),"Virtual Raw Sienna")</f>
        <v>Virtual Raw Sienna</v>
      </c>
      <c r="B245" s="47" t="str">
        <f>IFERROR(__xludf.DUMMYFUNCTION("""COMPUTED_VALUE"""),"pikespice")</f>
        <v>pikespice</v>
      </c>
      <c r="C245" s="78" t="str">
        <f>IFERROR(__xludf.DUMMYFUNCTION("""COMPUTED_VALUE"""),"https://www.munzee.com/m/pikespice/6074/")</f>
        <v>https://www.munzee.com/m/pikespice/6074/</v>
      </c>
      <c r="D245" s="47"/>
      <c r="E245" s="47" t="b">
        <f>IFERROR(__xludf.DUMMYFUNCTION("""COMPUTED_VALUE"""),TRUE)</f>
        <v>1</v>
      </c>
      <c r="F245" s="47" t="str">
        <f>IFERROR(__xludf.DUMMYFUNCTION("""COMPUTED_VALUE"""),"")</f>
        <v/>
      </c>
      <c r="G245" s="47" t="str">
        <f>IFERROR(__xludf.DUMMYFUNCTION("""COMPUTED_VALUE"""),"")</f>
        <v/>
      </c>
      <c r="H245" s="47"/>
      <c r="I245" s="47">
        <f>IFERROR(__xludf.DUMMYFUNCTION("""COMPUTED_VALUE"""),2.0)</f>
        <v>2</v>
      </c>
      <c r="J245" s="47" t="str">
        <f>IFERROR(__xludf.DUMMYFUNCTION("""COMPUTED_VALUE"""),"https:")</f>
        <v>https:</v>
      </c>
      <c r="K245" s="78" t="str">
        <f>IFERROR(__xludf.DUMMYFUNCTION("""COMPUTED_VALUE"""),"www.munzee.com")</f>
        <v>www.munzee.com</v>
      </c>
      <c r="L245" s="47" t="str">
        <f>IFERROR(__xludf.DUMMYFUNCTION("""COMPUTED_VALUE"""),"m")</f>
        <v>m</v>
      </c>
      <c r="M245" s="47" t="str">
        <f>IFERROR(__xludf.DUMMYFUNCTION("""COMPUTED_VALUE"""),"pikespice")</f>
        <v>pikespice</v>
      </c>
    </row>
    <row r="246">
      <c r="A246" s="47" t="str">
        <f>IFERROR(__xludf.DUMMYFUNCTION("""COMPUTED_VALUE"""),"Virtual Brown")</f>
        <v>Virtual Brown</v>
      </c>
      <c r="B246" s="47" t="str">
        <f>IFERROR(__xludf.DUMMYFUNCTION("""COMPUTED_VALUE"""),"jwg68")</f>
        <v>jwg68</v>
      </c>
      <c r="C246" s="78" t="str">
        <f>IFERROR(__xludf.DUMMYFUNCTION("""COMPUTED_VALUE"""),"https://www.munzee.com/m/jwg68/1251/")</f>
        <v>https://www.munzee.com/m/jwg68/1251/</v>
      </c>
      <c r="D246" s="47"/>
      <c r="E246" s="47" t="b">
        <f>IFERROR(__xludf.DUMMYFUNCTION("""COMPUTED_VALUE"""),TRUE)</f>
        <v>1</v>
      </c>
      <c r="F246" s="47" t="str">
        <f>IFERROR(__xludf.DUMMYFUNCTION("""COMPUTED_VALUE"""),"")</f>
        <v/>
      </c>
      <c r="G246" s="47" t="str">
        <f>IFERROR(__xludf.DUMMYFUNCTION("""COMPUTED_VALUE"""),"")</f>
        <v/>
      </c>
      <c r="H246" s="47"/>
      <c r="I246" s="47">
        <f>IFERROR(__xludf.DUMMYFUNCTION("""COMPUTED_VALUE"""),2.0)</f>
        <v>2</v>
      </c>
      <c r="J246" s="47" t="str">
        <f>IFERROR(__xludf.DUMMYFUNCTION("""COMPUTED_VALUE"""),"https:")</f>
        <v>https:</v>
      </c>
      <c r="K246" s="78" t="str">
        <f>IFERROR(__xludf.DUMMYFUNCTION("""COMPUTED_VALUE"""),"www.munzee.com")</f>
        <v>www.munzee.com</v>
      </c>
      <c r="L246" s="47" t="str">
        <f>IFERROR(__xludf.DUMMYFUNCTION("""COMPUTED_VALUE"""),"m")</f>
        <v>m</v>
      </c>
      <c r="M246" s="47" t="str">
        <f>IFERROR(__xludf.DUMMYFUNCTION("""COMPUTED_VALUE"""),"jwg68")</f>
        <v>jwg68</v>
      </c>
    </row>
    <row r="247">
      <c r="A247" s="47" t="str">
        <f>IFERROR(__xludf.DUMMYFUNCTION("""COMPUTED_VALUE"""),"Virtual Brown")</f>
        <v>Virtual Brown</v>
      </c>
      <c r="B247" s="47" t="str">
        <f>IFERROR(__xludf.DUMMYFUNCTION("""COMPUTED_VALUE"""),"FlatBlack")</f>
        <v>FlatBlack</v>
      </c>
      <c r="C247" s="78" t="str">
        <f>IFERROR(__xludf.DUMMYFUNCTION("""COMPUTED_VALUE"""),"https://www.munzee.com/m/FlatBlack/722/")</f>
        <v>https://www.munzee.com/m/FlatBlack/722/</v>
      </c>
      <c r="D247" s="47"/>
      <c r="E247" s="47" t="b">
        <f>IFERROR(__xludf.DUMMYFUNCTION("""COMPUTED_VALUE"""),TRUE)</f>
        <v>1</v>
      </c>
      <c r="F247" s="47" t="str">
        <f>IFERROR(__xludf.DUMMYFUNCTION("""COMPUTED_VALUE"""),"")</f>
        <v/>
      </c>
      <c r="G247" s="47" t="str">
        <f>IFERROR(__xludf.DUMMYFUNCTION("""COMPUTED_VALUE"""),"")</f>
        <v/>
      </c>
      <c r="H247" s="47"/>
      <c r="I247" s="47">
        <f>IFERROR(__xludf.DUMMYFUNCTION("""COMPUTED_VALUE"""),2.0)</f>
        <v>2</v>
      </c>
      <c r="J247" s="47" t="str">
        <f>IFERROR(__xludf.DUMMYFUNCTION("""COMPUTED_VALUE"""),"https:")</f>
        <v>https:</v>
      </c>
      <c r="K247" s="78" t="str">
        <f>IFERROR(__xludf.DUMMYFUNCTION("""COMPUTED_VALUE"""),"www.munzee.com")</f>
        <v>www.munzee.com</v>
      </c>
      <c r="L247" s="47" t="str">
        <f>IFERROR(__xludf.DUMMYFUNCTION("""COMPUTED_VALUE"""),"m")</f>
        <v>m</v>
      </c>
      <c r="M247" s="47" t="str">
        <f>IFERROR(__xludf.DUMMYFUNCTION("""COMPUTED_VALUE"""),"FlatBlack")</f>
        <v>FlatBlack</v>
      </c>
    </row>
    <row r="248">
      <c r="A248" s="47" t="str">
        <f>IFERROR(__xludf.DUMMYFUNCTION("""COMPUTED_VALUE"""),"Virtual Raw Sienna")</f>
        <v>Virtual Raw Sienna</v>
      </c>
      <c r="B248" s="47" t="str">
        <f>IFERROR(__xludf.DUMMYFUNCTION("""COMPUTED_VALUE"""),"wally62")</f>
        <v>wally62</v>
      </c>
      <c r="C248" s="78" t="str">
        <f>IFERROR(__xludf.DUMMYFUNCTION("""COMPUTED_VALUE"""),"https://www.munzee.com/m/wally62/4798/")</f>
        <v>https://www.munzee.com/m/wally62/4798/</v>
      </c>
      <c r="D248" s="47"/>
      <c r="E248" s="47" t="b">
        <f>IFERROR(__xludf.DUMMYFUNCTION("""COMPUTED_VALUE"""),TRUE)</f>
        <v>1</v>
      </c>
      <c r="F248" s="47"/>
      <c r="G248" s="47" t="str">
        <f>IFERROR(__xludf.DUMMYFUNCTION("""COMPUTED_VALUE"""),"")</f>
        <v/>
      </c>
      <c r="H248" s="47"/>
      <c r="I248" s="47">
        <f>IFERROR(__xludf.DUMMYFUNCTION("""COMPUTED_VALUE"""),2.0)</f>
        <v>2</v>
      </c>
      <c r="J248" s="47" t="str">
        <f>IFERROR(__xludf.DUMMYFUNCTION("""COMPUTED_VALUE"""),"https:")</f>
        <v>https:</v>
      </c>
      <c r="K248" s="78" t="str">
        <f>IFERROR(__xludf.DUMMYFUNCTION("""COMPUTED_VALUE"""),"www.munzee.com")</f>
        <v>www.munzee.com</v>
      </c>
      <c r="L248" s="47" t="str">
        <f>IFERROR(__xludf.DUMMYFUNCTION("""COMPUTED_VALUE"""),"m")</f>
        <v>m</v>
      </c>
      <c r="M248" s="47" t="str">
        <f>IFERROR(__xludf.DUMMYFUNCTION("""COMPUTED_VALUE"""),"wally62")</f>
        <v>wally62</v>
      </c>
    </row>
    <row r="249">
      <c r="A249" s="47" t="str">
        <f>IFERROR(__xludf.DUMMYFUNCTION("""COMPUTED_VALUE"""),"Virtual Brown")</f>
        <v>Virtual Brown</v>
      </c>
      <c r="B249" s="47" t="str">
        <f>IFERROR(__xludf.DUMMYFUNCTION("""COMPUTED_VALUE"""),"TheFrog")</f>
        <v>TheFrog</v>
      </c>
      <c r="C249" s="78" t="str">
        <f>IFERROR(__xludf.DUMMYFUNCTION("""COMPUTED_VALUE"""),"https://www.munzee.com/m/TheFrog/4071/")</f>
        <v>https://www.munzee.com/m/TheFrog/4071/</v>
      </c>
      <c r="D249" s="47"/>
      <c r="E249" s="47" t="b">
        <f>IFERROR(__xludf.DUMMYFUNCTION("""COMPUTED_VALUE"""),TRUE)</f>
        <v>1</v>
      </c>
      <c r="F249" s="47" t="str">
        <f>IFERROR(__xludf.DUMMYFUNCTION("""COMPUTED_VALUE"""),"")</f>
        <v/>
      </c>
      <c r="G249" s="47" t="str">
        <f>IFERROR(__xludf.DUMMYFUNCTION("""COMPUTED_VALUE"""),"")</f>
        <v/>
      </c>
      <c r="H249" s="47"/>
      <c r="I249" s="47">
        <f>IFERROR(__xludf.DUMMYFUNCTION("""COMPUTED_VALUE"""),2.0)</f>
        <v>2</v>
      </c>
      <c r="J249" s="47" t="str">
        <f>IFERROR(__xludf.DUMMYFUNCTION("""COMPUTED_VALUE"""),"https:")</f>
        <v>https:</v>
      </c>
      <c r="K249" s="78" t="str">
        <f>IFERROR(__xludf.DUMMYFUNCTION("""COMPUTED_VALUE"""),"www.munzee.com")</f>
        <v>www.munzee.com</v>
      </c>
      <c r="L249" s="47" t="str">
        <f>IFERROR(__xludf.DUMMYFUNCTION("""COMPUTED_VALUE"""),"m")</f>
        <v>m</v>
      </c>
      <c r="M249" s="47" t="str">
        <f>IFERROR(__xludf.DUMMYFUNCTION("""COMPUTED_VALUE"""),"TheFrog")</f>
        <v>TheFrog</v>
      </c>
    </row>
    <row r="250">
      <c r="A250" s="47" t="str">
        <f>IFERROR(__xludf.DUMMYFUNCTION("""COMPUTED_VALUE"""),"Virtual Brown")</f>
        <v>Virtual Brown</v>
      </c>
      <c r="B250" s="47" t="str">
        <f>IFERROR(__xludf.DUMMYFUNCTION("""COMPUTED_VALUE"""),"123xilef")</f>
        <v>123xilef</v>
      </c>
      <c r="C250" s="78" t="str">
        <f>IFERROR(__xludf.DUMMYFUNCTION("""COMPUTED_VALUE"""),"https://www.munzee.com/m/123xilef/6713/")</f>
        <v>https://www.munzee.com/m/123xilef/6713/</v>
      </c>
      <c r="D250" s="47"/>
      <c r="E250" s="47" t="b">
        <f>IFERROR(__xludf.DUMMYFUNCTION("""COMPUTED_VALUE"""),TRUE)</f>
        <v>1</v>
      </c>
      <c r="F250" s="47" t="str">
        <f>IFERROR(__xludf.DUMMYFUNCTION("""COMPUTED_VALUE"""),"")</f>
        <v/>
      </c>
      <c r="G250" s="47" t="str">
        <f>IFERROR(__xludf.DUMMYFUNCTION("""COMPUTED_VALUE"""),"")</f>
        <v/>
      </c>
      <c r="H250" s="47"/>
      <c r="I250" s="47">
        <f>IFERROR(__xludf.DUMMYFUNCTION("""COMPUTED_VALUE"""),2.0)</f>
        <v>2</v>
      </c>
      <c r="J250" s="47" t="str">
        <f>IFERROR(__xludf.DUMMYFUNCTION("""COMPUTED_VALUE"""),"https:")</f>
        <v>https:</v>
      </c>
      <c r="K250" s="78" t="str">
        <f>IFERROR(__xludf.DUMMYFUNCTION("""COMPUTED_VALUE"""),"www.munzee.com")</f>
        <v>www.munzee.com</v>
      </c>
      <c r="L250" s="47" t="str">
        <f>IFERROR(__xludf.DUMMYFUNCTION("""COMPUTED_VALUE"""),"m")</f>
        <v>m</v>
      </c>
      <c r="M250" s="47" t="str">
        <f>IFERROR(__xludf.DUMMYFUNCTION("""COMPUTED_VALUE"""),"123xilef")</f>
        <v>123xilef</v>
      </c>
    </row>
    <row r="251">
      <c r="A251" s="47" t="str">
        <f>IFERROR(__xludf.DUMMYFUNCTION("""COMPUTED_VALUE"""),"Virtual Raw Sienna")</f>
        <v>Virtual Raw Sienna</v>
      </c>
      <c r="B251" s="47" t="str">
        <f>IFERROR(__xludf.DUMMYFUNCTION("""COMPUTED_VALUE"""),"Trappertje")</f>
        <v>Trappertje</v>
      </c>
      <c r="C251" s="78" t="str">
        <f>IFERROR(__xludf.DUMMYFUNCTION("""COMPUTED_VALUE"""),"https://www.munzee.com/m/Trappertje/4596/")</f>
        <v>https://www.munzee.com/m/Trappertje/4596/</v>
      </c>
      <c r="D251" s="47"/>
      <c r="E251" s="47" t="b">
        <f>IFERROR(__xludf.DUMMYFUNCTION("""COMPUTED_VALUE"""),TRUE)</f>
        <v>1</v>
      </c>
      <c r="F251" s="47" t="str">
        <f>IFERROR(__xludf.DUMMYFUNCTION("""COMPUTED_VALUE"""),"")</f>
        <v/>
      </c>
      <c r="G251" s="47" t="str">
        <f>IFERROR(__xludf.DUMMYFUNCTION("""COMPUTED_VALUE"""),"")</f>
        <v/>
      </c>
      <c r="H251" s="47"/>
      <c r="I251" s="47">
        <f>IFERROR(__xludf.DUMMYFUNCTION("""COMPUTED_VALUE"""),2.0)</f>
        <v>2</v>
      </c>
      <c r="J251" s="47" t="str">
        <f>IFERROR(__xludf.DUMMYFUNCTION("""COMPUTED_VALUE"""),"https:")</f>
        <v>https:</v>
      </c>
      <c r="K251" s="78" t="str">
        <f>IFERROR(__xludf.DUMMYFUNCTION("""COMPUTED_VALUE"""),"www.munzee.com")</f>
        <v>www.munzee.com</v>
      </c>
      <c r="L251" s="47" t="str">
        <f>IFERROR(__xludf.DUMMYFUNCTION("""COMPUTED_VALUE"""),"m")</f>
        <v>m</v>
      </c>
      <c r="M251" s="47" t="str">
        <f>IFERROR(__xludf.DUMMYFUNCTION("""COMPUTED_VALUE"""),"Trappertje")</f>
        <v>Trappertje</v>
      </c>
    </row>
    <row r="252">
      <c r="A252" s="47" t="str">
        <f>IFERROR(__xludf.DUMMYFUNCTION("""COMPUTED_VALUE"""),"Virtual Brown")</f>
        <v>Virtual Brown</v>
      </c>
      <c r="B252" s="47" t="str">
        <f>IFERROR(__xludf.DUMMYFUNCTION("""COMPUTED_VALUE"""),"EmileP68")</f>
        <v>EmileP68</v>
      </c>
      <c r="C252" s="78" t="str">
        <f>IFERROR(__xludf.DUMMYFUNCTION("""COMPUTED_VALUE"""),"https://www.munzee.com/m/EmileP68/3088/")</f>
        <v>https://www.munzee.com/m/EmileP68/3088/</v>
      </c>
      <c r="D252" s="47"/>
      <c r="E252" s="47" t="b">
        <f>IFERROR(__xludf.DUMMYFUNCTION("""COMPUTED_VALUE"""),TRUE)</f>
        <v>1</v>
      </c>
      <c r="F252" s="47" t="str">
        <f>IFERROR(__xludf.DUMMYFUNCTION("""COMPUTED_VALUE"""),"")</f>
        <v/>
      </c>
      <c r="G252" s="47" t="str">
        <f>IFERROR(__xludf.DUMMYFUNCTION("""COMPUTED_VALUE"""),"")</f>
        <v/>
      </c>
      <c r="H252" s="47"/>
      <c r="I252" s="47">
        <f>IFERROR(__xludf.DUMMYFUNCTION("""COMPUTED_VALUE"""),2.0)</f>
        <v>2</v>
      </c>
      <c r="J252" s="47" t="str">
        <f>IFERROR(__xludf.DUMMYFUNCTION("""COMPUTED_VALUE"""),"https:")</f>
        <v>https:</v>
      </c>
      <c r="K252" s="78" t="str">
        <f>IFERROR(__xludf.DUMMYFUNCTION("""COMPUTED_VALUE"""),"www.munzee.com")</f>
        <v>www.munzee.com</v>
      </c>
      <c r="L252" s="47" t="str">
        <f>IFERROR(__xludf.DUMMYFUNCTION("""COMPUTED_VALUE"""),"m")</f>
        <v>m</v>
      </c>
      <c r="M252" s="47" t="str">
        <f>IFERROR(__xludf.DUMMYFUNCTION("""COMPUTED_VALUE"""),"EmileP68")</f>
        <v>EmileP68</v>
      </c>
    </row>
    <row r="253">
      <c r="A253" s="47" t="str">
        <f>IFERROR(__xludf.DUMMYFUNCTION("""COMPUTED_VALUE"""),"Virtual Brown")</f>
        <v>Virtual Brown</v>
      </c>
      <c r="B253" s="47" t="str">
        <f>IFERROR(__xludf.DUMMYFUNCTION("""COMPUTED_VALUE"""),"sverlaan")</f>
        <v>sverlaan</v>
      </c>
      <c r="C253" s="78" t="str">
        <f>IFERROR(__xludf.DUMMYFUNCTION("""COMPUTED_VALUE"""),"https://www.munzee.com/m/sverlaan/4104/")</f>
        <v>https://www.munzee.com/m/sverlaan/4104/</v>
      </c>
      <c r="D253" s="82"/>
      <c r="E253" s="47" t="b">
        <f>IFERROR(__xludf.DUMMYFUNCTION("""COMPUTED_VALUE"""),TRUE)</f>
        <v>1</v>
      </c>
      <c r="F253" s="47" t="str">
        <f>IFERROR(__xludf.DUMMYFUNCTION("""COMPUTED_VALUE"""),"")</f>
        <v/>
      </c>
      <c r="G253" s="47" t="str">
        <f>IFERROR(__xludf.DUMMYFUNCTION("""COMPUTED_VALUE"""),"")</f>
        <v/>
      </c>
      <c r="H253" s="47"/>
      <c r="I253" s="47">
        <f>IFERROR(__xludf.DUMMYFUNCTION("""COMPUTED_VALUE"""),2.0)</f>
        <v>2</v>
      </c>
      <c r="J253" s="47" t="str">
        <f>IFERROR(__xludf.DUMMYFUNCTION("""COMPUTED_VALUE"""),"https:")</f>
        <v>https:</v>
      </c>
      <c r="K253" s="78" t="str">
        <f>IFERROR(__xludf.DUMMYFUNCTION("""COMPUTED_VALUE"""),"www.munzee.com")</f>
        <v>www.munzee.com</v>
      </c>
      <c r="L253" s="47" t="str">
        <f>IFERROR(__xludf.DUMMYFUNCTION("""COMPUTED_VALUE"""),"m")</f>
        <v>m</v>
      </c>
      <c r="M253" s="47" t="str">
        <f>IFERROR(__xludf.DUMMYFUNCTION("""COMPUTED_VALUE"""),"sverlaan")</f>
        <v>sverlaan</v>
      </c>
    </row>
    <row r="254">
      <c r="A254" s="47" t="str">
        <f>IFERROR(__xludf.DUMMYFUNCTION("""COMPUTED_VALUE"""),"Virtual Brown")</f>
        <v>Virtual Brown</v>
      </c>
      <c r="B254" s="47" t="str">
        <f>IFERROR(__xludf.DUMMYFUNCTION("""COMPUTED_VALUE"""),"PawPatrolThomas")</f>
        <v>PawPatrolThomas</v>
      </c>
      <c r="C254" s="78" t="str">
        <f>IFERROR(__xludf.DUMMYFUNCTION("""COMPUTED_VALUE"""),"https://www.munzee.com/m/PawPatrolThomas/2278/")</f>
        <v>https://www.munzee.com/m/PawPatrolThomas/2278/</v>
      </c>
      <c r="D254" s="47"/>
      <c r="E254" s="47" t="b">
        <f>IFERROR(__xludf.DUMMYFUNCTION("""COMPUTED_VALUE"""),TRUE)</f>
        <v>1</v>
      </c>
      <c r="F254" s="47" t="str">
        <f>IFERROR(__xludf.DUMMYFUNCTION("""COMPUTED_VALUE"""),"")</f>
        <v/>
      </c>
      <c r="G254" s="47" t="str">
        <f>IFERROR(__xludf.DUMMYFUNCTION("""COMPUTED_VALUE"""),"")</f>
        <v/>
      </c>
      <c r="H254" s="47"/>
      <c r="I254" s="47">
        <f>IFERROR(__xludf.DUMMYFUNCTION("""COMPUTED_VALUE"""),2.0)</f>
        <v>2</v>
      </c>
      <c r="J254" s="47" t="str">
        <f>IFERROR(__xludf.DUMMYFUNCTION("""COMPUTED_VALUE"""),"https:")</f>
        <v>https:</v>
      </c>
      <c r="K254" s="78" t="str">
        <f>IFERROR(__xludf.DUMMYFUNCTION("""COMPUTED_VALUE"""),"www.munzee.com")</f>
        <v>www.munzee.com</v>
      </c>
      <c r="L254" s="47" t="str">
        <f>IFERROR(__xludf.DUMMYFUNCTION("""COMPUTED_VALUE"""),"m")</f>
        <v>m</v>
      </c>
      <c r="M254" s="47" t="str">
        <f>IFERROR(__xludf.DUMMYFUNCTION("""COMPUTED_VALUE"""),"PawPatrolThomas")</f>
        <v>PawPatrolThomas</v>
      </c>
    </row>
    <row r="255">
      <c r="A255" s="47" t="str">
        <f>IFERROR(__xludf.DUMMYFUNCTION("""COMPUTED_VALUE"""),"Virtual Brown")</f>
        <v>Virtual Brown</v>
      </c>
      <c r="B255" s="47" t="str">
        <f>IFERROR(__xludf.DUMMYFUNCTION("""COMPUTED_VALUE"""),"Questing4 ")</f>
        <v>Questing4 </v>
      </c>
      <c r="C255" s="78" t="str">
        <f>IFERROR(__xludf.DUMMYFUNCTION("""COMPUTED_VALUE"""),"https://www.munzee.com/m/Questing4/7052")</f>
        <v>https://www.munzee.com/m/Questing4/7052</v>
      </c>
      <c r="D255" s="47"/>
      <c r="E255" s="47" t="b">
        <f>IFERROR(__xludf.DUMMYFUNCTION("""COMPUTED_VALUE"""),TRUE)</f>
        <v>1</v>
      </c>
      <c r="F255" s="47" t="str">
        <f>IFERROR(__xludf.DUMMYFUNCTION("""COMPUTED_VALUE"""),"")</f>
        <v/>
      </c>
      <c r="G255" s="47" t="str">
        <f>IFERROR(__xludf.DUMMYFUNCTION("""COMPUTED_VALUE"""),"")</f>
        <v/>
      </c>
      <c r="H255" s="47"/>
      <c r="I255" s="47">
        <f>IFERROR(__xludf.DUMMYFUNCTION("""COMPUTED_VALUE"""),2.0)</f>
        <v>2</v>
      </c>
      <c r="J255" s="47" t="str">
        <f>IFERROR(__xludf.DUMMYFUNCTION("""COMPUTED_VALUE"""),"https:")</f>
        <v>https:</v>
      </c>
      <c r="K255" s="78" t="str">
        <f>IFERROR(__xludf.DUMMYFUNCTION("""COMPUTED_VALUE"""),"www.munzee.com")</f>
        <v>www.munzee.com</v>
      </c>
      <c r="L255" s="47" t="str">
        <f>IFERROR(__xludf.DUMMYFUNCTION("""COMPUTED_VALUE"""),"m")</f>
        <v>m</v>
      </c>
      <c r="M255" s="47" t="str">
        <f>IFERROR(__xludf.DUMMYFUNCTION("""COMPUTED_VALUE"""),"Questing4")</f>
        <v>Questing4</v>
      </c>
    </row>
    <row r="256">
      <c r="A256" s="47" t="str">
        <f>IFERROR(__xludf.DUMMYFUNCTION("""COMPUTED_VALUE"""),"Virtual Brown")</f>
        <v>Virtual Brown</v>
      </c>
      <c r="B256" s="47" t="str">
        <f>IFERROR(__xludf.DUMMYFUNCTION("""COMPUTED_VALUE"""),"Fossillady")</f>
        <v>Fossillady</v>
      </c>
      <c r="C256" s="78" t="str">
        <f>IFERROR(__xludf.DUMMYFUNCTION("""COMPUTED_VALUE"""),"https://www.munzee.com/m/Fossillady/3331/")</f>
        <v>https://www.munzee.com/m/Fossillady/3331/</v>
      </c>
      <c r="D256" s="47"/>
      <c r="E256" s="47" t="b">
        <f>IFERROR(__xludf.DUMMYFUNCTION("""COMPUTED_VALUE"""),TRUE)</f>
        <v>1</v>
      </c>
      <c r="F256" s="47" t="str">
        <f>IFERROR(__xludf.DUMMYFUNCTION("""COMPUTED_VALUE"""),"")</f>
        <v/>
      </c>
      <c r="G256" s="47" t="str">
        <f>IFERROR(__xludf.DUMMYFUNCTION("""COMPUTED_VALUE"""),"")</f>
        <v/>
      </c>
      <c r="H256" s="47"/>
      <c r="I256" s="47">
        <f>IFERROR(__xludf.DUMMYFUNCTION("""COMPUTED_VALUE"""),2.0)</f>
        <v>2</v>
      </c>
      <c r="J256" s="47" t="str">
        <f>IFERROR(__xludf.DUMMYFUNCTION("""COMPUTED_VALUE"""),"https:")</f>
        <v>https:</v>
      </c>
      <c r="K256" s="78" t="str">
        <f>IFERROR(__xludf.DUMMYFUNCTION("""COMPUTED_VALUE"""),"www.munzee.com")</f>
        <v>www.munzee.com</v>
      </c>
      <c r="L256" s="47" t="str">
        <f>IFERROR(__xludf.DUMMYFUNCTION("""COMPUTED_VALUE"""),"m")</f>
        <v>m</v>
      </c>
      <c r="M256" s="47" t="str">
        <f>IFERROR(__xludf.DUMMYFUNCTION("""COMPUTED_VALUE"""),"Fossillady")</f>
        <v>Fossillady</v>
      </c>
    </row>
    <row r="257">
      <c r="A257" s="47" t="str">
        <f>IFERROR(__xludf.DUMMYFUNCTION("""COMPUTED_VALUE"""),"Virtual Brown")</f>
        <v>Virtual Brown</v>
      </c>
      <c r="B257" s="47" t="str">
        <f>IFERROR(__xludf.DUMMYFUNCTION("""COMPUTED_VALUE"""),"ivwarrior")</f>
        <v>ivwarrior</v>
      </c>
      <c r="C257" s="78" t="str">
        <f>IFERROR(__xludf.DUMMYFUNCTION("""COMPUTED_VALUE"""),"https://www.munzee.com/m/ivwarrior/4736/")</f>
        <v>https://www.munzee.com/m/ivwarrior/4736/</v>
      </c>
      <c r="D257" s="47"/>
      <c r="E257" s="47" t="b">
        <f>IFERROR(__xludf.DUMMYFUNCTION("""COMPUTED_VALUE"""),TRUE)</f>
        <v>1</v>
      </c>
      <c r="F257" s="47" t="str">
        <f>IFERROR(__xludf.DUMMYFUNCTION("""COMPUTED_VALUE"""),"")</f>
        <v/>
      </c>
      <c r="G257" s="47" t="str">
        <f>IFERROR(__xludf.DUMMYFUNCTION("""COMPUTED_VALUE"""),"")</f>
        <v/>
      </c>
      <c r="H257" s="47"/>
      <c r="I257" s="47">
        <f>IFERROR(__xludf.DUMMYFUNCTION("""COMPUTED_VALUE"""),2.0)</f>
        <v>2</v>
      </c>
      <c r="J257" s="47" t="str">
        <f>IFERROR(__xludf.DUMMYFUNCTION("""COMPUTED_VALUE"""),"https:")</f>
        <v>https:</v>
      </c>
      <c r="K257" s="78" t="str">
        <f>IFERROR(__xludf.DUMMYFUNCTION("""COMPUTED_VALUE"""),"www.munzee.com")</f>
        <v>www.munzee.com</v>
      </c>
      <c r="L257" s="47" t="str">
        <f>IFERROR(__xludf.DUMMYFUNCTION("""COMPUTED_VALUE"""),"m")</f>
        <v>m</v>
      </c>
      <c r="M257" s="47" t="str">
        <f>IFERROR(__xludf.DUMMYFUNCTION("""COMPUTED_VALUE"""),"ivwarrior")</f>
        <v>ivwarrior</v>
      </c>
    </row>
    <row r="258">
      <c r="A258" s="47" t="str">
        <f>IFERROR(__xludf.DUMMYFUNCTION("""COMPUTED_VALUE"""),"Virtual Raw Sienna")</f>
        <v>Virtual Raw Sienna</v>
      </c>
      <c r="B258" s="47" t="str">
        <f>IFERROR(__xludf.DUMMYFUNCTION("""COMPUTED_VALUE"""),"upapou")</f>
        <v>upapou</v>
      </c>
      <c r="C258" s="78" t="str">
        <f>IFERROR(__xludf.DUMMYFUNCTION("""COMPUTED_VALUE"""),"https://www.munzee.com/m/upapou/970/")</f>
        <v>https://www.munzee.com/m/upapou/970/</v>
      </c>
      <c r="D258" s="47"/>
      <c r="E258" s="47" t="b">
        <f>IFERROR(__xludf.DUMMYFUNCTION("""COMPUTED_VALUE"""),TRUE)</f>
        <v>1</v>
      </c>
      <c r="F258" s="47" t="str">
        <f>IFERROR(__xludf.DUMMYFUNCTION("""COMPUTED_VALUE"""),"")</f>
        <v/>
      </c>
      <c r="G258" s="47" t="str">
        <f>IFERROR(__xludf.DUMMYFUNCTION("""COMPUTED_VALUE"""),"")</f>
        <v/>
      </c>
      <c r="H258" s="47"/>
      <c r="I258" s="47">
        <f>IFERROR(__xludf.DUMMYFUNCTION("""COMPUTED_VALUE"""),2.0)</f>
        <v>2</v>
      </c>
      <c r="J258" s="47" t="str">
        <f>IFERROR(__xludf.DUMMYFUNCTION("""COMPUTED_VALUE"""),"https:")</f>
        <v>https:</v>
      </c>
      <c r="K258" s="78" t="str">
        <f>IFERROR(__xludf.DUMMYFUNCTION("""COMPUTED_VALUE"""),"www.munzee.com")</f>
        <v>www.munzee.com</v>
      </c>
      <c r="L258" s="47" t="str">
        <f>IFERROR(__xludf.DUMMYFUNCTION("""COMPUTED_VALUE"""),"m")</f>
        <v>m</v>
      </c>
      <c r="M258" s="47" t="str">
        <f>IFERROR(__xludf.DUMMYFUNCTION("""COMPUTED_VALUE"""),"upapou")</f>
        <v>upapou</v>
      </c>
    </row>
    <row r="259">
      <c r="A259" s="47" t="str">
        <f>IFERROR(__xludf.DUMMYFUNCTION("""COMPUTED_VALUE"""),"Virtual Raw Sienna")</f>
        <v>Virtual Raw Sienna</v>
      </c>
      <c r="B259" s="47" t="str">
        <f>IFERROR(__xludf.DUMMYFUNCTION("""COMPUTED_VALUE"""),"CBF600")</f>
        <v>CBF600</v>
      </c>
      <c r="C259" s="78" t="str">
        <f>IFERROR(__xludf.DUMMYFUNCTION("""COMPUTED_VALUE"""),"https://www.munzee.com/m/cbf600/2252/")</f>
        <v>https://www.munzee.com/m/cbf600/2252/</v>
      </c>
      <c r="D259" s="47"/>
      <c r="E259" s="47" t="b">
        <f>IFERROR(__xludf.DUMMYFUNCTION("""COMPUTED_VALUE"""),TRUE)</f>
        <v>1</v>
      </c>
      <c r="F259" s="47" t="str">
        <f>IFERROR(__xludf.DUMMYFUNCTION("""COMPUTED_VALUE"""),"")</f>
        <v/>
      </c>
      <c r="G259" s="47" t="str">
        <f>IFERROR(__xludf.DUMMYFUNCTION("""COMPUTED_VALUE"""),"")</f>
        <v/>
      </c>
      <c r="H259" s="47"/>
      <c r="I259" s="47">
        <f>IFERROR(__xludf.DUMMYFUNCTION("""COMPUTED_VALUE"""),2.0)</f>
        <v>2</v>
      </c>
      <c r="J259" s="47" t="str">
        <f>IFERROR(__xludf.DUMMYFUNCTION("""COMPUTED_VALUE"""),"https:")</f>
        <v>https:</v>
      </c>
      <c r="K259" s="78" t="str">
        <f>IFERROR(__xludf.DUMMYFUNCTION("""COMPUTED_VALUE"""),"www.munzee.com")</f>
        <v>www.munzee.com</v>
      </c>
      <c r="L259" s="47" t="str">
        <f>IFERROR(__xludf.DUMMYFUNCTION("""COMPUTED_VALUE"""),"m")</f>
        <v>m</v>
      </c>
      <c r="M259" s="47" t="str">
        <f>IFERROR(__xludf.DUMMYFUNCTION("""COMPUTED_VALUE"""),"cbf600")</f>
        <v>cbf600</v>
      </c>
    </row>
    <row r="260">
      <c r="A260" s="47" t="str">
        <f>IFERROR(__xludf.DUMMYFUNCTION("""COMPUTED_VALUE"""),"Virtual Brown")</f>
        <v>Virtual Brown</v>
      </c>
      <c r="B260" s="47" t="str">
        <f>IFERROR(__xludf.DUMMYFUNCTION("""COMPUTED_VALUE"""),"Andrew81")</f>
        <v>Andrew81</v>
      </c>
      <c r="C260" s="78" t="str">
        <f>IFERROR(__xludf.DUMMYFUNCTION("""COMPUTED_VALUE"""),"https://www.munzee.com/m/Andrew81/1359")</f>
        <v>https://www.munzee.com/m/Andrew81/1359</v>
      </c>
      <c r="D260" s="47"/>
      <c r="E260" s="47" t="b">
        <f>IFERROR(__xludf.DUMMYFUNCTION("""COMPUTED_VALUE"""),TRUE)</f>
        <v>1</v>
      </c>
      <c r="F260" s="47" t="str">
        <f>IFERROR(__xludf.DUMMYFUNCTION("""COMPUTED_VALUE"""),"")</f>
        <v/>
      </c>
      <c r="G260" s="47" t="str">
        <f>IFERROR(__xludf.DUMMYFUNCTION("""COMPUTED_VALUE"""),"")</f>
        <v/>
      </c>
      <c r="H260" s="47"/>
      <c r="I260" s="47">
        <f>IFERROR(__xludf.DUMMYFUNCTION("""COMPUTED_VALUE"""),2.0)</f>
        <v>2</v>
      </c>
      <c r="J260" s="47" t="str">
        <f>IFERROR(__xludf.DUMMYFUNCTION("""COMPUTED_VALUE"""),"https:")</f>
        <v>https:</v>
      </c>
      <c r="K260" s="78" t="str">
        <f>IFERROR(__xludf.DUMMYFUNCTION("""COMPUTED_VALUE"""),"www.munzee.com")</f>
        <v>www.munzee.com</v>
      </c>
      <c r="L260" s="47" t="str">
        <f>IFERROR(__xludf.DUMMYFUNCTION("""COMPUTED_VALUE"""),"m")</f>
        <v>m</v>
      </c>
      <c r="M260" s="47" t="str">
        <f>IFERROR(__xludf.DUMMYFUNCTION("""COMPUTED_VALUE"""),"Andrew81")</f>
        <v>Andrew81</v>
      </c>
    </row>
    <row r="261">
      <c r="A261" s="47" t="str">
        <f>IFERROR(__xludf.DUMMYFUNCTION("""COMPUTED_VALUE"""),"Virtual Brown")</f>
        <v>Virtual Brown</v>
      </c>
      <c r="B261" s="47" t="str">
        <f>IFERROR(__xludf.DUMMYFUNCTION("""COMPUTED_VALUE"""),"sverlaan")</f>
        <v>sverlaan</v>
      </c>
      <c r="C261" s="78" t="str">
        <f>IFERROR(__xludf.DUMMYFUNCTION("""COMPUTED_VALUE"""),"https://www.munzee.com/m/sverlaan/4123/")</f>
        <v>https://www.munzee.com/m/sverlaan/4123/</v>
      </c>
      <c r="D261" s="47"/>
      <c r="E261" s="47" t="b">
        <f>IFERROR(__xludf.DUMMYFUNCTION("""COMPUTED_VALUE"""),TRUE)</f>
        <v>1</v>
      </c>
      <c r="F261" s="47" t="str">
        <f>IFERROR(__xludf.DUMMYFUNCTION("""COMPUTED_VALUE"""),"")</f>
        <v/>
      </c>
      <c r="G261" s="47" t="str">
        <f>IFERROR(__xludf.DUMMYFUNCTION("""COMPUTED_VALUE"""),"")</f>
        <v/>
      </c>
      <c r="H261" s="47"/>
      <c r="I261" s="47">
        <f>IFERROR(__xludf.DUMMYFUNCTION("""COMPUTED_VALUE"""),2.0)</f>
        <v>2</v>
      </c>
      <c r="J261" s="47" t="str">
        <f>IFERROR(__xludf.DUMMYFUNCTION("""COMPUTED_VALUE"""),"https:")</f>
        <v>https:</v>
      </c>
      <c r="K261" s="78" t="str">
        <f>IFERROR(__xludf.DUMMYFUNCTION("""COMPUTED_VALUE"""),"www.munzee.com")</f>
        <v>www.munzee.com</v>
      </c>
      <c r="L261" s="47" t="str">
        <f>IFERROR(__xludf.DUMMYFUNCTION("""COMPUTED_VALUE"""),"m")</f>
        <v>m</v>
      </c>
      <c r="M261" s="47" t="str">
        <f>IFERROR(__xludf.DUMMYFUNCTION("""COMPUTED_VALUE"""),"sverlaan")</f>
        <v>sverlaan</v>
      </c>
    </row>
    <row r="262">
      <c r="A262" s="47" t="str">
        <f>IFERROR(__xludf.DUMMYFUNCTION("""COMPUTED_VALUE"""),"Virtual Brown")</f>
        <v>Virtual Brown</v>
      </c>
      <c r="B262" s="47" t="str">
        <f>IFERROR(__xludf.DUMMYFUNCTION("""COMPUTED_VALUE"""),"emilep68")</f>
        <v>emilep68</v>
      </c>
      <c r="C262" s="78" t="str">
        <f>IFERROR(__xludf.DUMMYFUNCTION("""COMPUTED_VALUE"""),"https://www.munzee.com/m/EmileP68/2893/")</f>
        <v>https://www.munzee.com/m/EmileP68/2893/</v>
      </c>
      <c r="D262" s="47"/>
      <c r="E262" s="47" t="b">
        <f>IFERROR(__xludf.DUMMYFUNCTION("""COMPUTED_VALUE"""),TRUE)</f>
        <v>1</v>
      </c>
      <c r="F262" s="47" t="str">
        <f>IFERROR(__xludf.DUMMYFUNCTION("""COMPUTED_VALUE"""),"")</f>
        <v/>
      </c>
      <c r="G262" s="47" t="str">
        <f>IFERROR(__xludf.DUMMYFUNCTION("""COMPUTED_VALUE"""),"")</f>
        <v/>
      </c>
      <c r="H262" s="47"/>
      <c r="I262" s="47">
        <f>IFERROR(__xludf.DUMMYFUNCTION("""COMPUTED_VALUE"""),2.0)</f>
        <v>2</v>
      </c>
      <c r="J262" s="47" t="str">
        <f>IFERROR(__xludf.DUMMYFUNCTION("""COMPUTED_VALUE"""),"https:")</f>
        <v>https:</v>
      </c>
      <c r="K262" s="78" t="str">
        <f>IFERROR(__xludf.DUMMYFUNCTION("""COMPUTED_VALUE"""),"www.munzee.com")</f>
        <v>www.munzee.com</v>
      </c>
      <c r="L262" s="47" t="str">
        <f>IFERROR(__xludf.DUMMYFUNCTION("""COMPUTED_VALUE"""),"m")</f>
        <v>m</v>
      </c>
      <c r="M262" s="47" t="str">
        <f>IFERROR(__xludf.DUMMYFUNCTION("""COMPUTED_VALUE"""),"EmileP68")</f>
        <v>EmileP68</v>
      </c>
    </row>
    <row r="263">
      <c r="A263" s="47" t="str">
        <f>IFERROR(__xludf.DUMMYFUNCTION("""COMPUTED_VALUE"""),"Virtual Raw Sienna")</f>
        <v>Virtual Raw Sienna</v>
      </c>
      <c r="B263" s="47" t="str">
        <f>IFERROR(__xludf.DUMMYFUNCTION("""COMPUTED_VALUE"""),"PawpatrolThomas")</f>
        <v>PawpatrolThomas</v>
      </c>
      <c r="C263" s="78" t="str">
        <f>IFERROR(__xludf.DUMMYFUNCTION("""COMPUTED_VALUE"""),"https://www.munzee.com/m/PawPatrolThomas/2194/")</f>
        <v>https://www.munzee.com/m/PawPatrolThomas/2194/</v>
      </c>
      <c r="D263" s="47"/>
      <c r="E263" s="47" t="b">
        <f>IFERROR(__xludf.DUMMYFUNCTION("""COMPUTED_VALUE"""),TRUE)</f>
        <v>1</v>
      </c>
      <c r="F263" s="47" t="str">
        <f>IFERROR(__xludf.DUMMYFUNCTION("""COMPUTED_VALUE"""),"")</f>
        <v/>
      </c>
      <c r="G263" s="47" t="str">
        <f>IFERROR(__xludf.DUMMYFUNCTION("""COMPUTED_VALUE"""),"")</f>
        <v/>
      </c>
      <c r="H263" s="47"/>
      <c r="I263" s="47">
        <f>IFERROR(__xludf.DUMMYFUNCTION("""COMPUTED_VALUE"""),2.0)</f>
        <v>2</v>
      </c>
      <c r="J263" s="47" t="str">
        <f>IFERROR(__xludf.DUMMYFUNCTION("""COMPUTED_VALUE"""),"https:")</f>
        <v>https:</v>
      </c>
      <c r="K263" s="78" t="str">
        <f>IFERROR(__xludf.DUMMYFUNCTION("""COMPUTED_VALUE"""),"www.munzee.com")</f>
        <v>www.munzee.com</v>
      </c>
      <c r="L263" s="47" t="str">
        <f>IFERROR(__xludf.DUMMYFUNCTION("""COMPUTED_VALUE"""),"m")</f>
        <v>m</v>
      </c>
      <c r="M263" s="47" t="str">
        <f>IFERROR(__xludf.DUMMYFUNCTION("""COMPUTED_VALUE"""),"PawPatrolThomas")</f>
        <v>PawPatrolThomas</v>
      </c>
    </row>
    <row r="264">
      <c r="A264" s="47" t="str">
        <f>IFERROR(__xludf.DUMMYFUNCTION("""COMPUTED_VALUE"""),"Virtual Raw Sienna")</f>
        <v>Virtual Raw Sienna</v>
      </c>
      <c r="B264" s="47" t="str">
        <f>IFERROR(__xludf.DUMMYFUNCTION("""COMPUTED_VALUE"""),"BrotherWilliam")</f>
        <v>BrotherWilliam</v>
      </c>
      <c r="C264" s="78" t="str">
        <f>IFERROR(__xludf.DUMMYFUNCTION("""COMPUTED_VALUE"""),"https://www.munzee.com/m/BrotherWilliam/3878/")</f>
        <v>https://www.munzee.com/m/BrotherWilliam/3878/</v>
      </c>
      <c r="D264" s="47"/>
      <c r="E264" s="47" t="b">
        <f>IFERROR(__xludf.DUMMYFUNCTION("""COMPUTED_VALUE"""),TRUE)</f>
        <v>1</v>
      </c>
      <c r="F264" s="47" t="str">
        <f>IFERROR(__xludf.DUMMYFUNCTION("""COMPUTED_VALUE"""),"")</f>
        <v/>
      </c>
      <c r="G264" s="47" t="str">
        <f>IFERROR(__xludf.DUMMYFUNCTION("""COMPUTED_VALUE"""),"")</f>
        <v/>
      </c>
      <c r="H264" s="47"/>
      <c r="I264" s="47">
        <f>IFERROR(__xludf.DUMMYFUNCTION("""COMPUTED_VALUE"""),2.0)</f>
        <v>2</v>
      </c>
      <c r="J264" s="47" t="str">
        <f>IFERROR(__xludf.DUMMYFUNCTION("""COMPUTED_VALUE"""),"https:")</f>
        <v>https:</v>
      </c>
      <c r="K264" s="78" t="str">
        <f>IFERROR(__xludf.DUMMYFUNCTION("""COMPUTED_VALUE"""),"www.munzee.com")</f>
        <v>www.munzee.com</v>
      </c>
      <c r="L264" s="47" t="str">
        <f>IFERROR(__xludf.DUMMYFUNCTION("""COMPUTED_VALUE"""),"m")</f>
        <v>m</v>
      </c>
      <c r="M264" s="47" t="str">
        <f>IFERROR(__xludf.DUMMYFUNCTION("""COMPUTED_VALUE"""),"BrotherWilliam")</f>
        <v>BrotherWilliam</v>
      </c>
    </row>
    <row r="265">
      <c r="A265" s="47" t="str">
        <f>IFERROR(__xludf.DUMMYFUNCTION("""COMPUTED_VALUE"""),"Virtual Brown")</f>
        <v>Virtual Brown</v>
      </c>
      <c r="B265" s="47" t="str">
        <f>IFERROR(__xludf.DUMMYFUNCTION("""COMPUTED_VALUE"""),"ArtofEco")</f>
        <v>ArtofEco</v>
      </c>
      <c r="C265" s="78" t="str">
        <f>IFERROR(__xludf.DUMMYFUNCTION("""COMPUTED_VALUE"""),"https://www.munzee.com/m/ArtofEco/2900/")</f>
        <v>https://www.munzee.com/m/ArtofEco/2900/</v>
      </c>
      <c r="D265" s="47"/>
      <c r="E265" s="47" t="b">
        <f>IFERROR(__xludf.DUMMYFUNCTION("""COMPUTED_VALUE"""),TRUE)</f>
        <v>1</v>
      </c>
      <c r="F265" s="47" t="str">
        <f>IFERROR(__xludf.DUMMYFUNCTION("""COMPUTED_VALUE"""),"")</f>
        <v/>
      </c>
      <c r="G265" s="47" t="str">
        <f>IFERROR(__xludf.DUMMYFUNCTION("""COMPUTED_VALUE"""),"")</f>
        <v/>
      </c>
      <c r="H265" s="47"/>
      <c r="I265" s="47">
        <f>IFERROR(__xludf.DUMMYFUNCTION("""COMPUTED_VALUE"""),2.0)</f>
        <v>2</v>
      </c>
      <c r="J265" s="47" t="str">
        <f>IFERROR(__xludf.DUMMYFUNCTION("""COMPUTED_VALUE"""),"https:")</f>
        <v>https:</v>
      </c>
      <c r="K265" s="78" t="str">
        <f>IFERROR(__xludf.DUMMYFUNCTION("""COMPUTED_VALUE"""),"www.munzee.com")</f>
        <v>www.munzee.com</v>
      </c>
      <c r="L265" s="47" t="str">
        <f>IFERROR(__xludf.DUMMYFUNCTION("""COMPUTED_VALUE"""),"m")</f>
        <v>m</v>
      </c>
      <c r="M265" s="47" t="str">
        <f>IFERROR(__xludf.DUMMYFUNCTION("""COMPUTED_VALUE"""),"ArtofEco")</f>
        <v>ArtofEco</v>
      </c>
    </row>
    <row r="266">
      <c r="A266" s="47" t="str">
        <f>IFERROR(__xludf.DUMMYFUNCTION("""COMPUTED_VALUE"""),"Virtual Brown")</f>
        <v>Virtual Brown</v>
      </c>
      <c r="B266" s="47" t="str">
        <f>IFERROR(__xludf.DUMMYFUNCTION("""COMPUTED_VALUE"""),"Drazoria")</f>
        <v>Drazoria</v>
      </c>
      <c r="C266" s="78" t="str">
        <f>IFERROR(__xludf.DUMMYFUNCTION("""COMPUTED_VALUE"""),"https://www.munzee.com/m/Drazoria/718")</f>
        <v>https://www.munzee.com/m/Drazoria/718</v>
      </c>
      <c r="D266" s="47"/>
      <c r="E266" s="47" t="b">
        <f>IFERROR(__xludf.DUMMYFUNCTION("""COMPUTED_VALUE"""),TRUE)</f>
        <v>1</v>
      </c>
      <c r="F266" s="47" t="str">
        <f>IFERROR(__xludf.DUMMYFUNCTION("""COMPUTED_VALUE"""),"")</f>
        <v/>
      </c>
      <c r="G266" s="47" t="str">
        <f>IFERROR(__xludf.DUMMYFUNCTION("""COMPUTED_VALUE"""),"")</f>
        <v/>
      </c>
      <c r="H266" s="47"/>
      <c r="I266" s="47">
        <f>IFERROR(__xludf.DUMMYFUNCTION("""COMPUTED_VALUE"""),2.0)</f>
        <v>2</v>
      </c>
      <c r="J266" s="47" t="str">
        <f>IFERROR(__xludf.DUMMYFUNCTION("""COMPUTED_VALUE"""),"https:")</f>
        <v>https:</v>
      </c>
      <c r="K266" s="78" t="str">
        <f>IFERROR(__xludf.DUMMYFUNCTION("""COMPUTED_VALUE"""),"www.munzee.com")</f>
        <v>www.munzee.com</v>
      </c>
      <c r="L266" s="47" t="str">
        <f>IFERROR(__xludf.DUMMYFUNCTION("""COMPUTED_VALUE"""),"m")</f>
        <v>m</v>
      </c>
      <c r="M266" s="47" t="str">
        <f>IFERROR(__xludf.DUMMYFUNCTION("""COMPUTED_VALUE"""),"Drazoria")</f>
        <v>Drazoria</v>
      </c>
    </row>
    <row r="267">
      <c r="A267" s="47" t="str">
        <f>IFERROR(__xludf.DUMMYFUNCTION("""COMPUTED_VALUE"""),"Virtual Brown")</f>
        <v>Virtual Brown</v>
      </c>
      <c r="B267" s="47" t="str">
        <f>IFERROR(__xludf.DUMMYFUNCTION("""COMPUTED_VALUE"""),"Tinake1309")</f>
        <v>Tinake1309</v>
      </c>
      <c r="C267" s="78" t="str">
        <f>IFERROR(__xludf.DUMMYFUNCTION("""COMPUTED_VALUE"""),"https://www.munzee.com/m/Tinake1309/713")</f>
        <v>https://www.munzee.com/m/Tinake1309/713</v>
      </c>
      <c r="D267" s="47"/>
      <c r="E267" s="47" t="b">
        <f>IFERROR(__xludf.DUMMYFUNCTION("""COMPUTED_VALUE"""),TRUE)</f>
        <v>1</v>
      </c>
      <c r="F267" s="47" t="str">
        <f>IFERROR(__xludf.DUMMYFUNCTION("""COMPUTED_VALUE"""),"")</f>
        <v/>
      </c>
      <c r="G267" s="47" t="str">
        <f>IFERROR(__xludf.DUMMYFUNCTION("""COMPUTED_VALUE"""),"")</f>
        <v/>
      </c>
      <c r="H267" s="47"/>
      <c r="I267" s="47">
        <f>IFERROR(__xludf.DUMMYFUNCTION("""COMPUTED_VALUE"""),2.0)</f>
        <v>2</v>
      </c>
      <c r="J267" s="47" t="str">
        <f>IFERROR(__xludf.DUMMYFUNCTION("""COMPUTED_VALUE"""),"https:")</f>
        <v>https:</v>
      </c>
      <c r="K267" s="78" t="str">
        <f>IFERROR(__xludf.DUMMYFUNCTION("""COMPUTED_VALUE"""),"www.munzee.com")</f>
        <v>www.munzee.com</v>
      </c>
      <c r="L267" s="47" t="str">
        <f>IFERROR(__xludf.DUMMYFUNCTION("""COMPUTED_VALUE"""),"m")</f>
        <v>m</v>
      </c>
      <c r="M267" s="47" t="str">
        <f>IFERROR(__xludf.DUMMYFUNCTION("""COMPUTED_VALUE"""),"Tinake1309")</f>
        <v>Tinake1309</v>
      </c>
    </row>
    <row r="268">
      <c r="A268" s="47" t="str">
        <f>IFERROR(__xludf.DUMMYFUNCTION("""COMPUTED_VALUE"""),"Virtual Raw Sienna")</f>
        <v>Virtual Raw Sienna</v>
      </c>
      <c r="B268" s="47" t="str">
        <f>IFERROR(__xludf.DUMMYFUNCTION("""COMPUTED_VALUE"""),"Niks13")</f>
        <v>Niks13</v>
      </c>
      <c r="C268" s="78" t="str">
        <f>IFERROR(__xludf.DUMMYFUNCTION("""COMPUTED_VALUE"""),"https://www.munzee.com/m/Niks13/518/")</f>
        <v>https://www.munzee.com/m/Niks13/518/</v>
      </c>
      <c r="D268" s="47"/>
      <c r="E268" s="47" t="b">
        <f>IFERROR(__xludf.DUMMYFUNCTION("""COMPUTED_VALUE"""),TRUE)</f>
        <v>1</v>
      </c>
      <c r="F268" s="47" t="str">
        <f>IFERROR(__xludf.DUMMYFUNCTION("""COMPUTED_VALUE"""),"")</f>
        <v/>
      </c>
      <c r="G268" s="47" t="str">
        <f>IFERROR(__xludf.DUMMYFUNCTION("""COMPUTED_VALUE"""),"")</f>
        <v/>
      </c>
      <c r="H268" s="47"/>
      <c r="I268" s="47">
        <f>IFERROR(__xludf.DUMMYFUNCTION("""COMPUTED_VALUE"""),2.0)</f>
        <v>2</v>
      </c>
      <c r="J268" s="47" t="str">
        <f>IFERROR(__xludf.DUMMYFUNCTION("""COMPUTED_VALUE"""),"https:")</f>
        <v>https:</v>
      </c>
      <c r="K268" s="78" t="str">
        <f>IFERROR(__xludf.DUMMYFUNCTION("""COMPUTED_VALUE"""),"www.munzee.com")</f>
        <v>www.munzee.com</v>
      </c>
      <c r="L268" s="47" t="str">
        <f>IFERROR(__xludf.DUMMYFUNCTION("""COMPUTED_VALUE"""),"m")</f>
        <v>m</v>
      </c>
      <c r="M268" s="47" t="str">
        <f>IFERROR(__xludf.DUMMYFUNCTION("""COMPUTED_VALUE"""),"Niks13")</f>
        <v>Niks13</v>
      </c>
    </row>
    <row r="269">
      <c r="A269" s="47" t="str">
        <f>IFERROR(__xludf.DUMMYFUNCTION("""COMPUTED_VALUE"""),"Virtual Brown")</f>
        <v>Virtual Brown</v>
      </c>
      <c r="B269" s="47" t="str">
        <f>IFERROR(__xludf.DUMMYFUNCTION("""COMPUTED_VALUE"""),"Berg14")</f>
        <v>Berg14</v>
      </c>
      <c r="C269" s="78" t="str">
        <f>IFERROR(__xludf.DUMMYFUNCTION("""COMPUTED_VALUE"""),"https://www.munzee.com/m/Berg14/547")</f>
        <v>https://www.munzee.com/m/Berg14/547</v>
      </c>
      <c r="D269" s="47"/>
      <c r="E269" s="47" t="b">
        <f>IFERROR(__xludf.DUMMYFUNCTION("""COMPUTED_VALUE"""),TRUE)</f>
        <v>1</v>
      </c>
      <c r="F269" s="47" t="str">
        <f>IFERROR(__xludf.DUMMYFUNCTION("""COMPUTED_VALUE"""),"")</f>
        <v/>
      </c>
      <c r="G269" s="47" t="str">
        <f>IFERROR(__xludf.DUMMYFUNCTION("""COMPUTED_VALUE"""),"")</f>
        <v/>
      </c>
      <c r="H269" s="47"/>
      <c r="I269" s="47">
        <f>IFERROR(__xludf.DUMMYFUNCTION("""COMPUTED_VALUE"""),2.0)</f>
        <v>2</v>
      </c>
      <c r="J269" s="47" t="str">
        <f>IFERROR(__xludf.DUMMYFUNCTION("""COMPUTED_VALUE"""),"https:")</f>
        <v>https:</v>
      </c>
      <c r="K269" s="78" t="str">
        <f>IFERROR(__xludf.DUMMYFUNCTION("""COMPUTED_VALUE"""),"www.munzee.com")</f>
        <v>www.munzee.com</v>
      </c>
      <c r="L269" s="47" t="str">
        <f>IFERROR(__xludf.DUMMYFUNCTION("""COMPUTED_VALUE"""),"m")</f>
        <v>m</v>
      </c>
      <c r="M269" s="47" t="str">
        <f>IFERROR(__xludf.DUMMYFUNCTION("""COMPUTED_VALUE"""),"Berg14")</f>
        <v>Berg14</v>
      </c>
    </row>
    <row r="270">
      <c r="A270" s="47" t="str">
        <f>IFERROR(__xludf.DUMMYFUNCTION("""COMPUTED_VALUE"""),"Virtual Brown")</f>
        <v>Virtual Brown</v>
      </c>
      <c r="B270" s="47" t="str">
        <f>IFERROR(__xludf.DUMMYFUNCTION("""COMPUTED_VALUE"""),"J1Huisman")</f>
        <v>J1Huisman</v>
      </c>
      <c r="C270" s="78" t="str">
        <f>IFERROR(__xludf.DUMMYFUNCTION("""COMPUTED_VALUE"""),"https://www.munzee.com/m/J1Huisman/11140/")</f>
        <v>https://www.munzee.com/m/J1Huisman/11140/</v>
      </c>
      <c r="D270" s="47"/>
      <c r="E270" s="47" t="b">
        <f>IFERROR(__xludf.DUMMYFUNCTION("""COMPUTED_VALUE"""),TRUE)</f>
        <v>1</v>
      </c>
      <c r="F270" s="47" t="str">
        <f>IFERROR(__xludf.DUMMYFUNCTION("""COMPUTED_VALUE"""),"")</f>
        <v/>
      </c>
      <c r="G270" s="47" t="str">
        <f>IFERROR(__xludf.DUMMYFUNCTION("""COMPUTED_VALUE"""),"")</f>
        <v/>
      </c>
      <c r="H270" s="47"/>
      <c r="I270" s="47">
        <f>IFERROR(__xludf.DUMMYFUNCTION("""COMPUTED_VALUE"""),2.0)</f>
        <v>2</v>
      </c>
      <c r="J270" s="47" t="str">
        <f>IFERROR(__xludf.DUMMYFUNCTION("""COMPUTED_VALUE"""),"https:")</f>
        <v>https:</v>
      </c>
      <c r="K270" s="78" t="str">
        <f>IFERROR(__xludf.DUMMYFUNCTION("""COMPUTED_VALUE"""),"www.munzee.com")</f>
        <v>www.munzee.com</v>
      </c>
      <c r="L270" s="47" t="str">
        <f>IFERROR(__xludf.DUMMYFUNCTION("""COMPUTED_VALUE"""),"m")</f>
        <v>m</v>
      </c>
      <c r="M270" s="47" t="str">
        <f>IFERROR(__xludf.DUMMYFUNCTION("""COMPUTED_VALUE"""),"J1Huisman")</f>
        <v>J1Huisman</v>
      </c>
    </row>
    <row r="271">
      <c r="A271" s="47" t="str">
        <f>IFERROR(__xludf.DUMMYFUNCTION("""COMPUTED_VALUE"""),"Virtual Brown")</f>
        <v>Virtual Brown</v>
      </c>
      <c r="B271" s="47" t="str">
        <f>IFERROR(__xludf.DUMMYFUNCTION("""COMPUTED_VALUE"""),"Pinkeltje")</f>
        <v>Pinkeltje</v>
      </c>
      <c r="C271" s="78" t="str">
        <f>IFERROR(__xludf.DUMMYFUNCTION("""COMPUTED_VALUE"""),"https://www.munzee.com/m/Pinkeltje/982/")</f>
        <v>https://www.munzee.com/m/Pinkeltje/982/</v>
      </c>
      <c r="D271" s="47"/>
      <c r="E271" s="47" t="b">
        <f>IFERROR(__xludf.DUMMYFUNCTION("""COMPUTED_VALUE"""),TRUE)</f>
        <v>1</v>
      </c>
      <c r="F271" s="47" t="str">
        <f>IFERROR(__xludf.DUMMYFUNCTION("""COMPUTED_VALUE"""),"")</f>
        <v/>
      </c>
      <c r="G271" s="47" t="str">
        <f>IFERROR(__xludf.DUMMYFUNCTION("""COMPUTED_VALUE"""),"")</f>
        <v/>
      </c>
      <c r="H271" s="47"/>
      <c r="I271" s="47">
        <f>IFERROR(__xludf.DUMMYFUNCTION("""COMPUTED_VALUE"""),2.0)</f>
        <v>2</v>
      </c>
      <c r="J271" s="47" t="str">
        <f>IFERROR(__xludf.DUMMYFUNCTION("""COMPUTED_VALUE"""),"https:")</f>
        <v>https:</v>
      </c>
      <c r="K271" s="78" t="str">
        <f>IFERROR(__xludf.DUMMYFUNCTION("""COMPUTED_VALUE"""),"www.munzee.com")</f>
        <v>www.munzee.com</v>
      </c>
      <c r="L271" s="47" t="str">
        <f>IFERROR(__xludf.DUMMYFUNCTION("""COMPUTED_VALUE"""),"m")</f>
        <v>m</v>
      </c>
      <c r="M271" s="47" t="str">
        <f>IFERROR(__xludf.DUMMYFUNCTION("""COMPUTED_VALUE"""),"Pinkeltje")</f>
        <v>Pinkeltje</v>
      </c>
    </row>
    <row r="272">
      <c r="A272" s="47" t="str">
        <f>IFERROR(__xludf.DUMMYFUNCTION("""COMPUTED_VALUE"""),"Virtual Brown")</f>
        <v>Virtual Brown</v>
      </c>
      <c r="B272" s="47" t="str">
        <f>IFERROR(__xludf.DUMMYFUNCTION("""COMPUTED_VALUE"""),"jacksparrow")</f>
        <v>jacksparrow</v>
      </c>
      <c r="C272" s="78" t="str">
        <f>IFERROR(__xludf.DUMMYFUNCTION("""COMPUTED_VALUE"""),"https://www.munzee.com/m/JackSparrow/19460")</f>
        <v>https://www.munzee.com/m/JackSparrow/19460</v>
      </c>
      <c r="D272" s="47"/>
      <c r="E272" s="47" t="b">
        <f>IFERROR(__xludf.DUMMYFUNCTION("""COMPUTED_VALUE"""),TRUE)</f>
        <v>1</v>
      </c>
      <c r="F272" s="47" t="str">
        <f>IFERROR(__xludf.DUMMYFUNCTION("""COMPUTED_VALUE"""),"")</f>
        <v/>
      </c>
      <c r="G272" s="47" t="str">
        <f>IFERROR(__xludf.DUMMYFUNCTION("""COMPUTED_VALUE"""),"")</f>
        <v/>
      </c>
      <c r="H272" s="47"/>
      <c r="I272" s="47">
        <f>IFERROR(__xludf.DUMMYFUNCTION("""COMPUTED_VALUE"""),2.0)</f>
        <v>2</v>
      </c>
      <c r="J272" s="47" t="str">
        <f>IFERROR(__xludf.DUMMYFUNCTION("""COMPUTED_VALUE"""),"https:")</f>
        <v>https:</v>
      </c>
      <c r="K272" s="78" t="str">
        <f>IFERROR(__xludf.DUMMYFUNCTION("""COMPUTED_VALUE"""),"www.munzee.com")</f>
        <v>www.munzee.com</v>
      </c>
      <c r="L272" s="47" t="str">
        <f>IFERROR(__xludf.DUMMYFUNCTION("""COMPUTED_VALUE"""),"m")</f>
        <v>m</v>
      </c>
      <c r="M272" s="47" t="str">
        <f>IFERROR(__xludf.DUMMYFUNCTION("""COMPUTED_VALUE"""),"JackSparrow")</f>
        <v>JackSparrow</v>
      </c>
    </row>
    <row r="273">
      <c r="A273" s="47" t="str">
        <f>IFERROR(__xludf.DUMMYFUNCTION("""COMPUTED_VALUE"""),"Virtual Brown")</f>
        <v>Virtual Brown</v>
      </c>
      <c r="B273" s="47" t="str">
        <f>IFERROR(__xludf.DUMMYFUNCTION("""COMPUTED_VALUE"""),"fsafranek")</f>
        <v>fsafranek</v>
      </c>
      <c r="C273" s="78" t="str">
        <f>IFERROR(__xludf.DUMMYFUNCTION("""COMPUTED_VALUE"""),"https://www.munzee.com/m/fsafranek/4191/")</f>
        <v>https://www.munzee.com/m/fsafranek/4191/</v>
      </c>
      <c r="D273" s="47"/>
      <c r="E273" s="47" t="b">
        <f>IFERROR(__xludf.DUMMYFUNCTION("""COMPUTED_VALUE"""),TRUE)</f>
        <v>1</v>
      </c>
      <c r="F273" s="47" t="str">
        <f>IFERROR(__xludf.DUMMYFUNCTION("""COMPUTED_VALUE"""),"")</f>
        <v/>
      </c>
      <c r="G273" s="47" t="str">
        <f>IFERROR(__xludf.DUMMYFUNCTION("""COMPUTED_VALUE"""),"")</f>
        <v/>
      </c>
      <c r="H273" s="47"/>
      <c r="I273" s="47">
        <f>IFERROR(__xludf.DUMMYFUNCTION("""COMPUTED_VALUE"""),2.0)</f>
        <v>2</v>
      </c>
      <c r="J273" s="47" t="str">
        <f>IFERROR(__xludf.DUMMYFUNCTION("""COMPUTED_VALUE"""),"https:")</f>
        <v>https:</v>
      </c>
      <c r="K273" s="78" t="str">
        <f>IFERROR(__xludf.DUMMYFUNCTION("""COMPUTED_VALUE"""),"www.munzee.com")</f>
        <v>www.munzee.com</v>
      </c>
      <c r="L273" s="47" t="str">
        <f>IFERROR(__xludf.DUMMYFUNCTION("""COMPUTED_VALUE"""),"m")</f>
        <v>m</v>
      </c>
      <c r="M273" s="47" t="str">
        <f>IFERROR(__xludf.DUMMYFUNCTION("""COMPUTED_VALUE"""),"fsafranek")</f>
        <v>fsafranek</v>
      </c>
    </row>
    <row r="274">
      <c r="A274" s="47" t="str">
        <f>IFERROR(__xludf.DUMMYFUNCTION("""COMPUTED_VALUE"""),"Virtual Brown")</f>
        <v>Virtual Brown</v>
      </c>
      <c r="B274" s="47" t="str">
        <f>IFERROR(__xludf.DUMMYFUNCTION("""COMPUTED_VALUE"""),"Anetzet ")</f>
        <v>Anetzet </v>
      </c>
      <c r="C274" s="78" t="str">
        <f>IFERROR(__xludf.DUMMYFUNCTION("""COMPUTED_VALUE"""),"https://www.munzee.com/m/Anetzet/2663/")</f>
        <v>https://www.munzee.com/m/Anetzet/2663/</v>
      </c>
      <c r="D274" s="47"/>
      <c r="E274" s="47" t="b">
        <f>IFERROR(__xludf.DUMMYFUNCTION("""COMPUTED_VALUE"""),TRUE)</f>
        <v>1</v>
      </c>
      <c r="F274" s="47" t="str">
        <f>IFERROR(__xludf.DUMMYFUNCTION("""COMPUTED_VALUE"""),"")</f>
        <v/>
      </c>
      <c r="G274" s="47" t="str">
        <f>IFERROR(__xludf.DUMMYFUNCTION("""COMPUTED_VALUE"""),"")</f>
        <v/>
      </c>
      <c r="H274" s="47"/>
      <c r="I274" s="47">
        <f>IFERROR(__xludf.DUMMYFUNCTION("""COMPUTED_VALUE"""),2.0)</f>
        <v>2</v>
      </c>
      <c r="J274" s="47" t="str">
        <f>IFERROR(__xludf.DUMMYFUNCTION("""COMPUTED_VALUE"""),"https:")</f>
        <v>https:</v>
      </c>
      <c r="K274" s="78" t="str">
        <f>IFERROR(__xludf.DUMMYFUNCTION("""COMPUTED_VALUE"""),"www.munzee.com")</f>
        <v>www.munzee.com</v>
      </c>
      <c r="L274" s="47" t="str">
        <f>IFERROR(__xludf.DUMMYFUNCTION("""COMPUTED_VALUE"""),"m")</f>
        <v>m</v>
      </c>
      <c r="M274" s="47" t="str">
        <f>IFERROR(__xludf.DUMMYFUNCTION("""COMPUTED_VALUE"""),"Anetzet")</f>
        <v>Anetzet</v>
      </c>
    </row>
    <row r="275">
      <c r="A275" s="47" t="str">
        <f>IFERROR(__xludf.DUMMYFUNCTION("""COMPUTED_VALUE"""),"Virtual Brown")</f>
        <v>Virtual Brown</v>
      </c>
      <c r="B275" s="47" t="str">
        <f>IFERROR(__xludf.DUMMYFUNCTION("""COMPUTED_VALUE"""),"lanyasummer")</f>
        <v>lanyasummer</v>
      </c>
      <c r="C275" s="78" t="str">
        <f>IFERROR(__xludf.DUMMYFUNCTION("""COMPUTED_VALUE"""),"https://www.munzee.com/m/Lanyasummer/4065/")</f>
        <v>https://www.munzee.com/m/Lanyasummer/4065/</v>
      </c>
      <c r="D275" s="47"/>
      <c r="E275" s="47" t="b">
        <f>IFERROR(__xludf.DUMMYFUNCTION("""COMPUTED_VALUE"""),TRUE)</f>
        <v>1</v>
      </c>
      <c r="F275" s="47" t="str">
        <f>IFERROR(__xludf.DUMMYFUNCTION("""COMPUTED_VALUE"""),"")</f>
        <v/>
      </c>
      <c r="G275" s="47" t="str">
        <f>IFERROR(__xludf.DUMMYFUNCTION("""COMPUTED_VALUE"""),"")</f>
        <v/>
      </c>
      <c r="H275" s="47"/>
      <c r="I275" s="47">
        <f>IFERROR(__xludf.DUMMYFUNCTION("""COMPUTED_VALUE"""),2.0)</f>
        <v>2</v>
      </c>
      <c r="J275" s="47" t="str">
        <f>IFERROR(__xludf.DUMMYFUNCTION("""COMPUTED_VALUE"""),"https:")</f>
        <v>https:</v>
      </c>
      <c r="K275" s="78" t="str">
        <f>IFERROR(__xludf.DUMMYFUNCTION("""COMPUTED_VALUE"""),"www.munzee.com")</f>
        <v>www.munzee.com</v>
      </c>
      <c r="L275" s="47" t="str">
        <f>IFERROR(__xludf.DUMMYFUNCTION("""COMPUTED_VALUE"""),"m")</f>
        <v>m</v>
      </c>
      <c r="M275" s="47" t="str">
        <f>IFERROR(__xludf.DUMMYFUNCTION("""COMPUTED_VALUE"""),"Lanyasummer")</f>
        <v>Lanyasummer</v>
      </c>
    </row>
    <row r="276">
      <c r="A276" s="47" t="str">
        <f>IFERROR(__xludf.DUMMYFUNCTION("""COMPUTED_VALUE"""),"Virtual Brown")</f>
        <v>Virtual Brown</v>
      </c>
      <c r="B276" s="47" t="str">
        <f>IFERROR(__xludf.DUMMYFUNCTION("""COMPUTED_VALUE"""),"babyw")</f>
        <v>babyw</v>
      </c>
      <c r="C276" s="78" t="str">
        <f>IFERROR(__xludf.DUMMYFUNCTION("""COMPUTED_VALUE"""),"https://www.munzee.com/m/babyw/3054/")</f>
        <v>https://www.munzee.com/m/babyw/3054/</v>
      </c>
      <c r="D276" s="79"/>
      <c r="E276" s="47" t="b">
        <f>IFERROR(__xludf.DUMMYFUNCTION("""COMPUTED_VALUE"""),TRUE)</f>
        <v>1</v>
      </c>
      <c r="F276" s="47" t="str">
        <f>IFERROR(__xludf.DUMMYFUNCTION("""COMPUTED_VALUE"""),"")</f>
        <v/>
      </c>
      <c r="G276" s="47" t="str">
        <f>IFERROR(__xludf.DUMMYFUNCTION("""COMPUTED_VALUE"""),"")</f>
        <v/>
      </c>
      <c r="H276" s="47"/>
      <c r="I276" s="47">
        <f>IFERROR(__xludf.DUMMYFUNCTION("""COMPUTED_VALUE"""),2.0)</f>
        <v>2</v>
      </c>
      <c r="J276" s="47" t="str">
        <f>IFERROR(__xludf.DUMMYFUNCTION("""COMPUTED_VALUE"""),"https:")</f>
        <v>https:</v>
      </c>
      <c r="K276" s="78" t="str">
        <f>IFERROR(__xludf.DUMMYFUNCTION("""COMPUTED_VALUE"""),"www.munzee.com")</f>
        <v>www.munzee.com</v>
      </c>
      <c r="L276" s="47" t="str">
        <f>IFERROR(__xludf.DUMMYFUNCTION("""COMPUTED_VALUE"""),"m")</f>
        <v>m</v>
      </c>
      <c r="M276" s="47" t="str">
        <f>IFERROR(__xludf.DUMMYFUNCTION("""COMPUTED_VALUE"""),"babyw")</f>
        <v>babyw</v>
      </c>
    </row>
    <row r="277">
      <c r="A277" s="47" t="str">
        <f>IFERROR(__xludf.DUMMYFUNCTION("""COMPUTED_VALUE"""),"Virtual Brown")</f>
        <v>Virtual Brown</v>
      </c>
      <c r="B277" s="47" t="str">
        <f>IFERROR(__xludf.DUMMYFUNCTION("""COMPUTED_VALUE"""),"FromTheTardis")</f>
        <v>FromTheTardis</v>
      </c>
      <c r="C277" s="78" t="str">
        <f>IFERROR(__xludf.DUMMYFUNCTION("""COMPUTED_VALUE"""),"https://www.munzee.com/m/FromTheTardis/1354/")</f>
        <v>https://www.munzee.com/m/FromTheTardis/1354/</v>
      </c>
      <c r="D277" s="47"/>
      <c r="E277" s="47" t="b">
        <f>IFERROR(__xludf.DUMMYFUNCTION("""COMPUTED_VALUE"""),TRUE)</f>
        <v>1</v>
      </c>
      <c r="F277" s="47" t="str">
        <f>IFERROR(__xludf.DUMMYFUNCTION("""COMPUTED_VALUE"""),"")</f>
        <v/>
      </c>
      <c r="G277" s="47" t="str">
        <f>IFERROR(__xludf.DUMMYFUNCTION("""COMPUTED_VALUE"""),"")</f>
        <v/>
      </c>
      <c r="H277" s="47"/>
      <c r="I277" s="47">
        <f>IFERROR(__xludf.DUMMYFUNCTION("""COMPUTED_VALUE"""),2.0)</f>
        <v>2</v>
      </c>
      <c r="J277" s="47" t="str">
        <f>IFERROR(__xludf.DUMMYFUNCTION("""COMPUTED_VALUE"""),"https:")</f>
        <v>https:</v>
      </c>
      <c r="K277" s="78" t="str">
        <f>IFERROR(__xludf.DUMMYFUNCTION("""COMPUTED_VALUE"""),"www.munzee.com")</f>
        <v>www.munzee.com</v>
      </c>
      <c r="L277" s="47" t="str">
        <f>IFERROR(__xludf.DUMMYFUNCTION("""COMPUTED_VALUE"""),"m")</f>
        <v>m</v>
      </c>
      <c r="M277" s="47" t="str">
        <f>IFERROR(__xludf.DUMMYFUNCTION("""COMPUTED_VALUE"""),"FromTheTardis")</f>
        <v>FromTheTardis</v>
      </c>
    </row>
    <row r="278">
      <c r="A278" s="47" t="str">
        <f>IFERROR(__xludf.DUMMYFUNCTION("""COMPUTED_VALUE"""),"Virtual Brown")</f>
        <v>Virtual Brown</v>
      </c>
      <c r="B278" s="47" t="str">
        <f>IFERROR(__xludf.DUMMYFUNCTION("""COMPUTED_VALUE"""),"bambinacattiva")</f>
        <v>bambinacattiva</v>
      </c>
      <c r="C278" s="78" t="str">
        <f>IFERROR(__xludf.DUMMYFUNCTION("""COMPUTED_VALUE"""),"https://www.munzee.com/m/Bambinacattiva/650")</f>
        <v>https://www.munzee.com/m/Bambinacattiva/650</v>
      </c>
      <c r="D278" s="47"/>
      <c r="E278" s="47" t="b">
        <f>IFERROR(__xludf.DUMMYFUNCTION("""COMPUTED_VALUE"""),TRUE)</f>
        <v>1</v>
      </c>
      <c r="F278" s="47" t="str">
        <f>IFERROR(__xludf.DUMMYFUNCTION("""COMPUTED_VALUE"""),"")</f>
        <v/>
      </c>
      <c r="G278" s="47" t="str">
        <f>IFERROR(__xludf.DUMMYFUNCTION("""COMPUTED_VALUE"""),"")</f>
        <v/>
      </c>
      <c r="H278" s="47"/>
      <c r="I278" s="47">
        <f>IFERROR(__xludf.DUMMYFUNCTION("""COMPUTED_VALUE"""),2.0)</f>
        <v>2</v>
      </c>
      <c r="J278" s="47" t="str">
        <f>IFERROR(__xludf.DUMMYFUNCTION("""COMPUTED_VALUE"""),"https:")</f>
        <v>https:</v>
      </c>
      <c r="K278" s="78" t="str">
        <f>IFERROR(__xludf.DUMMYFUNCTION("""COMPUTED_VALUE"""),"www.munzee.com")</f>
        <v>www.munzee.com</v>
      </c>
      <c r="L278" s="47" t="str">
        <f>IFERROR(__xludf.DUMMYFUNCTION("""COMPUTED_VALUE"""),"m")</f>
        <v>m</v>
      </c>
      <c r="M278" s="47" t="str">
        <f>IFERROR(__xludf.DUMMYFUNCTION("""COMPUTED_VALUE"""),"Bambinacattiva")</f>
        <v>Bambinacattiva</v>
      </c>
    </row>
    <row r="279">
      <c r="A279" s="47" t="str">
        <f>IFERROR(__xludf.DUMMYFUNCTION("""COMPUTED_VALUE"""),"Virtual Brown")</f>
        <v>Virtual Brown</v>
      </c>
      <c r="B279" s="47" t="str">
        <f>IFERROR(__xludf.DUMMYFUNCTION("""COMPUTED_VALUE"""),"lison55")</f>
        <v>lison55</v>
      </c>
      <c r="C279" s="78" t="str">
        <f>IFERROR(__xludf.DUMMYFUNCTION("""COMPUTED_VALUE"""),"https://www.munzee.com/m/lison55/5269/")</f>
        <v>https://www.munzee.com/m/lison55/5269/</v>
      </c>
      <c r="D279" s="47"/>
      <c r="E279" s="47" t="b">
        <f>IFERROR(__xludf.DUMMYFUNCTION("""COMPUTED_VALUE"""),TRUE)</f>
        <v>1</v>
      </c>
      <c r="F279" s="47" t="str">
        <f>IFERROR(__xludf.DUMMYFUNCTION("""COMPUTED_VALUE"""),"")</f>
        <v/>
      </c>
      <c r="G279" s="47" t="str">
        <f>IFERROR(__xludf.DUMMYFUNCTION("""COMPUTED_VALUE"""),"")</f>
        <v/>
      </c>
      <c r="H279" s="47"/>
      <c r="I279" s="47">
        <f>IFERROR(__xludf.DUMMYFUNCTION("""COMPUTED_VALUE"""),2.0)</f>
        <v>2</v>
      </c>
      <c r="J279" s="47" t="str">
        <f>IFERROR(__xludf.DUMMYFUNCTION("""COMPUTED_VALUE"""),"https:")</f>
        <v>https:</v>
      </c>
      <c r="K279" s="78" t="str">
        <f>IFERROR(__xludf.DUMMYFUNCTION("""COMPUTED_VALUE"""),"www.munzee.com")</f>
        <v>www.munzee.com</v>
      </c>
      <c r="L279" s="47" t="str">
        <f>IFERROR(__xludf.DUMMYFUNCTION("""COMPUTED_VALUE"""),"m")</f>
        <v>m</v>
      </c>
      <c r="M279" s="47" t="str">
        <f>IFERROR(__xludf.DUMMYFUNCTION("""COMPUTED_VALUE"""),"lison55")</f>
        <v>lison55</v>
      </c>
    </row>
    <row r="280">
      <c r="A280" s="47" t="str">
        <f>IFERROR(__xludf.DUMMYFUNCTION("""COMPUTED_VALUE"""),"Virtual Raw Sienna")</f>
        <v>Virtual Raw Sienna</v>
      </c>
      <c r="B280" s="47" t="str">
        <f>IFERROR(__xludf.DUMMYFUNCTION("""COMPUTED_VALUE"""),"IggiePiggie")</f>
        <v>IggiePiggie</v>
      </c>
      <c r="C280" s="78" t="str">
        <f>IFERROR(__xludf.DUMMYFUNCTION("""COMPUTED_VALUE"""),"https://www.munzee.com/m/IggiePiggie/1789/")</f>
        <v>https://www.munzee.com/m/IggiePiggie/1789/</v>
      </c>
      <c r="D280" s="47"/>
      <c r="E280" s="47" t="b">
        <f>IFERROR(__xludf.DUMMYFUNCTION("""COMPUTED_VALUE"""),TRUE)</f>
        <v>1</v>
      </c>
      <c r="F280" s="47" t="str">
        <f>IFERROR(__xludf.DUMMYFUNCTION("""COMPUTED_VALUE"""),"")</f>
        <v/>
      </c>
      <c r="G280" s="47" t="str">
        <f>IFERROR(__xludf.DUMMYFUNCTION("""COMPUTED_VALUE"""),"")</f>
        <v/>
      </c>
      <c r="H280" s="47"/>
      <c r="I280" s="47">
        <f>IFERROR(__xludf.DUMMYFUNCTION("""COMPUTED_VALUE"""),2.0)</f>
        <v>2</v>
      </c>
      <c r="J280" s="47" t="str">
        <f>IFERROR(__xludf.DUMMYFUNCTION("""COMPUTED_VALUE"""),"https:")</f>
        <v>https:</v>
      </c>
      <c r="K280" s="78" t="str">
        <f>IFERROR(__xludf.DUMMYFUNCTION("""COMPUTED_VALUE"""),"www.munzee.com")</f>
        <v>www.munzee.com</v>
      </c>
      <c r="L280" s="47" t="str">
        <f>IFERROR(__xludf.DUMMYFUNCTION("""COMPUTED_VALUE"""),"m")</f>
        <v>m</v>
      </c>
      <c r="M280" s="47" t="str">
        <f>IFERROR(__xludf.DUMMYFUNCTION("""COMPUTED_VALUE"""),"IggiePiggie")</f>
        <v>IggiePiggie</v>
      </c>
    </row>
    <row r="281">
      <c r="A281" s="47" t="str">
        <f>IFERROR(__xludf.DUMMYFUNCTION("""COMPUTED_VALUE"""),"Virtual Brown")</f>
        <v>Virtual Brown</v>
      </c>
      <c r="B281" s="47" t="str">
        <f>IFERROR(__xludf.DUMMYFUNCTION("""COMPUTED_VALUE"""),"bambinacattiva")</f>
        <v>bambinacattiva</v>
      </c>
      <c r="C281" s="78" t="str">
        <f>IFERROR(__xludf.DUMMYFUNCTION("""COMPUTED_VALUE"""),"https://www.munzee.com/m/Bambinacattiva/656")</f>
        <v>https://www.munzee.com/m/Bambinacattiva/656</v>
      </c>
      <c r="D281" s="47"/>
      <c r="E281" s="47" t="b">
        <f>IFERROR(__xludf.DUMMYFUNCTION("""COMPUTED_VALUE"""),TRUE)</f>
        <v>1</v>
      </c>
      <c r="F281" s="47" t="str">
        <f>IFERROR(__xludf.DUMMYFUNCTION("""COMPUTED_VALUE"""),"")</f>
        <v/>
      </c>
      <c r="G281" s="47" t="str">
        <f>IFERROR(__xludf.DUMMYFUNCTION("""COMPUTED_VALUE"""),"")</f>
        <v/>
      </c>
      <c r="H281" s="47"/>
      <c r="I281" s="47">
        <f>IFERROR(__xludf.DUMMYFUNCTION("""COMPUTED_VALUE"""),2.0)</f>
        <v>2</v>
      </c>
      <c r="J281" s="47" t="str">
        <f>IFERROR(__xludf.DUMMYFUNCTION("""COMPUTED_VALUE"""),"https:")</f>
        <v>https:</v>
      </c>
      <c r="K281" s="78" t="str">
        <f>IFERROR(__xludf.DUMMYFUNCTION("""COMPUTED_VALUE"""),"www.munzee.com")</f>
        <v>www.munzee.com</v>
      </c>
      <c r="L281" s="47" t="str">
        <f>IFERROR(__xludf.DUMMYFUNCTION("""COMPUTED_VALUE"""),"m")</f>
        <v>m</v>
      </c>
      <c r="M281" s="47" t="str">
        <f>IFERROR(__xludf.DUMMYFUNCTION("""COMPUTED_VALUE"""),"Bambinacattiva")</f>
        <v>Bambinacattiva</v>
      </c>
    </row>
    <row r="282">
      <c r="A282" s="47" t="str">
        <f>IFERROR(__xludf.DUMMYFUNCTION("""COMPUTED_VALUE"""),"Virtual Brown")</f>
        <v>Virtual Brown</v>
      </c>
      <c r="B282" s="47" t="str">
        <f>IFERROR(__xludf.DUMMYFUNCTION("""COMPUTED_VALUE"""),"5Star")</f>
        <v>5Star</v>
      </c>
      <c r="C282" s="78" t="str">
        <f>IFERROR(__xludf.DUMMYFUNCTION("""COMPUTED_VALUE"""),"https://www.munzee.com/m/5Star/5583/")</f>
        <v>https://www.munzee.com/m/5Star/5583/</v>
      </c>
      <c r="D282" s="47"/>
      <c r="E282" s="47" t="b">
        <f>IFERROR(__xludf.DUMMYFUNCTION("""COMPUTED_VALUE"""),TRUE)</f>
        <v>1</v>
      </c>
      <c r="F282" s="47" t="str">
        <f>IFERROR(__xludf.DUMMYFUNCTION("""COMPUTED_VALUE"""),"")</f>
        <v/>
      </c>
      <c r="G282" s="47" t="str">
        <f>IFERROR(__xludf.DUMMYFUNCTION("""COMPUTED_VALUE"""),"")</f>
        <v/>
      </c>
      <c r="H282" s="47"/>
      <c r="I282" s="47">
        <f>IFERROR(__xludf.DUMMYFUNCTION("""COMPUTED_VALUE"""),2.0)</f>
        <v>2</v>
      </c>
      <c r="J282" s="47" t="str">
        <f>IFERROR(__xludf.DUMMYFUNCTION("""COMPUTED_VALUE"""),"https:")</f>
        <v>https:</v>
      </c>
      <c r="K282" s="78" t="str">
        <f>IFERROR(__xludf.DUMMYFUNCTION("""COMPUTED_VALUE"""),"www.munzee.com")</f>
        <v>www.munzee.com</v>
      </c>
      <c r="L282" s="47" t="str">
        <f>IFERROR(__xludf.DUMMYFUNCTION("""COMPUTED_VALUE"""),"m")</f>
        <v>m</v>
      </c>
      <c r="M282" s="47" t="str">
        <f>IFERROR(__xludf.DUMMYFUNCTION("""COMPUTED_VALUE"""),"5Star")</f>
        <v>5Star</v>
      </c>
    </row>
    <row r="283">
      <c r="A283" s="47" t="str">
        <f>IFERROR(__xludf.DUMMYFUNCTION("""COMPUTED_VALUE"""),"Virtual Brown")</f>
        <v>Virtual Brown</v>
      </c>
      <c r="B283" s="47" t="str">
        <f>IFERROR(__xludf.DUMMYFUNCTION("""COMPUTED_VALUE"""),"barefootguru")</f>
        <v>barefootguru</v>
      </c>
      <c r="C283" s="78" t="str">
        <f>IFERROR(__xludf.DUMMYFUNCTION("""COMPUTED_VALUE"""),"https://www.munzee.com/m/barefootguru/3114/")</f>
        <v>https://www.munzee.com/m/barefootguru/3114/</v>
      </c>
      <c r="D283" s="47"/>
      <c r="E283" s="47" t="b">
        <f>IFERROR(__xludf.DUMMYFUNCTION("""COMPUTED_VALUE"""),TRUE)</f>
        <v>1</v>
      </c>
      <c r="F283" s="47" t="str">
        <f>IFERROR(__xludf.DUMMYFUNCTION("""COMPUTED_VALUE"""),"")</f>
        <v/>
      </c>
      <c r="G283" s="47" t="str">
        <f>IFERROR(__xludf.DUMMYFUNCTION("""COMPUTED_VALUE"""),"")</f>
        <v/>
      </c>
      <c r="H283" s="47"/>
      <c r="I283" s="47">
        <f>IFERROR(__xludf.DUMMYFUNCTION("""COMPUTED_VALUE"""),2.0)</f>
        <v>2</v>
      </c>
      <c r="J283" s="47" t="str">
        <f>IFERROR(__xludf.DUMMYFUNCTION("""COMPUTED_VALUE"""),"https:")</f>
        <v>https:</v>
      </c>
      <c r="K283" s="78" t="str">
        <f>IFERROR(__xludf.DUMMYFUNCTION("""COMPUTED_VALUE"""),"www.munzee.com")</f>
        <v>www.munzee.com</v>
      </c>
      <c r="L283" s="47" t="str">
        <f>IFERROR(__xludf.DUMMYFUNCTION("""COMPUTED_VALUE"""),"m")</f>
        <v>m</v>
      </c>
      <c r="M283" s="47" t="str">
        <f>IFERROR(__xludf.DUMMYFUNCTION("""COMPUTED_VALUE"""),"barefootguru")</f>
        <v>barefootguru</v>
      </c>
    </row>
    <row r="284">
      <c r="A284" s="47" t="str">
        <f>IFERROR(__xludf.DUMMYFUNCTION("""COMPUTED_VALUE"""),"Virtual Raw Sienna")</f>
        <v>Virtual Raw Sienna</v>
      </c>
      <c r="B284" s="47" t="str">
        <f>IFERROR(__xludf.DUMMYFUNCTION("""COMPUTED_VALUE"""),"WiseOldWizard")</f>
        <v>WiseOldWizard</v>
      </c>
      <c r="C284" s="78" t="str">
        <f>IFERROR(__xludf.DUMMYFUNCTION("""COMPUTED_VALUE"""),"https://www.munzee.com/m/WiseOldWizard/3961/")</f>
        <v>https://www.munzee.com/m/WiseOldWizard/3961/</v>
      </c>
      <c r="D284" s="47"/>
      <c r="E284" s="47" t="b">
        <f>IFERROR(__xludf.DUMMYFUNCTION("""COMPUTED_VALUE"""),TRUE)</f>
        <v>1</v>
      </c>
      <c r="F284" s="47" t="str">
        <f>IFERROR(__xludf.DUMMYFUNCTION("""COMPUTED_VALUE"""),"")</f>
        <v/>
      </c>
      <c r="G284" s="47" t="str">
        <f>IFERROR(__xludf.DUMMYFUNCTION("""COMPUTED_VALUE"""),"")</f>
        <v/>
      </c>
      <c r="H284" s="47"/>
      <c r="I284" s="47">
        <f>IFERROR(__xludf.DUMMYFUNCTION("""COMPUTED_VALUE"""),2.0)</f>
        <v>2</v>
      </c>
      <c r="J284" s="47" t="str">
        <f>IFERROR(__xludf.DUMMYFUNCTION("""COMPUTED_VALUE"""),"https:")</f>
        <v>https:</v>
      </c>
      <c r="K284" s="78" t="str">
        <f>IFERROR(__xludf.DUMMYFUNCTION("""COMPUTED_VALUE"""),"www.munzee.com")</f>
        <v>www.munzee.com</v>
      </c>
      <c r="L284" s="47" t="str">
        <f>IFERROR(__xludf.DUMMYFUNCTION("""COMPUTED_VALUE"""),"m")</f>
        <v>m</v>
      </c>
      <c r="M284" s="47" t="str">
        <f>IFERROR(__xludf.DUMMYFUNCTION("""COMPUTED_VALUE"""),"WiseOldWizard")</f>
        <v>WiseOldWizard</v>
      </c>
    </row>
    <row r="285">
      <c r="A285" s="47" t="str">
        <f>IFERROR(__xludf.DUMMYFUNCTION("""COMPUTED_VALUE"""),"Virtual Brown")</f>
        <v>Virtual Brown</v>
      </c>
      <c r="B285" s="47" t="str">
        <f>IFERROR(__xludf.DUMMYFUNCTION("""COMPUTED_VALUE"""),"GroteSufferd")</f>
        <v>GroteSufferd</v>
      </c>
      <c r="C285" s="78" t="str">
        <f>IFERROR(__xludf.DUMMYFUNCTION("""COMPUTED_VALUE"""),"https://www.munzee.com/m/GroteSufferd/367/")</f>
        <v>https://www.munzee.com/m/GroteSufferd/367/</v>
      </c>
      <c r="D285" s="47"/>
      <c r="E285" s="47" t="b">
        <f>IFERROR(__xludf.DUMMYFUNCTION("""COMPUTED_VALUE"""),TRUE)</f>
        <v>1</v>
      </c>
      <c r="F285" s="47" t="str">
        <f>IFERROR(__xludf.DUMMYFUNCTION("""COMPUTED_VALUE"""),"")</f>
        <v/>
      </c>
      <c r="G285" s="47" t="str">
        <f>IFERROR(__xludf.DUMMYFUNCTION("""COMPUTED_VALUE"""),"")</f>
        <v/>
      </c>
      <c r="H285" s="47"/>
      <c r="I285" s="47">
        <f>IFERROR(__xludf.DUMMYFUNCTION("""COMPUTED_VALUE"""),2.0)</f>
        <v>2</v>
      </c>
      <c r="J285" s="47" t="str">
        <f>IFERROR(__xludf.DUMMYFUNCTION("""COMPUTED_VALUE"""),"https:")</f>
        <v>https:</v>
      </c>
      <c r="K285" s="78" t="str">
        <f>IFERROR(__xludf.DUMMYFUNCTION("""COMPUTED_VALUE"""),"www.munzee.com")</f>
        <v>www.munzee.com</v>
      </c>
      <c r="L285" s="47" t="str">
        <f>IFERROR(__xludf.DUMMYFUNCTION("""COMPUTED_VALUE"""),"m")</f>
        <v>m</v>
      </c>
      <c r="M285" s="47" t="str">
        <f>IFERROR(__xludf.DUMMYFUNCTION("""COMPUTED_VALUE"""),"GroteSufferd")</f>
        <v>GroteSufferd</v>
      </c>
    </row>
    <row r="286">
      <c r="A286" s="47" t="str">
        <f>IFERROR(__xludf.DUMMYFUNCTION("""COMPUTED_VALUE"""),"Virtual Brown")</f>
        <v>Virtual Brown</v>
      </c>
      <c r="B286" s="47" t="str">
        <f>IFERROR(__xludf.DUMMYFUNCTION("""COMPUTED_VALUE"""),"xrayneex")</f>
        <v>xrayneex</v>
      </c>
      <c r="C286" s="78" t="str">
        <f>IFERROR(__xludf.DUMMYFUNCTION("""COMPUTED_VALUE"""),"https://www.munzee.com/m/xrayneex/1412/")</f>
        <v>https://www.munzee.com/m/xrayneex/1412/</v>
      </c>
      <c r="D286" s="47"/>
      <c r="E286" s="47" t="b">
        <f>IFERROR(__xludf.DUMMYFUNCTION("""COMPUTED_VALUE"""),TRUE)</f>
        <v>1</v>
      </c>
      <c r="F286" s="47" t="str">
        <f>IFERROR(__xludf.DUMMYFUNCTION("""COMPUTED_VALUE"""),"")</f>
        <v/>
      </c>
      <c r="G286" s="47" t="str">
        <f>IFERROR(__xludf.DUMMYFUNCTION("""COMPUTED_VALUE"""),"")</f>
        <v/>
      </c>
      <c r="H286" s="47"/>
      <c r="I286" s="47">
        <f>IFERROR(__xludf.DUMMYFUNCTION("""COMPUTED_VALUE"""),2.0)</f>
        <v>2</v>
      </c>
      <c r="J286" s="47" t="str">
        <f>IFERROR(__xludf.DUMMYFUNCTION("""COMPUTED_VALUE"""),"https:")</f>
        <v>https:</v>
      </c>
      <c r="K286" s="78" t="str">
        <f>IFERROR(__xludf.DUMMYFUNCTION("""COMPUTED_VALUE"""),"www.munzee.com")</f>
        <v>www.munzee.com</v>
      </c>
      <c r="L286" s="47" t="str">
        <f>IFERROR(__xludf.DUMMYFUNCTION("""COMPUTED_VALUE"""),"m")</f>
        <v>m</v>
      </c>
      <c r="M286" s="47" t="str">
        <f>IFERROR(__xludf.DUMMYFUNCTION("""COMPUTED_VALUE"""),"xrayneex")</f>
        <v>xrayneex</v>
      </c>
    </row>
    <row r="287">
      <c r="A287" s="47" t="str">
        <f>IFERROR(__xludf.DUMMYFUNCTION("""COMPUTED_VALUE"""),"Virtual Raw Sienna")</f>
        <v>Virtual Raw Sienna</v>
      </c>
      <c r="B287" s="47" t="str">
        <f>IFERROR(__xludf.DUMMYFUNCTION("""COMPUTED_VALUE"""),"Aniara")</f>
        <v>Aniara</v>
      </c>
      <c r="C287" s="78" t="str">
        <f>IFERROR(__xludf.DUMMYFUNCTION("""COMPUTED_VALUE"""),"https://www.munzee.com/m/Aniara/6583/")</f>
        <v>https://www.munzee.com/m/Aniara/6583/</v>
      </c>
      <c r="D287" s="47"/>
      <c r="E287" s="47" t="b">
        <f>IFERROR(__xludf.DUMMYFUNCTION("""COMPUTED_VALUE"""),TRUE)</f>
        <v>1</v>
      </c>
      <c r="F287" s="47" t="str">
        <f>IFERROR(__xludf.DUMMYFUNCTION("""COMPUTED_VALUE"""),"")</f>
        <v/>
      </c>
      <c r="G287" s="47" t="str">
        <f>IFERROR(__xludf.DUMMYFUNCTION("""COMPUTED_VALUE"""),"")</f>
        <v/>
      </c>
      <c r="H287" s="47"/>
      <c r="I287" s="47">
        <f>IFERROR(__xludf.DUMMYFUNCTION("""COMPUTED_VALUE"""),2.0)</f>
        <v>2</v>
      </c>
      <c r="J287" s="47" t="str">
        <f>IFERROR(__xludf.DUMMYFUNCTION("""COMPUTED_VALUE"""),"https:")</f>
        <v>https:</v>
      </c>
      <c r="K287" s="78" t="str">
        <f>IFERROR(__xludf.DUMMYFUNCTION("""COMPUTED_VALUE"""),"www.munzee.com")</f>
        <v>www.munzee.com</v>
      </c>
      <c r="L287" s="47" t="str">
        <f>IFERROR(__xludf.DUMMYFUNCTION("""COMPUTED_VALUE"""),"m")</f>
        <v>m</v>
      </c>
      <c r="M287" s="47" t="str">
        <f>IFERROR(__xludf.DUMMYFUNCTION("""COMPUTED_VALUE"""),"Aniara")</f>
        <v>Aniara</v>
      </c>
    </row>
    <row r="288">
      <c r="A288" s="47" t="str">
        <f>IFERROR(__xludf.DUMMYFUNCTION("""COMPUTED_VALUE"""),"Virtual Brown")</f>
        <v>Virtual Brown</v>
      </c>
      <c r="B288" s="47" t="str">
        <f>IFERROR(__xludf.DUMMYFUNCTION("""COMPUTED_VALUE"""),"CBF600")</f>
        <v>CBF600</v>
      </c>
      <c r="C288" s="78" t="str">
        <f>IFERROR(__xludf.DUMMYFUNCTION("""COMPUTED_VALUE"""),"https://www.munzee.com/m/cbf600/2297/")</f>
        <v>https://www.munzee.com/m/cbf600/2297/</v>
      </c>
      <c r="D288" s="47"/>
      <c r="E288" s="47" t="b">
        <f>IFERROR(__xludf.DUMMYFUNCTION("""COMPUTED_VALUE"""),TRUE)</f>
        <v>1</v>
      </c>
      <c r="F288" s="47" t="str">
        <f>IFERROR(__xludf.DUMMYFUNCTION("""COMPUTED_VALUE"""),"")</f>
        <v/>
      </c>
      <c r="G288" s="47" t="str">
        <f>IFERROR(__xludf.DUMMYFUNCTION("""COMPUTED_VALUE"""),"")</f>
        <v/>
      </c>
      <c r="H288" s="47"/>
      <c r="I288" s="47">
        <f>IFERROR(__xludf.DUMMYFUNCTION("""COMPUTED_VALUE"""),2.0)</f>
        <v>2</v>
      </c>
      <c r="J288" s="47" t="str">
        <f>IFERROR(__xludf.DUMMYFUNCTION("""COMPUTED_VALUE"""),"https:")</f>
        <v>https:</v>
      </c>
      <c r="K288" s="78" t="str">
        <f>IFERROR(__xludf.DUMMYFUNCTION("""COMPUTED_VALUE"""),"www.munzee.com")</f>
        <v>www.munzee.com</v>
      </c>
      <c r="L288" s="47" t="str">
        <f>IFERROR(__xludf.DUMMYFUNCTION("""COMPUTED_VALUE"""),"m")</f>
        <v>m</v>
      </c>
      <c r="M288" s="47" t="str">
        <f>IFERROR(__xludf.DUMMYFUNCTION("""COMPUTED_VALUE"""),"cbf600")</f>
        <v>cbf600</v>
      </c>
    </row>
    <row r="289">
      <c r="A289" s="47" t="str">
        <f>IFERROR(__xludf.DUMMYFUNCTION("""COMPUTED_VALUE"""),"Virtual Raw Sienna")</f>
        <v>Virtual Raw Sienna</v>
      </c>
      <c r="B289" s="47" t="str">
        <f>IFERROR(__xludf.DUMMYFUNCTION("""COMPUTED_VALUE"""),"TheFatCats")</f>
        <v>TheFatCats</v>
      </c>
      <c r="C289" s="78" t="str">
        <f>IFERROR(__xludf.DUMMYFUNCTION("""COMPUTED_VALUE"""),"https://www.munzee.com/m/TheFatCats/3639/")</f>
        <v>https://www.munzee.com/m/TheFatCats/3639/</v>
      </c>
      <c r="D289" s="47"/>
      <c r="E289" s="47" t="b">
        <f>IFERROR(__xludf.DUMMYFUNCTION("""COMPUTED_VALUE"""),TRUE)</f>
        <v>1</v>
      </c>
      <c r="F289" s="47" t="str">
        <f>IFERROR(__xludf.DUMMYFUNCTION("""COMPUTED_VALUE"""),"")</f>
        <v/>
      </c>
      <c r="G289" s="47" t="str">
        <f>IFERROR(__xludf.DUMMYFUNCTION("""COMPUTED_VALUE"""),"")</f>
        <v/>
      </c>
      <c r="H289" s="47"/>
      <c r="I289" s="47">
        <f>IFERROR(__xludf.DUMMYFUNCTION("""COMPUTED_VALUE"""),2.0)</f>
        <v>2</v>
      </c>
      <c r="J289" s="47" t="str">
        <f>IFERROR(__xludf.DUMMYFUNCTION("""COMPUTED_VALUE"""),"https:")</f>
        <v>https:</v>
      </c>
      <c r="K289" s="78" t="str">
        <f>IFERROR(__xludf.DUMMYFUNCTION("""COMPUTED_VALUE"""),"www.munzee.com")</f>
        <v>www.munzee.com</v>
      </c>
      <c r="L289" s="47" t="str">
        <f>IFERROR(__xludf.DUMMYFUNCTION("""COMPUTED_VALUE"""),"m")</f>
        <v>m</v>
      </c>
      <c r="M289" s="47" t="str">
        <f>IFERROR(__xludf.DUMMYFUNCTION("""COMPUTED_VALUE"""),"TheFatCats")</f>
        <v>TheFatCats</v>
      </c>
    </row>
    <row r="290">
      <c r="A290" s="47" t="str">
        <f>IFERROR(__xludf.DUMMYFUNCTION("""COMPUTED_VALUE"""),"Virtual Brown")</f>
        <v>Virtual Brown</v>
      </c>
      <c r="B290" s="47" t="str">
        <f>IFERROR(__xludf.DUMMYFUNCTION("""COMPUTED_VALUE"""),"Franca")</f>
        <v>Franca</v>
      </c>
      <c r="C290" s="78" t="str">
        <f>IFERROR(__xludf.DUMMYFUNCTION("""COMPUTED_VALUE"""),"https://www.munzee.com/m/Franca/583/")</f>
        <v>https://www.munzee.com/m/Franca/583/</v>
      </c>
      <c r="D290" s="47"/>
      <c r="E290" s="47" t="b">
        <f>IFERROR(__xludf.DUMMYFUNCTION("""COMPUTED_VALUE"""),TRUE)</f>
        <v>1</v>
      </c>
      <c r="F290" s="47" t="str">
        <f>IFERROR(__xludf.DUMMYFUNCTION("""COMPUTED_VALUE"""),"")</f>
        <v/>
      </c>
      <c r="G290" s="47" t="str">
        <f>IFERROR(__xludf.DUMMYFUNCTION("""COMPUTED_VALUE"""),"")</f>
        <v/>
      </c>
      <c r="H290" s="47"/>
      <c r="I290" s="47">
        <f>IFERROR(__xludf.DUMMYFUNCTION("""COMPUTED_VALUE"""),2.0)</f>
        <v>2</v>
      </c>
      <c r="J290" s="47" t="str">
        <f>IFERROR(__xludf.DUMMYFUNCTION("""COMPUTED_VALUE"""),"https:")</f>
        <v>https:</v>
      </c>
      <c r="K290" s="78" t="str">
        <f>IFERROR(__xludf.DUMMYFUNCTION("""COMPUTED_VALUE"""),"www.munzee.com")</f>
        <v>www.munzee.com</v>
      </c>
      <c r="L290" s="47" t="str">
        <f>IFERROR(__xludf.DUMMYFUNCTION("""COMPUTED_VALUE"""),"m")</f>
        <v>m</v>
      </c>
      <c r="M290" s="47" t="str">
        <f>IFERROR(__xludf.DUMMYFUNCTION("""COMPUTED_VALUE"""),"Franca")</f>
        <v>Franca</v>
      </c>
    </row>
    <row r="291">
      <c r="A291" s="47" t="str">
        <f>IFERROR(__xludf.DUMMYFUNCTION("""COMPUTED_VALUE"""),"Virtual Brown")</f>
        <v>Virtual Brown</v>
      </c>
      <c r="B291" s="47" t="str">
        <f>IFERROR(__xludf.DUMMYFUNCTION("""COMPUTED_VALUE"""),"TeamSarton ")</f>
        <v>TeamSarton </v>
      </c>
      <c r="C291" s="78" t="str">
        <f>IFERROR(__xludf.DUMMYFUNCTION("""COMPUTED_VALUE"""),"https://www.munzee.com/m/TeamSarton/935")</f>
        <v>https://www.munzee.com/m/TeamSarton/935</v>
      </c>
      <c r="D291" s="47"/>
      <c r="E291" s="47" t="b">
        <f>IFERROR(__xludf.DUMMYFUNCTION("""COMPUTED_VALUE"""),TRUE)</f>
        <v>1</v>
      </c>
      <c r="F291" s="47" t="str">
        <f>IFERROR(__xludf.DUMMYFUNCTION("""COMPUTED_VALUE"""),"")</f>
        <v/>
      </c>
      <c r="G291" s="47" t="str">
        <f>IFERROR(__xludf.DUMMYFUNCTION("""COMPUTED_VALUE"""),"")</f>
        <v/>
      </c>
      <c r="H291" s="47"/>
      <c r="I291" s="47">
        <f>IFERROR(__xludf.DUMMYFUNCTION("""COMPUTED_VALUE"""),2.0)</f>
        <v>2</v>
      </c>
      <c r="J291" s="47" t="str">
        <f>IFERROR(__xludf.DUMMYFUNCTION("""COMPUTED_VALUE"""),"https:")</f>
        <v>https:</v>
      </c>
      <c r="K291" s="78" t="str">
        <f>IFERROR(__xludf.DUMMYFUNCTION("""COMPUTED_VALUE"""),"www.munzee.com")</f>
        <v>www.munzee.com</v>
      </c>
      <c r="L291" s="47" t="str">
        <f>IFERROR(__xludf.DUMMYFUNCTION("""COMPUTED_VALUE"""),"m")</f>
        <v>m</v>
      </c>
      <c r="M291" s="47" t="str">
        <f>IFERROR(__xludf.DUMMYFUNCTION("""COMPUTED_VALUE"""),"TeamSarton")</f>
        <v>TeamSarton</v>
      </c>
    </row>
    <row r="292">
      <c r="A292" s="47" t="str">
        <f>IFERROR(__xludf.DUMMYFUNCTION("""COMPUTED_VALUE"""),"Virtual Brown")</f>
        <v>Virtual Brown</v>
      </c>
      <c r="B292" s="47" t="str">
        <f>IFERROR(__xludf.DUMMYFUNCTION("""COMPUTED_VALUE"""),"Bisquick2")</f>
        <v>Bisquick2</v>
      </c>
      <c r="C292" s="78" t="str">
        <f>IFERROR(__xludf.DUMMYFUNCTION("""COMPUTED_VALUE"""),"https://www.munzee.com/m/Bisquick2/4232")</f>
        <v>https://www.munzee.com/m/Bisquick2/4232</v>
      </c>
      <c r="D292" s="82">
        <f>IFERROR(__xludf.DUMMYFUNCTION("""COMPUTED_VALUE"""),44048.0)</f>
        <v>44048</v>
      </c>
      <c r="E292" s="47" t="b">
        <f>IFERROR(__xludf.DUMMYFUNCTION("""COMPUTED_VALUE"""),TRUE)</f>
        <v>1</v>
      </c>
      <c r="F292" s="47"/>
      <c r="G292" s="47" t="str">
        <f>IFERROR(__xludf.DUMMYFUNCTION("""COMPUTED_VALUE"""),"")</f>
        <v/>
      </c>
      <c r="H292" s="47"/>
      <c r="I292" s="47">
        <f>IFERROR(__xludf.DUMMYFUNCTION("""COMPUTED_VALUE"""),2.0)</f>
        <v>2</v>
      </c>
      <c r="J292" s="47" t="str">
        <f>IFERROR(__xludf.DUMMYFUNCTION("""COMPUTED_VALUE"""),"https:")</f>
        <v>https:</v>
      </c>
      <c r="K292" s="78" t="str">
        <f>IFERROR(__xludf.DUMMYFUNCTION("""COMPUTED_VALUE"""),"www.munzee.com")</f>
        <v>www.munzee.com</v>
      </c>
      <c r="L292" s="47" t="str">
        <f>IFERROR(__xludf.DUMMYFUNCTION("""COMPUTED_VALUE"""),"m")</f>
        <v>m</v>
      </c>
      <c r="M292" s="47" t="str">
        <f>IFERROR(__xludf.DUMMYFUNCTION("""COMPUTED_VALUE"""),"Bisquick2")</f>
        <v>Bisquick2</v>
      </c>
    </row>
    <row r="293">
      <c r="A293" s="47" t="str">
        <f>IFERROR(__xludf.DUMMYFUNCTION("""COMPUTED_VALUE"""),"Virtual Brown")</f>
        <v>Virtual Brown</v>
      </c>
      <c r="B293" s="47" t="str">
        <f>IFERROR(__xludf.DUMMYFUNCTION("""COMPUTED_VALUE"""),"TheFatCats")</f>
        <v>TheFatCats</v>
      </c>
      <c r="C293" s="78" t="str">
        <f>IFERROR(__xludf.DUMMYFUNCTION("""COMPUTED_VALUE"""),"https://www.munzee.com/m/TheFatCats/3866/")</f>
        <v>https://www.munzee.com/m/TheFatCats/3866/</v>
      </c>
      <c r="D293" s="47"/>
      <c r="E293" s="47" t="b">
        <f>IFERROR(__xludf.DUMMYFUNCTION("""COMPUTED_VALUE"""),TRUE)</f>
        <v>1</v>
      </c>
      <c r="F293" s="47" t="str">
        <f>IFERROR(__xludf.DUMMYFUNCTION("""COMPUTED_VALUE"""),"")</f>
        <v/>
      </c>
      <c r="G293" s="47" t="str">
        <f>IFERROR(__xludf.DUMMYFUNCTION("""COMPUTED_VALUE"""),"")</f>
        <v/>
      </c>
      <c r="H293" s="47"/>
      <c r="I293" s="47">
        <f>IFERROR(__xludf.DUMMYFUNCTION("""COMPUTED_VALUE"""),2.0)</f>
        <v>2</v>
      </c>
      <c r="J293" s="47" t="str">
        <f>IFERROR(__xludf.DUMMYFUNCTION("""COMPUTED_VALUE"""),"https:")</f>
        <v>https:</v>
      </c>
      <c r="K293" s="78" t="str">
        <f>IFERROR(__xludf.DUMMYFUNCTION("""COMPUTED_VALUE"""),"www.munzee.com")</f>
        <v>www.munzee.com</v>
      </c>
      <c r="L293" s="47" t="str">
        <f>IFERROR(__xludf.DUMMYFUNCTION("""COMPUTED_VALUE"""),"m")</f>
        <v>m</v>
      </c>
      <c r="M293" s="47" t="str">
        <f>IFERROR(__xludf.DUMMYFUNCTION("""COMPUTED_VALUE"""),"TheFatCats")</f>
        <v>TheFatCats</v>
      </c>
    </row>
    <row r="294">
      <c r="A294" s="47" t="str">
        <f>IFERROR(__xludf.DUMMYFUNCTION("""COMPUTED_VALUE"""),"Virtual Brown")</f>
        <v>Virtual Brown</v>
      </c>
      <c r="B294" s="47" t="str">
        <f>IFERROR(__xludf.DUMMYFUNCTION("""COMPUTED_VALUE"""),"BrotherWilliam")</f>
        <v>BrotherWilliam</v>
      </c>
      <c r="C294" s="78" t="str">
        <f>IFERROR(__xludf.DUMMYFUNCTION("""COMPUTED_VALUE"""),"https://www.munzee.com/m/BrotherWilliam/4138/")</f>
        <v>https://www.munzee.com/m/BrotherWilliam/4138/</v>
      </c>
      <c r="D294" s="47"/>
      <c r="E294" s="47" t="b">
        <f>IFERROR(__xludf.DUMMYFUNCTION("""COMPUTED_VALUE"""),TRUE)</f>
        <v>1</v>
      </c>
      <c r="F294" s="47" t="str">
        <f>IFERROR(__xludf.DUMMYFUNCTION("""COMPUTED_VALUE"""),"")</f>
        <v/>
      </c>
      <c r="G294" s="47" t="str">
        <f>IFERROR(__xludf.DUMMYFUNCTION("""COMPUTED_VALUE"""),"")</f>
        <v/>
      </c>
      <c r="H294" s="47"/>
      <c r="I294" s="47">
        <f>IFERROR(__xludf.DUMMYFUNCTION("""COMPUTED_VALUE"""),2.0)</f>
        <v>2</v>
      </c>
      <c r="J294" s="47" t="str">
        <f>IFERROR(__xludf.DUMMYFUNCTION("""COMPUTED_VALUE"""),"https:")</f>
        <v>https:</v>
      </c>
      <c r="K294" s="78" t="str">
        <f>IFERROR(__xludf.DUMMYFUNCTION("""COMPUTED_VALUE"""),"www.munzee.com")</f>
        <v>www.munzee.com</v>
      </c>
      <c r="L294" s="47" t="str">
        <f>IFERROR(__xludf.DUMMYFUNCTION("""COMPUTED_VALUE"""),"m")</f>
        <v>m</v>
      </c>
      <c r="M294" s="47" t="str">
        <f>IFERROR(__xludf.DUMMYFUNCTION("""COMPUTED_VALUE"""),"BrotherWilliam")</f>
        <v>BrotherWilliam</v>
      </c>
    </row>
    <row r="295">
      <c r="A295" s="47" t="str">
        <f>IFERROR(__xludf.DUMMYFUNCTION("""COMPUTED_VALUE"""),"Virtual Brown")</f>
        <v>Virtual Brown</v>
      </c>
      <c r="B295" s="47" t="str">
        <f>IFERROR(__xludf.DUMMYFUNCTION("""COMPUTED_VALUE"""),"Belladivadee ")</f>
        <v>Belladivadee </v>
      </c>
      <c r="C295" s="78" t="str">
        <f>IFERROR(__xludf.DUMMYFUNCTION("""COMPUTED_VALUE"""),"https://www.munzee.com/m/belladivadee/2976")</f>
        <v>https://www.munzee.com/m/belladivadee/2976</v>
      </c>
      <c r="D295" s="47"/>
      <c r="E295" s="47" t="b">
        <f>IFERROR(__xludf.DUMMYFUNCTION("""COMPUTED_VALUE"""),TRUE)</f>
        <v>1</v>
      </c>
      <c r="F295" s="47" t="str">
        <f>IFERROR(__xludf.DUMMYFUNCTION("""COMPUTED_VALUE"""),"")</f>
        <v/>
      </c>
      <c r="G295" s="47" t="str">
        <f>IFERROR(__xludf.DUMMYFUNCTION("""COMPUTED_VALUE"""),"")</f>
        <v/>
      </c>
      <c r="H295" s="47"/>
      <c r="I295" s="47">
        <f>IFERROR(__xludf.DUMMYFUNCTION("""COMPUTED_VALUE"""),2.0)</f>
        <v>2</v>
      </c>
      <c r="J295" s="47" t="str">
        <f>IFERROR(__xludf.DUMMYFUNCTION("""COMPUTED_VALUE"""),"https:")</f>
        <v>https:</v>
      </c>
      <c r="K295" s="78" t="str">
        <f>IFERROR(__xludf.DUMMYFUNCTION("""COMPUTED_VALUE"""),"www.munzee.com")</f>
        <v>www.munzee.com</v>
      </c>
      <c r="L295" s="47" t="str">
        <f>IFERROR(__xludf.DUMMYFUNCTION("""COMPUTED_VALUE"""),"m")</f>
        <v>m</v>
      </c>
      <c r="M295" s="47" t="str">
        <f>IFERROR(__xludf.DUMMYFUNCTION("""COMPUTED_VALUE"""),"belladivadee")</f>
        <v>belladivadee</v>
      </c>
    </row>
    <row r="296">
      <c r="A296" s="47" t="str">
        <f>IFERROR(__xludf.DUMMYFUNCTION("""COMPUTED_VALUE"""),"Virtual Brown")</f>
        <v>Virtual Brown</v>
      </c>
      <c r="B296" s="47" t="str">
        <f>IFERROR(__xludf.DUMMYFUNCTION("""COMPUTED_VALUE"""),"Questing4 ")</f>
        <v>Questing4 </v>
      </c>
      <c r="C296" s="78" t="str">
        <f>IFERROR(__xludf.DUMMYFUNCTION("""COMPUTED_VALUE"""),"https://www.munzee.com/m/Questing4/7158")</f>
        <v>https://www.munzee.com/m/Questing4/7158</v>
      </c>
      <c r="D296" s="47"/>
      <c r="E296" s="47" t="b">
        <f>IFERROR(__xludf.DUMMYFUNCTION("""COMPUTED_VALUE"""),TRUE)</f>
        <v>1</v>
      </c>
      <c r="F296" s="47" t="str">
        <f>IFERROR(__xludf.DUMMYFUNCTION("""COMPUTED_VALUE"""),"")</f>
        <v/>
      </c>
      <c r="G296" s="47" t="str">
        <f>IFERROR(__xludf.DUMMYFUNCTION("""COMPUTED_VALUE"""),"")</f>
        <v/>
      </c>
      <c r="H296" s="47"/>
      <c r="I296" s="47">
        <f>IFERROR(__xludf.DUMMYFUNCTION("""COMPUTED_VALUE"""),2.0)</f>
        <v>2</v>
      </c>
      <c r="J296" s="47" t="str">
        <f>IFERROR(__xludf.DUMMYFUNCTION("""COMPUTED_VALUE"""),"https:")</f>
        <v>https:</v>
      </c>
      <c r="K296" s="78" t="str">
        <f>IFERROR(__xludf.DUMMYFUNCTION("""COMPUTED_VALUE"""),"www.munzee.com")</f>
        <v>www.munzee.com</v>
      </c>
      <c r="L296" s="47" t="str">
        <f>IFERROR(__xludf.DUMMYFUNCTION("""COMPUTED_VALUE"""),"m")</f>
        <v>m</v>
      </c>
      <c r="M296" s="47" t="str">
        <f>IFERROR(__xludf.DUMMYFUNCTION("""COMPUTED_VALUE"""),"Questing4")</f>
        <v>Questing4</v>
      </c>
    </row>
    <row r="297">
      <c r="A297" s="47" t="str">
        <f>IFERROR(__xludf.DUMMYFUNCTION("""COMPUTED_VALUE"""),"Virtual Raw Sienna")</f>
        <v>Virtual Raw Sienna</v>
      </c>
      <c r="B297" s="47" t="str">
        <f>IFERROR(__xludf.DUMMYFUNCTION("""COMPUTED_VALUE"""),"Fossillady")</f>
        <v>Fossillady</v>
      </c>
      <c r="C297" s="78" t="str">
        <f>IFERROR(__xludf.DUMMYFUNCTION("""COMPUTED_VALUE"""),"https://www.munzee.com/m/Fossillady/3396/")</f>
        <v>https://www.munzee.com/m/Fossillady/3396/</v>
      </c>
      <c r="D297" s="47"/>
      <c r="E297" s="47" t="b">
        <f>IFERROR(__xludf.DUMMYFUNCTION("""COMPUTED_VALUE"""),TRUE)</f>
        <v>1</v>
      </c>
      <c r="F297" s="47" t="str">
        <f>IFERROR(__xludf.DUMMYFUNCTION("""COMPUTED_VALUE"""),"")</f>
        <v/>
      </c>
      <c r="G297" s="47" t="str">
        <f>IFERROR(__xludf.DUMMYFUNCTION("""COMPUTED_VALUE"""),"")</f>
        <v/>
      </c>
      <c r="H297" s="47"/>
      <c r="I297" s="47">
        <f>IFERROR(__xludf.DUMMYFUNCTION("""COMPUTED_VALUE"""),2.0)</f>
        <v>2</v>
      </c>
      <c r="J297" s="47" t="str">
        <f>IFERROR(__xludf.DUMMYFUNCTION("""COMPUTED_VALUE"""),"https:")</f>
        <v>https:</v>
      </c>
      <c r="K297" s="78" t="str">
        <f>IFERROR(__xludf.DUMMYFUNCTION("""COMPUTED_VALUE"""),"www.munzee.com")</f>
        <v>www.munzee.com</v>
      </c>
      <c r="L297" s="47" t="str">
        <f>IFERROR(__xludf.DUMMYFUNCTION("""COMPUTED_VALUE"""),"m")</f>
        <v>m</v>
      </c>
      <c r="M297" s="47" t="str">
        <f>IFERROR(__xludf.DUMMYFUNCTION("""COMPUTED_VALUE"""),"Fossillady")</f>
        <v>Fossillady</v>
      </c>
    </row>
    <row r="298">
      <c r="A298" s="47" t="str">
        <f>IFERROR(__xludf.DUMMYFUNCTION("""COMPUTED_VALUE"""),"Virtual Brown")</f>
        <v>Virtual Brown</v>
      </c>
      <c r="B298" s="47" t="str">
        <f>IFERROR(__xludf.DUMMYFUNCTION("""COMPUTED_VALUE"""),"amundadus")</f>
        <v>amundadus</v>
      </c>
      <c r="C298" s="78" t="str">
        <f>IFERROR(__xludf.DUMMYFUNCTION("""COMPUTED_VALUE"""),"https://www.munzee.com/m/amundadus/1378")</f>
        <v>https://www.munzee.com/m/amundadus/1378</v>
      </c>
      <c r="D298" s="47"/>
      <c r="E298" s="47" t="b">
        <f>IFERROR(__xludf.DUMMYFUNCTION("""COMPUTED_VALUE"""),TRUE)</f>
        <v>1</v>
      </c>
      <c r="F298" s="47" t="str">
        <f>IFERROR(__xludf.DUMMYFUNCTION("""COMPUTED_VALUE"""),"")</f>
        <v/>
      </c>
      <c r="G298" s="47" t="str">
        <f>IFERROR(__xludf.DUMMYFUNCTION("""COMPUTED_VALUE"""),"")</f>
        <v/>
      </c>
      <c r="H298" s="47"/>
      <c r="I298" s="47">
        <f>IFERROR(__xludf.DUMMYFUNCTION("""COMPUTED_VALUE"""),2.0)</f>
        <v>2</v>
      </c>
      <c r="J298" s="47" t="str">
        <f>IFERROR(__xludf.DUMMYFUNCTION("""COMPUTED_VALUE"""),"https:")</f>
        <v>https:</v>
      </c>
      <c r="K298" s="78" t="str">
        <f>IFERROR(__xludf.DUMMYFUNCTION("""COMPUTED_VALUE"""),"www.munzee.com")</f>
        <v>www.munzee.com</v>
      </c>
      <c r="L298" s="47" t="str">
        <f>IFERROR(__xludf.DUMMYFUNCTION("""COMPUTED_VALUE"""),"m")</f>
        <v>m</v>
      </c>
      <c r="M298" s="47" t="str">
        <f>IFERROR(__xludf.DUMMYFUNCTION("""COMPUTED_VALUE"""),"amundadus")</f>
        <v>amundadus</v>
      </c>
    </row>
    <row r="299">
      <c r="A299" s="47" t="str">
        <f>IFERROR(__xludf.DUMMYFUNCTION("""COMPUTED_VALUE"""),"Virtual Brown")</f>
        <v>Virtual Brown</v>
      </c>
      <c r="B299" s="47" t="str">
        <f>IFERROR(__xludf.DUMMYFUNCTION("""COMPUTED_VALUE"""),"BrotherWilliam")</f>
        <v>BrotherWilliam</v>
      </c>
      <c r="C299" s="78" t="str">
        <f>IFERROR(__xludf.DUMMYFUNCTION("""COMPUTED_VALUE"""),"https://www.munzee.com/m/BrotherWilliam/4143/")</f>
        <v>https://www.munzee.com/m/BrotherWilliam/4143/</v>
      </c>
      <c r="D299" s="47"/>
      <c r="E299" s="47" t="b">
        <f>IFERROR(__xludf.DUMMYFUNCTION("""COMPUTED_VALUE"""),TRUE)</f>
        <v>1</v>
      </c>
      <c r="F299" s="47" t="str">
        <f>IFERROR(__xludf.DUMMYFUNCTION("""COMPUTED_VALUE"""),"")</f>
        <v/>
      </c>
      <c r="G299" s="47" t="str">
        <f>IFERROR(__xludf.DUMMYFUNCTION("""COMPUTED_VALUE"""),"")</f>
        <v/>
      </c>
      <c r="H299" s="47"/>
      <c r="I299" s="47">
        <f>IFERROR(__xludf.DUMMYFUNCTION("""COMPUTED_VALUE"""),2.0)</f>
        <v>2</v>
      </c>
      <c r="J299" s="47" t="str">
        <f>IFERROR(__xludf.DUMMYFUNCTION("""COMPUTED_VALUE"""),"https:")</f>
        <v>https:</v>
      </c>
      <c r="K299" s="78" t="str">
        <f>IFERROR(__xludf.DUMMYFUNCTION("""COMPUTED_VALUE"""),"www.munzee.com")</f>
        <v>www.munzee.com</v>
      </c>
      <c r="L299" s="47" t="str">
        <f>IFERROR(__xludf.DUMMYFUNCTION("""COMPUTED_VALUE"""),"m")</f>
        <v>m</v>
      </c>
      <c r="M299" s="47" t="str">
        <f>IFERROR(__xludf.DUMMYFUNCTION("""COMPUTED_VALUE"""),"BrotherWilliam")</f>
        <v>BrotherWilliam</v>
      </c>
    </row>
    <row r="300">
      <c r="A300" s="47" t="str">
        <f>IFERROR(__xludf.DUMMYFUNCTION("""COMPUTED_VALUE"""),"Virtual Raw Sienna")</f>
        <v>Virtual Raw Sienna</v>
      </c>
      <c r="B300" s="47" t="str">
        <f>IFERROR(__xludf.DUMMYFUNCTION("""COMPUTED_VALUE"""),"Anetzet ")</f>
        <v>Anetzet </v>
      </c>
      <c r="C300" s="78" t="str">
        <f>IFERROR(__xludf.DUMMYFUNCTION("""COMPUTED_VALUE"""),"https://www.munzee.com/m/Anetzet/2636/")</f>
        <v>https://www.munzee.com/m/Anetzet/2636/</v>
      </c>
      <c r="D300" s="47"/>
      <c r="E300" s="47" t="b">
        <f>IFERROR(__xludf.DUMMYFUNCTION("""COMPUTED_VALUE"""),TRUE)</f>
        <v>1</v>
      </c>
      <c r="F300" s="47" t="str">
        <f>IFERROR(__xludf.DUMMYFUNCTION("""COMPUTED_VALUE"""),"")</f>
        <v/>
      </c>
      <c r="G300" s="47" t="str">
        <f>IFERROR(__xludf.DUMMYFUNCTION("""COMPUTED_VALUE"""),"")</f>
        <v/>
      </c>
      <c r="H300" s="47"/>
      <c r="I300" s="47">
        <f>IFERROR(__xludf.DUMMYFUNCTION("""COMPUTED_VALUE"""),2.0)</f>
        <v>2</v>
      </c>
      <c r="J300" s="47" t="str">
        <f>IFERROR(__xludf.DUMMYFUNCTION("""COMPUTED_VALUE"""),"https:")</f>
        <v>https:</v>
      </c>
      <c r="K300" s="78" t="str">
        <f>IFERROR(__xludf.DUMMYFUNCTION("""COMPUTED_VALUE"""),"www.munzee.com")</f>
        <v>www.munzee.com</v>
      </c>
      <c r="L300" s="47" t="str">
        <f>IFERROR(__xludf.DUMMYFUNCTION("""COMPUTED_VALUE"""),"m")</f>
        <v>m</v>
      </c>
      <c r="M300" s="47" t="str">
        <f>IFERROR(__xludf.DUMMYFUNCTION("""COMPUTED_VALUE"""),"Anetzet")</f>
        <v>Anetzet</v>
      </c>
    </row>
    <row r="301">
      <c r="A301" s="47" t="str">
        <f>IFERROR(__xludf.DUMMYFUNCTION("""COMPUTED_VALUE"""),"Virtual Brown")</f>
        <v>Virtual Brown</v>
      </c>
      <c r="B301" s="47" t="str">
        <f>IFERROR(__xludf.DUMMYFUNCTION("""COMPUTED_VALUE"""),"TheFrog")</f>
        <v>TheFrog</v>
      </c>
      <c r="C301" s="78" t="str">
        <f>IFERROR(__xludf.DUMMYFUNCTION("""COMPUTED_VALUE"""),"https://www.munzee.com/m/TheFrog/4146/")</f>
        <v>https://www.munzee.com/m/TheFrog/4146/</v>
      </c>
      <c r="D301" s="47"/>
      <c r="E301" s="47" t="b">
        <f>IFERROR(__xludf.DUMMYFUNCTION("""COMPUTED_VALUE"""),TRUE)</f>
        <v>1</v>
      </c>
      <c r="F301" s="47" t="str">
        <f>IFERROR(__xludf.DUMMYFUNCTION("""COMPUTED_VALUE"""),"")</f>
        <v/>
      </c>
      <c r="G301" s="47" t="str">
        <f>IFERROR(__xludf.DUMMYFUNCTION("""COMPUTED_VALUE"""),"")</f>
        <v/>
      </c>
      <c r="H301" s="47"/>
      <c r="I301" s="47">
        <f>IFERROR(__xludf.DUMMYFUNCTION("""COMPUTED_VALUE"""),2.0)</f>
        <v>2</v>
      </c>
      <c r="J301" s="47" t="str">
        <f>IFERROR(__xludf.DUMMYFUNCTION("""COMPUTED_VALUE"""),"https:")</f>
        <v>https:</v>
      </c>
      <c r="K301" s="78" t="str">
        <f>IFERROR(__xludf.DUMMYFUNCTION("""COMPUTED_VALUE"""),"www.munzee.com")</f>
        <v>www.munzee.com</v>
      </c>
      <c r="L301" s="47" t="str">
        <f>IFERROR(__xludf.DUMMYFUNCTION("""COMPUTED_VALUE"""),"m")</f>
        <v>m</v>
      </c>
      <c r="M301" s="47" t="str">
        <f>IFERROR(__xludf.DUMMYFUNCTION("""COMPUTED_VALUE"""),"TheFrog")</f>
        <v>TheFrog</v>
      </c>
    </row>
    <row r="302">
      <c r="A302" s="47" t="str">
        <f>IFERROR(__xludf.DUMMYFUNCTION("""COMPUTED_VALUE"""),"Virtual Brown")</f>
        <v>Virtual Brown</v>
      </c>
      <c r="B302" s="47" t="str">
        <f>IFERROR(__xludf.DUMMYFUNCTION("""COMPUTED_VALUE"""),"123xilef")</f>
        <v>123xilef</v>
      </c>
      <c r="C302" s="78" t="str">
        <f>IFERROR(__xludf.DUMMYFUNCTION("""COMPUTED_VALUE"""),"https://www.munzee.com/m/123xilef/6653/")</f>
        <v>https://www.munzee.com/m/123xilef/6653/</v>
      </c>
      <c r="D302" s="47"/>
      <c r="E302" s="47" t="b">
        <f>IFERROR(__xludf.DUMMYFUNCTION("""COMPUTED_VALUE"""),TRUE)</f>
        <v>1</v>
      </c>
      <c r="F302" s="47" t="str">
        <f>IFERROR(__xludf.DUMMYFUNCTION("""COMPUTED_VALUE"""),"")</f>
        <v/>
      </c>
      <c r="G302" s="47" t="str">
        <f>IFERROR(__xludf.DUMMYFUNCTION("""COMPUTED_VALUE"""),"")</f>
        <v/>
      </c>
      <c r="H302" s="47"/>
      <c r="I302" s="47">
        <f>IFERROR(__xludf.DUMMYFUNCTION("""COMPUTED_VALUE"""),2.0)</f>
        <v>2</v>
      </c>
      <c r="J302" s="47" t="str">
        <f>IFERROR(__xludf.DUMMYFUNCTION("""COMPUTED_VALUE"""),"https:")</f>
        <v>https:</v>
      </c>
      <c r="K302" s="78" t="str">
        <f>IFERROR(__xludf.DUMMYFUNCTION("""COMPUTED_VALUE"""),"www.munzee.com")</f>
        <v>www.munzee.com</v>
      </c>
      <c r="L302" s="47" t="str">
        <f>IFERROR(__xludf.DUMMYFUNCTION("""COMPUTED_VALUE"""),"m")</f>
        <v>m</v>
      </c>
      <c r="M302" s="47" t="str">
        <f>IFERROR(__xludf.DUMMYFUNCTION("""COMPUTED_VALUE"""),"123xilef")</f>
        <v>123xilef</v>
      </c>
    </row>
    <row r="303">
      <c r="A303" s="47" t="str">
        <f>IFERROR(__xludf.DUMMYFUNCTION("""COMPUTED_VALUE"""),"Virtual Raw Sienna")</f>
        <v>Virtual Raw Sienna</v>
      </c>
      <c r="B303" s="47" t="str">
        <f>IFERROR(__xludf.DUMMYFUNCTION("""COMPUTED_VALUE"""),"Wangotango")</f>
        <v>Wangotango</v>
      </c>
      <c r="C303" s="78" t="str">
        <f>IFERROR(__xludf.DUMMYFUNCTION("""COMPUTED_VALUE"""),"https://www.munzee.com/m/Wangotango/1231")</f>
        <v>https://www.munzee.com/m/Wangotango/1231</v>
      </c>
      <c r="D303" s="47"/>
      <c r="E303" s="47" t="b">
        <f>IFERROR(__xludf.DUMMYFUNCTION("""COMPUTED_VALUE"""),TRUE)</f>
        <v>1</v>
      </c>
      <c r="F303" s="47" t="str">
        <f>IFERROR(__xludf.DUMMYFUNCTION("""COMPUTED_VALUE"""),"")</f>
        <v/>
      </c>
      <c r="G303" s="47" t="str">
        <f>IFERROR(__xludf.DUMMYFUNCTION("""COMPUTED_VALUE"""),"")</f>
        <v/>
      </c>
      <c r="H303" s="47"/>
      <c r="I303" s="47">
        <f>IFERROR(__xludf.DUMMYFUNCTION("""COMPUTED_VALUE"""),2.0)</f>
        <v>2</v>
      </c>
      <c r="J303" s="47" t="str">
        <f>IFERROR(__xludf.DUMMYFUNCTION("""COMPUTED_VALUE"""),"https:")</f>
        <v>https:</v>
      </c>
      <c r="K303" s="78" t="str">
        <f>IFERROR(__xludf.DUMMYFUNCTION("""COMPUTED_VALUE"""),"www.munzee.com")</f>
        <v>www.munzee.com</v>
      </c>
      <c r="L303" s="47" t="str">
        <f>IFERROR(__xludf.DUMMYFUNCTION("""COMPUTED_VALUE"""),"m")</f>
        <v>m</v>
      </c>
      <c r="M303" s="47" t="str">
        <f>IFERROR(__xludf.DUMMYFUNCTION("""COMPUTED_VALUE"""),"Wangotango")</f>
        <v>Wangotango</v>
      </c>
    </row>
    <row r="304">
      <c r="A304" s="47" t="str">
        <f>IFERROR(__xludf.DUMMYFUNCTION("""COMPUTED_VALUE"""),"Virtual Brown")</f>
        <v>Virtual Brown</v>
      </c>
      <c r="B304" s="47" t="str">
        <f>IFERROR(__xludf.DUMMYFUNCTION("""COMPUTED_VALUE"""),"EmileP68")</f>
        <v>EmileP68</v>
      </c>
      <c r="C304" s="78" t="str">
        <f>IFERROR(__xludf.DUMMYFUNCTION("""COMPUTED_VALUE"""),"https://www.munzee.com/m/EmileP68/3371/")</f>
        <v>https://www.munzee.com/m/EmileP68/3371/</v>
      </c>
      <c r="D304" s="47"/>
      <c r="E304" s="47" t="b">
        <f>IFERROR(__xludf.DUMMYFUNCTION("""COMPUTED_VALUE"""),TRUE)</f>
        <v>1</v>
      </c>
      <c r="F304" s="47" t="str">
        <f>IFERROR(__xludf.DUMMYFUNCTION("""COMPUTED_VALUE"""),"")</f>
        <v/>
      </c>
      <c r="G304" s="47" t="str">
        <f>IFERROR(__xludf.DUMMYFUNCTION("""COMPUTED_VALUE"""),"")</f>
        <v/>
      </c>
      <c r="H304" s="47"/>
      <c r="I304" s="47">
        <f>IFERROR(__xludf.DUMMYFUNCTION("""COMPUTED_VALUE"""),2.0)</f>
        <v>2</v>
      </c>
      <c r="J304" s="47" t="str">
        <f>IFERROR(__xludf.DUMMYFUNCTION("""COMPUTED_VALUE"""),"https:")</f>
        <v>https:</v>
      </c>
      <c r="K304" s="78" t="str">
        <f>IFERROR(__xludf.DUMMYFUNCTION("""COMPUTED_VALUE"""),"www.munzee.com")</f>
        <v>www.munzee.com</v>
      </c>
      <c r="L304" s="47" t="str">
        <f>IFERROR(__xludf.DUMMYFUNCTION("""COMPUTED_VALUE"""),"m")</f>
        <v>m</v>
      </c>
      <c r="M304" s="47" t="str">
        <f>IFERROR(__xludf.DUMMYFUNCTION("""COMPUTED_VALUE"""),"EmileP68")</f>
        <v>EmileP68</v>
      </c>
    </row>
    <row r="305">
      <c r="A305" s="47" t="str">
        <f>IFERROR(__xludf.DUMMYFUNCTION("""COMPUTED_VALUE"""),"Virtual Brown")</f>
        <v>Virtual Brown</v>
      </c>
      <c r="B305" s="47" t="str">
        <f>IFERROR(__xludf.DUMMYFUNCTION("""COMPUTED_VALUE"""),"Amadoreugen")</f>
        <v>Amadoreugen</v>
      </c>
      <c r="C305" s="78" t="str">
        <f>IFERROR(__xludf.DUMMYFUNCTION("""COMPUTED_VALUE"""),"https://www.munzee.com/m/amadoreugen/5811")</f>
        <v>https://www.munzee.com/m/amadoreugen/5811</v>
      </c>
      <c r="D305" s="47"/>
      <c r="E305" s="47" t="b">
        <f>IFERROR(__xludf.DUMMYFUNCTION("""COMPUTED_VALUE"""),TRUE)</f>
        <v>1</v>
      </c>
      <c r="F305" s="47" t="str">
        <f>IFERROR(__xludf.DUMMYFUNCTION("""COMPUTED_VALUE"""),"")</f>
        <v/>
      </c>
      <c r="G305" s="47" t="str">
        <f>IFERROR(__xludf.DUMMYFUNCTION("""COMPUTED_VALUE"""),"")</f>
        <v/>
      </c>
      <c r="H305" s="47"/>
      <c r="I305" s="47">
        <f>IFERROR(__xludf.DUMMYFUNCTION("""COMPUTED_VALUE"""),2.0)</f>
        <v>2</v>
      </c>
      <c r="J305" s="47" t="str">
        <f>IFERROR(__xludf.DUMMYFUNCTION("""COMPUTED_VALUE"""),"https:")</f>
        <v>https:</v>
      </c>
      <c r="K305" s="78" t="str">
        <f>IFERROR(__xludf.DUMMYFUNCTION("""COMPUTED_VALUE"""),"www.munzee.com")</f>
        <v>www.munzee.com</v>
      </c>
      <c r="L305" s="47" t="str">
        <f>IFERROR(__xludf.DUMMYFUNCTION("""COMPUTED_VALUE"""),"m")</f>
        <v>m</v>
      </c>
      <c r="M305" s="47" t="str">
        <f>IFERROR(__xludf.DUMMYFUNCTION("""COMPUTED_VALUE"""),"amadoreugen")</f>
        <v>amadoreugen</v>
      </c>
    </row>
    <row r="306">
      <c r="A306" s="47" t="str">
        <f>IFERROR(__xludf.DUMMYFUNCTION("""COMPUTED_VALUE"""),"Virtual Brown")</f>
        <v>Virtual Brown</v>
      </c>
      <c r="B306" s="47" t="str">
        <f>IFERROR(__xludf.DUMMYFUNCTION("""COMPUTED_VALUE"""),"Derlame ")</f>
        <v>Derlame </v>
      </c>
      <c r="C306" s="78" t="str">
        <f>IFERROR(__xludf.DUMMYFUNCTION("""COMPUTED_VALUE"""),"https://www.munzee.com/m/Derlame/13403/")</f>
        <v>https://www.munzee.com/m/Derlame/13403/</v>
      </c>
      <c r="D306" s="47"/>
      <c r="E306" s="47" t="b">
        <f>IFERROR(__xludf.DUMMYFUNCTION("""COMPUTED_VALUE"""),TRUE)</f>
        <v>1</v>
      </c>
      <c r="F306" s="47" t="str">
        <f>IFERROR(__xludf.DUMMYFUNCTION("""COMPUTED_VALUE"""),"")</f>
        <v/>
      </c>
      <c r="G306" s="47" t="str">
        <f>IFERROR(__xludf.DUMMYFUNCTION("""COMPUTED_VALUE"""),"")</f>
        <v/>
      </c>
      <c r="H306" s="47"/>
      <c r="I306" s="47">
        <f>IFERROR(__xludf.DUMMYFUNCTION("""COMPUTED_VALUE"""),2.0)</f>
        <v>2</v>
      </c>
      <c r="J306" s="47" t="str">
        <f>IFERROR(__xludf.DUMMYFUNCTION("""COMPUTED_VALUE"""),"https:")</f>
        <v>https:</v>
      </c>
      <c r="K306" s="78" t="str">
        <f>IFERROR(__xludf.DUMMYFUNCTION("""COMPUTED_VALUE"""),"www.munzee.com")</f>
        <v>www.munzee.com</v>
      </c>
      <c r="L306" s="47" t="str">
        <f>IFERROR(__xludf.DUMMYFUNCTION("""COMPUTED_VALUE"""),"m")</f>
        <v>m</v>
      </c>
      <c r="M306" s="47" t="str">
        <f>IFERROR(__xludf.DUMMYFUNCTION("""COMPUTED_VALUE"""),"Derlame")</f>
        <v>Derlame</v>
      </c>
    </row>
    <row r="307">
      <c r="A307" s="47" t="str">
        <f>IFERROR(__xludf.DUMMYFUNCTION("""COMPUTED_VALUE"""),"Virtual Brown")</f>
        <v>Virtual Brown</v>
      </c>
      <c r="B307" s="47" t="str">
        <f>IFERROR(__xludf.DUMMYFUNCTION("""COMPUTED_VALUE"""),"sverlaan")</f>
        <v>sverlaan</v>
      </c>
      <c r="C307" s="78" t="str">
        <f>IFERROR(__xludf.DUMMYFUNCTION("""COMPUTED_VALUE"""),"https://www.munzee.com/m/sverlaan/4100/")</f>
        <v>https://www.munzee.com/m/sverlaan/4100/</v>
      </c>
      <c r="D307" s="82">
        <f>IFERROR(__xludf.DUMMYFUNCTION("""COMPUTED_VALUE"""),44046.0)</f>
        <v>44046</v>
      </c>
      <c r="E307" s="47" t="b">
        <f>IFERROR(__xludf.DUMMYFUNCTION("""COMPUTED_VALUE"""),TRUE)</f>
        <v>1</v>
      </c>
      <c r="F307" s="47" t="str">
        <f>IFERROR(__xludf.DUMMYFUNCTION("""COMPUTED_VALUE"""),"")</f>
        <v/>
      </c>
      <c r="G307" s="47" t="str">
        <f>IFERROR(__xludf.DUMMYFUNCTION("""COMPUTED_VALUE"""),"")</f>
        <v/>
      </c>
      <c r="H307" s="47"/>
      <c r="I307" s="47">
        <f>IFERROR(__xludf.DUMMYFUNCTION("""COMPUTED_VALUE"""),2.0)</f>
        <v>2</v>
      </c>
      <c r="J307" s="47" t="str">
        <f>IFERROR(__xludf.DUMMYFUNCTION("""COMPUTED_VALUE"""),"https:")</f>
        <v>https:</v>
      </c>
      <c r="K307" s="78" t="str">
        <f>IFERROR(__xludf.DUMMYFUNCTION("""COMPUTED_VALUE"""),"www.munzee.com")</f>
        <v>www.munzee.com</v>
      </c>
      <c r="L307" s="47" t="str">
        <f>IFERROR(__xludf.DUMMYFUNCTION("""COMPUTED_VALUE"""),"m")</f>
        <v>m</v>
      </c>
      <c r="M307" s="47" t="str">
        <f>IFERROR(__xludf.DUMMYFUNCTION("""COMPUTED_VALUE"""),"sverlaan")</f>
        <v>sverlaan</v>
      </c>
    </row>
    <row r="308">
      <c r="A308" s="47" t="str">
        <f>IFERROR(__xludf.DUMMYFUNCTION("""COMPUTED_VALUE"""),"Virtual Brown")</f>
        <v>Virtual Brown</v>
      </c>
      <c r="B308" s="47" t="str">
        <f>IFERROR(__xludf.DUMMYFUNCTION("""COMPUTED_VALUE"""),"BartWullems")</f>
        <v>BartWullems</v>
      </c>
      <c r="C308" s="78" t="str">
        <f>IFERROR(__xludf.DUMMYFUNCTION("""COMPUTED_VALUE"""),"https://www.munzee.com/m/BartWullems/5613")</f>
        <v>https://www.munzee.com/m/BartWullems/5613</v>
      </c>
      <c r="D308" s="47"/>
      <c r="E308" s="47" t="b">
        <f>IFERROR(__xludf.DUMMYFUNCTION("""COMPUTED_VALUE"""),TRUE)</f>
        <v>1</v>
      </c>
      <c r="F308" s="47" t="str">
        <f>IFERROR(__xludf.DUMMYFUNCTION("""COMPUTED_VALUE"""),"")</f>
        <v/>
      </c>
      <c r="G308" s="47" t="str">
        <f>IFERROR(__xludf.DUMMYFUNCTION("""COMPUTED_VALUE"""),"")</f>
        <v/>
      </c>
      <c r="H308" s="47"/>
      <c r="I308" s="47">
        <f>IFERROR(__xludf.DUMMYFUNCTION("""COMPUTED_VALUE"""),2.0)</f>
        <v>2</v>
      </c>
      <c r="J308" s="47" t="str">
        <f>IFERROR(__xludf.DUMMYFUNCTION("""COMPUTED_VALUE"""),"https:")</f>
        <v>https:</v>
      </c>
      <c r="K308" s="78" t="str">
        <f>IFERROR(__xludf.DUMMYFUNCTION("""COMPUTED_VALUE"""),"www.munzee.com")</f>
        <v>www.munzee.com</v>
      </c>
      <c r="L308" s="47" t="str">
        <f>IFERROR(__xludf.DUMMYFUNCTION("""COMPUTED_VALUE"""),"m")</f>
        <v>m</v>
      </c>
      <c r="M308" s="47" t="str">
        <f>IFERROR(__xludf.DUMMYFUNCTION("""COMPUTED_VALUE"""),"BartWullems")</f>
        <v>BartWullems</v>
      </c>
    </row>
    <row r="309">
      <c r="A309" s="47" t="str">
        <f>IFERROR(__xludf.DUMMYFUNCTION("""COMPUTED_VALUE"""),"Virtual Brown")</f>
        <v>Virtual Brown</v>
      </c>
      <c r="B309" s="47" t="str">
        <f>IFERROR(__xludf.DUMMYFUNCTION("""COMPUTED_VALUE"""),"LadyAnneRaven")</f>
        <v>LadyAnneRaven</v>
      </c>
      <c r="C309" s="78" t="str">
        <f>IFERROR(__xludf.DUMMYFUNCTION("""COMPUTED_VALUE"""),"https://www.Munzee.com/m/ladyanneraven/199/")</f>
        <v>https://www.Munzee.com/m/ladyanneraven/199/</v>
      </c>
      <c r="D309" s="47"/>
      <c r="E309" s="47" t="b">
        <f>IFERROR(__xludf.DUMMYFUNCTION("""COMPUTED_VALUE"""),TRUE)</f>
        <v>1</v>
      </c>
      <c r="F309" s="47" t="str">
        <f>IFERROR(__xludf.DUMMYFUNCTION("""COMPUTED_VALUE"""),"")</f>
        <v/>
      </c>
      <c r="G309" s="47" t="str">
        <f>IFERROR(__xludf.DUMMYFUNCTION("""COMPUTED_VALUE"""),"")</f>
        <v/>
      </c>
      <c r="H309" s="47"/>
      <c r="I309" s="47">
        <f>IFERROR(__xludf.DUMMYFUNCTION("""COMPUTED_VALUE"""),2.0)</f>
        <v>2</v>
      </c>
      <c r="J309" s="47" t="str">
        <f>IFERROR(__xludf.DUMMYFUNCTION("""COMPUTED_VALUE"""),"https:")</f>
        <v>https:</v>
      </c>
      <c r="K309" s="78" t="str">
        <f>IFERROR(__xludf.DUMMYFUNCTION("""COMPUTED_VALUE"""),"www.Munzee.com")</f>
        <v>www.Munzee.com</v>
      </c>
      <c r="L309" s="47" t="str">
        <f>IFERROR(__xludf.DUMMYFUNCTION("""COMPUTED_VALUE"""),"m")</f>
        <v>m</v>
      </c>
      <c r="M309" s="47" t="str">
        <f>IFERROR(__xludf.DUMMYFUNCTION("""COMPUTED_VALUE"""),"ladyanneraven")</f>
        <v>ladyanneraven</v>
      </c>
    </row>
    <row r="310">
      <c r="A310" s="47" t="str">
        <f>IFERROR(__xludf.DUMMYFUNCTION("""COMPUTED_VALUE"""),"Virtual Raw Sienna")</f>
        <v>Virtual Raw Sienna</v>
      </c>
      <c r="B310" s="47" t="str">
        <f>IFERROR(__xludf.DUMMYFUNCTION("""COMPUTED_VALUE"""),"TheFatCats")</f>
        <v>TheFatCats</v>
      </c>
      <c r="C310" s="78" t="str">
        <f>IFERROR(__xludf.DUMMYFUNCTION("""COMPUTED_VALUE"""),"https://www.munzee.com/m/TheFatCats/3643/")</f>
        <v>https://www.munzee.com/m/TheFatCats/3643/</v>
      </c>
      <c r="D310" s="47"/>
      <c r="E310" s="47" t="b">
        <f>IFERROR(__xludf.DUMMYFUNCTION("""COMPUTED_VALUE"""),TRUE)</f>
        <v>1</v>
      </c>
      <c r="F310" s="47" t="str">
        <f>IFERROR(__xludf.DUMMYFUNCTION("""COMPUTED_VALUE"""),"")</f>
        <v/>
      </c>
      <c r="G310" s="47" t="str">
        <f>IFERROR(__xludf.DUMMYFUNCTION("""COMPUTED_VALUE"""),"")</f>
        <v/>
      </c>
      <c r="H310" s="47"/>
      <c r="I310" s="47">
        <f>IFERROR(__xludf.DUMMYFUNCTION("""COMPUTED_VALUE"""),2.0)</f>
        <v>2</v>
      </c>
      <c r="J310" s="47" t="str">
        <f>IFERROR(__xludf.DUMMYFUNCTION("""COMPUTED_VALUE"""),"https:")</f>
        <v>https:</v>
      </c>
      <c r="K310" s="78" t="str">
        <f>IFERROR(__xludf.DUMMYFUNCTION("""COMPUTED_VALUE"""),"www.munzee.com")</f>
        <v>www.munzee.com</v>
      </c>
      <c r="L310" s="47" t="str">
        <f>IFERROR(__xludf.DUMMYFUNCTION("""COMPUTED_VALUE"""),"m")</f>
        <v>m</v>
      </c>
      <c r="M310" s="47" t="str">
        <f>IFERROR(__xludf.DUMMYFUNCTION("""COMPUTED_VALUE"""),"TheFatCats")</f>
        <v>TheFatCats</v>
      </c>
    </row>
    <row r="311">
      <c r="A311" s="47" t="str">
        <f>IFERROR(__xludf.DUMMYFUNCTION("""COMPUTED_VALUE"""),"Virtual Raw Sienna")</f>
        <v>Virtual Raw Sienna</v>
      </c>
      <c r="B311" s="47" t="str">
        <f>IFERROR(__xludf.DUMMYFUNCTION("""COMPUTED_VALUE"""),"cbf600")</f>
        <v>cbf600</v>
      </c>
      <c r="C311" s="78" t="str">
        <f>IFERROR(__xludf.DUMMYFUNCTION("""COMPUTED_VALUE"""),"https://www.munzee.com/m/cbf600/2304/")</f>
        <v>https://www.munzee.com/m/cbf600/2304/</v>
      </c>
      <c r="D311" s="47"/>
      <c r="E311" s="47" t="b">
        <f>IFERROR(__xludf.DUMMYFUNCTION("""COMPUTED_VALUE"""),TRUE)</f>
        <v>1</v>
      </c>
      <c r="F311" s="47" t="str">
        <f>IFERROR(__xludf.DUMMYFUNCTION("""COMPUTED_VALUE"""),"")</f>
        <v/>
      </c>
      <c r="G311" s="47" t="str">
        <f>IFERROR(__xludf.DUMMYFUNCTION("""COMPUTED_VALUE"""),"")</f>
        <v/>
      </c>
      <c r="H311" s="47"/>
      <c r="I311" s="47">
        <f>IFERROR(__xludf.DUMMYFUNCTION("""COMPUTED_VALUE"""),2.0)</f>
        <v>2</v>
      </c>
      <c r="J311" s="47" t="str">
        <f>IFERROR(__xludf.DUMMYFUNCTION("""COMPUTED_VALUE"""),"https:")</f>
        <v>https:</v>
      </c>
      <c r="K311" s="78" t="str">
        <f>IFERROR(__xludf.DUMMYFUNCTION("""COMPUTED_VALUE"""),"www.munzee.com")</f>
        <v>www.munzee.com</v>
      </c>
      <c r="L311" s="47" t="str">
        <f>IFERROR(__xludf.DUMMYFUNCTION("""COMPUTED_VALUE"""),"m")</f>
        <v>m</v>
      </c>
      <c r="M311" s="47" t="str">
        <f>IFERROR(__xludf.DUMMYFUNCTION("""COMPUTED_VALUE"""),"cbf600")</f>
        <v>cbf600</v>
      </c>
    </row>
    <row r="312">
      <c r="A312" s="47" t="str">
        <f>IFERROR(__xludf.DUMMYFUNCTION("""COMPUTED_VALUE"""),"Virtual Brown")</f>
        <v>Virtual Brown</v>
      </c>
      <c r="B312" s="47" t="str">
        <f>IFERROR(__xludf.DUMMYFUNCTION("""COMPUTED_VALUE"""),"OdinFiRe")</f>
        <v>OdinFiRe</v>
      </c>
      <c r="C312" s="78" t="str">
        <f>IFERROR(__xludf.DUMMYFUNCTION("""COMPUTED_VALUE"""),"https://www.munzee.com/m/OdinsFiRe/1534/")</f>
        <v>https://www.munzee.com/m/OdinsFiRe/1534/</v>
      </c>
      <c r="D312" s="47"/>
      <c r="E312" s="47" t="b">
        <f>IFERROR(__xludf.DUMMYFUNCTION("""COMPUTED_VALUE"""),TRUE)</f>
        <v>1</v>
      </c>
      <c r="F312" s="47" t="str">
        <f>IFERROR(__xludf.DUMMYFUNCTION("""COMPUTED_VALUE"""),"")</f>
        <v/>
      </c>
      <c r="G312" s="47" t="str">
        <f>IFERROR(__xludf.DUMMYFUNCTION("""COMPUTED_VALUE"""),"")</f>
        <v/>
      </c>
      <c r="H312" s="47"/>
      <c r="I312" s="47">
        <f>IFERROR(__xludf.DUMMYFUNCTION("""COMPUTED_VALUE"""),2.0)</f>
        <v>2</v>
      </c>
      <c r="J312" s="47" t="str">
        <f>IFERROR(__xludf.DUMMYFUNCTION("""COMPUTED_VALUE"""),"https:")</f>
        <v>https:</v>
      </c>
      <c r="K312" s="78" t="str">
        <f>IFERROR(__xludf.DUMMYFUNCTION("""COMPUTED_VALUE"""),"www.munzee.com")</f>
        <v>www.munzee.com</v>
      </c>
      <c r="L312" s="47" t="str">
        <f>IFERROR(__xludf.DUMMYFUNCTION("""COMPUTED_VALUE"""),"m")</f>
        <v>m</v>
      </c>
      <c r="M312" s="47" t="str">
        <f>IFERROR(__xludf.DUMMYFUNCTION("""COMPUTED_VALUE"""),"OdinsFiRe")</f>
        <v>OdinsFiRe</v>
      </c>
    </row>
    <row r="313">
      <c r="A313" s="47" t="str">
        <f>IFERROR(__xludf.DUMMYFUNCTION("""COMPUTED_VALUE"""),"Virtual Brown")</f>
        <v>Virtual Brown</v>
      </c>
      <c r="B313" s="47" t="str">
        <f>IFERROR(__xludf.DUMMYFUNCTION("""COMPUTED_VALUE"""),"lison55")</f>
        <v>lison55</v>
      </c>
      <c r="C313" s="78" t="str">
        <f>IFERROR(__xludf.DUMMYFUNCTION("""COMPUTED_VALUE"""),"https://www.munzee.com/m/lison55/5264/")</f>
        <v>https://www.munzee.com/m/lison55/5264/</v>
      </c>
      <c r="D313" s="47"/>
      <c r="E313" s="47" t="b">
        <f>IFERROR(__xludf.DUMMYFUNCTION("""COMPUTED_VALUE"""),TRUE)</f>
        <v>1</v>
      </c>
      <c r="F313" s="83" t="str">
        <f>IFERROR(__xludf.DUMMYFUNCTION("""COMPUTED_VALUE"""),"")</f>
        <v/>
      </c>
      <c r="G313" s="47" t="str">
        <f>IFERROR(__xludf.DUMMYFUNCTION("""COMPUTED_VALUE"""),"")</f>
        <v/>
      </c>
      <c r="H313" s="47"/>
      <c r="I313" s="47">
        <f>IFERROR(__xludf.DUMMYFUNCTION("""COMPUTED_VALUE"""),2.0)</f>
        <v>2</v>
      </c>
      <c r="J313" s="47" t="str">
        <f>IFERROR(__xludf.DUMMYFUNCTION("""COMPUTED_VALUE"""),"https:")</f>
        <v>https:</v>
      </c>
      <c r="K313" s="78" t="str">
        <f>IFERROR(__xludf.DUMMYFUNCTION("""COMPUTED_VALUE"""),"www.munzee.com")</f>
        <v>www.munzee.com</v>
      </c>
      <c r="L313" s="47" t="str">
        <f>IFERROR(__xludf.DUMMYFUNCTION("""COMPUTED_VALUE"""),"m")</f>
        <v>m</v>
      </c>
      <c r="M313" s="47" t="str">
        <f>IFERROR(__xludf.DUMMYFUNCTION("""COMPUTED_VALUE"""),"lison55")</f>
        <v>lison55</v>
      </c>
    </row>
    <row r="314">
      <c r="A314" s="47" t="str">
        <f>IFERROR(__xludf.DUMMYFUNCTION("""COMPUTED_VALUE"""),"Virtual Brown")</f>
        <v>Virtual Brown</v>
      </c>
      <c r="B314" s="47" t="str">
        <f>IFERROR(__xludf.DUMMYFUNCTION("""COMPUTED_VALUE"""),"all0123")</f>
        <v>all0123</v>
      </c>
      <c r="C314" s="78" t="str">
        <f>IFERROR(__xludf.DUMMYFUNCTION("""COMPUTED_VALUE"""),"https://www.munzee.com/m/all0123/3892/")</f>
        <v>https://www.munzee.com/m/all0123/3892/</v>
      </c>
      <c r="D314" s="47"/>
      <c r="E314" s="47" t="b">
        <f>IFERROR(__xludf.DUMMYFUNCTION("""COMPUTED_VALUE"""),TRUE)</f>
        <v>1</v>
      </c>
      <c r="F314" s="83" t="str">
        <f>IFERROR(__xludf.DUMMYFUNCTION("""COMPUTED_VALUE"""),"")</f>
        <v/>
      </c>
      <c r="G314" s="47" t="str">
        <f>IFERROR(__xludf.DUMMYFUNCTION("""COMPUTED_VALUE"""),"")</f>
        <v/>
      </c>
      <c r="H314" s="47"/>
      <c r="I314" s="47">
        <f>IFERROR(__xludf.DUMMYFUNCTION("""COMPUTED_VALUE"""),2.0)</f>
        <v>2</v>
      </c>
      <c r="J314" s="47" t="str">
        <f>IFERROR(__xludf.DUMMYFUNCTION("""COMPUTED_VALUE"""),"https:")</f>
        <v>https:</v>
      </c>
      <c r="K314" s="78" t="str">
        <f>IFERROR(__xludf.DUMMYFUNCTION("""COMPUTED_VALUE"""),"www.munzee.com")</f>
        <v>www.munzee.com</v>
      </c>
      <c r="L314" s="47" t="str">
        <f>IFERROR(__xludf.DUMMYFUNCTION("""COMPUTED_VALUE"""),"m")</f>
        <v>m</v>
      </c>
      <c r="M314" s="47" t="str">
        <f>IFERROR(__xludf.DUMMYFUNCTION("""COMPUTED_VALUE"""),"all0123")</f>
        <v>all0123</v>
      </c>
    </row>
    <row r="315">
      <c r="A315" s="47" t="str">
        <f>IFERROR(__xludf.DUMMYFUNCTION("""COMPUTED_VALUE"""),"Virtual Raw Sienna")</f>
        <v>Virtual Raw Sienna</v>
      </c>
      <c r="B315" s="47" t="str">
        <f>IFERROR(__xludf.DUMMYFUNCTION("""COMPUTED_VALUE"""),"FromTheTardis")</f>
        <v>FromTheTardis</v>
      </c>
      <c r="C315" s="78" t="str">
        <f>IFERROR(__xludf.DUMMYFUNCTION("""COMPUTED_VALUE"""),"https://www.munzee.com/m/FromTheTardis/1359/")</f>
        <v>https://www.munzee.com/m/FromTheTardis/1359/</v>
      </c>
      <c r="D315" s="47"/>
      <c r="E315" s="47" t="b">
        <f>IFERROR(__xludf.DUMMYFUNCTION("""COMPUTED_VALUE"""),TRUE)</f>
        <v>1</v>
      </c>
      <c r="F315" s="83" t="str">
        <f>IFERROR(__xludf.DUMMYFUNCTION("""COMPUTED_VALUE"""),"")</f>
        <v/>
      </c>
      <c r="G315" s="47" t="str">
        <f>IFERROR(__xludf.DUMMYFUNCTION("""COMPUTED_VALUE"""),"")</f>
        <v/>
      </c>
      <c r="H315" s="47"/>
      <c r="I315" s="47">
        <f>IFERROR(__xludf.DUMMYFUNCTION("""COMPUTED_VALUE"""),2.0)</f>
        <v>2</v>
      </c>
      <c r="J315" s="47" t="str">
        <f>IFERROR(__xludf.DUMMYFUNCTION("""COMPUTED_VALUE"""),"https:")</f>
        <v>https:</v>
      </c>
      <c r="K315" s="78" t="str">
        <f>IFERROR(__xludf.DUMMYFUNCTION("""COMPUTED_VALUE"""),"www.munzee.com")</f>
        <v>www.munzee.com</v>
      </c>
      <c r="L315" s="47" t="str">
        <f>IFERROR(__xludf.DUMMYFUNCTION("""COMPUTED_VALUE"""),"m")</f>
        <v>m</v>
      </c>
      <c r="M315" s="47" t="str">
        <f>IFERROR(__xludf.DUMMYFUNCTION("""COMPUTED_VALUE"""),"FromTheTardis")</f>
        <v>FromTheTardis</v>
      </c>
    </row>
    <row r="316">
      <c r="A316" s="47" t="str">
        <f>IFERROR(__xludf.DUMMYFUNCTION("""COMPUTED_VALUE"""),"Virtual Raw Sienna")</f>
        <v>Virtual Raw Sienna</v>
      </c>
      <c r="B316" s="47" t="str">
        <f>IFERROR(__xludf.DUMMYFUNCTION("""COMPUTED_VALUE"""),"xrayneex")</f>
        <v>xrayneex</v>
      </c>
      <c r="C316" s="78" t="str">
        <f>IFERROR(__xludf.DUMMYFUNCTION("""COMPUTED_VALUE"""),"https://www.munzee.com/m/xrayneex/1349")</f>
        <v>https://www.munzee.com/m/xrayneex/1349</v>
      </c>
      <c r="D316" s="47"/>
      <c r="E316" s="47" t="b">
        <f>IFERROR(__xludf.DUMMYFUNCTION("""COMPUTED_VALUE"""),TRUE)</f>
        <v>1</v>
      </c>
      <c r="F316" s="83" t="str">
        <f>IFERROR(__xludf.DUMMYFUNCTION("""COMPUTED_VALUE"""),"")</f>
        <v/>
      </c>
      <c r="G316" s="47" t="str">
        <f>IFERROR(__xludf.DUMMYFUNCTION("""COMPUTED_VALUE"""),"")</f>
        <v/>
      </c>
      <c r="H316" s="47"/>
      <c r="I316" s="47">
        <f>IFERROR(__xludf.DUMMYFUNCTION("""COMPUTED_VALUE"""),2.0)</f>
        <v>2</v>
      </c>
      <c r="J316" s="47" t="str">
        <f>IFERROR(__xludf.DUMMYFUNCTION("""COMPUTED_VALUE"""),"https:")</f>
        <v>https:</v>
      </c>
      <c r="K316" s="78" t="str">
        <f>IFERROR(__xludf.DUMMYFUNCTION("""COMPUTED_VALUE"""),"www.munzee.com")</f>
        <v>www.munzee.com</v>
      </c>
      <c r="L316" s="47" t="str">
        <f>IFERROR(__xludf.DUMMYFUNCTION("""COMPUTED_VALUE"""),"m")</f>
        <v>m</v>
      </c>
      <c r="M316" s="47" t="str">
        <f>IFERROR(__xludf.DUMMYFUNCTION("""COMPUTED_VALUE"""),"xrayneex")</f>
        <v>xrayneex</v>
      </c>
    </row>
    <row r="317">
      <c r="A317" s="47" t="str">
        <f>IFERROR(__xludf.DUMMYFUNCTION("""COMPUTED_VALUE"""),"Virtual Brown")</f>
        <v>Virtual Brown</v>
      </c>
      <c r="B317" s="47" t="str">
        <f>IFERROR(__xludf.DUMMYFUNCTION("""COMPUTED_VALUE"""),"Sverlaan")</f>
        <v>Sverlaan</v>
      </c>
      <c r="C317" s="78" t="str">
        <f>IFERROR(__xludf.DUMMYFUNCTION("""COMPUTED_VALUE"""),"https://www.munzee.com/m/sverlaan/4153/")</f>
        <v>https://www.munzee.com/m/sverlaan/4153/</v>
      </c>
      <c r="D317" s="47"/>
      <c r="E317" s="47" t="b">
        <f>IFERROR(__xludf.DUMMYFUNCTION("""COMPUTED_VALUE"""),TRUE)</f>
        <v>1</v>
      </c>
      <c r="F317" s="83" t="str">
        <f>IFERROR(__xludf.DUMMYFUNCTION("""COMPUTED_VALUE"""),"")</f>
        <v/>
      </c>
      <c r="G317" s="47" t="str">
        <f>IFERROR(__xludf.DUMMYFUNCTION("""COMPUTED_VALUE"""),"")</f>
        <v/>
      </c>
      <c r="H317" s="47"/>
      <c r="I317" s="47">
        <f>IFERROR(__xludf.DUMMYFUNCTION("""COMPUTED_VALUE"""),2.0)</f>
        <v>2</v>
      </c>
      <c r="J317" s="47" t="str">
        <f>IFERROR(__xludf.DUMMYFUNCTION("""COMPUTED_VALUE"""),"https:")</f>
        <v>https:</v>
      </c>
      <c r="K317" s="78" t="str">
        <f>IFERROR(__xludf.DUMMYFUNCTION("""COMPUTED_VALUE"""),"www.munzee.com")</f>
        <v>www.munzee.com</v>
      </c>
      <c r="L317" s="47" t="str">
        <f>IFERROR(__xludf.DUMMYFUNCTION("""COMPUTED_VALUE"""),"m")</f>
        <v>m</v>
      </c>
      <c r="M317" s="47" t="str">
        <f>IFERROR(__xludf.DUMMYFUNCTION("""COMPUTED_VALUE"""),"sverlaan")</f>
        <v>sverlaan</v>
      </c>
    </row>
    <row r="318">
      <c r="A318" s="47" t="str">
        <f>IFERROR(__xludf.DUMMYFUNCTION("""COMPUTED_VALUE"""),"Virtual Brown")</f>
        <v>Virtual Brown</v>
      </c>
      <c r="B318" s="47" t="str">
        <f>IFERROR(__xludf.DUMMYFUNCTION("""COMPUTED_VALUE"""),"Emilep68 ")</f>
        <v>Emilep68 </v>
      </c>
      <c r="C318" s="78" t="str">
        <f>IFERROR(__xludf.DUMMYFUNCTION("""COMPUTED_VALUE"""),"https://www.munzee.com/m/EmileP68/2933/")</f>
        <v>https://www.munzee.com/m/EmileP68/2933/</v>
      </c>
      <c r="D318" s="47"/>
      <c r="E318" s="47" t="b">
        <f>IFERROR(__xludf.DUMMYFUNCTION("""COMPUTED_VALUE"""),TRUE)</f>
        <v>1</v>
      </c>
      <c r="F318" s="83" t="str">
        <f>IFERROR(__xludf.DUMMYFUNCTION("""COMPUTED_VALUE"""),"")</f>
        <v/>
      </c>
      <c r="G318" s="47" t="str">
        <f>IFERROR(__xludf.DUMMYFUNCTION("""COMPUTED_VALUE"""),"")</f>
        <v/>
      </c>
      <c r="H318" s="47"/>
      <c r="I318" s="47">
        <f>IFERROR(__xludf.DUMMYFUNCTION("""COMPUTED_VALUE"""),2.0)</f>
        <v>2</v>
      </c>
      <c r="J318" s="47" t="str">
        <f>IFERROR(__xludf.DUMMYFUNCTION("""COMPUTED_VALUE"""),"https:")</f>
        <v>https:</v>
      </c>
      <c r="K318" s="78" t="str">
        <f>IFERROR(__xludf.DUMMYFUNCTION("""COMPUTED_VALUE"""),"www.munzee.com")</f>
        <v>www.munzee.com</v>
      </c>
      <c r="L318" s="47" t="str">
        <f>IFERROR(__xludf.DUMMYFUNCTION("""COMPUTED_VALUE"""),"m")</f>
        <v>m</v>
      </c>
      <c r="M318" s="47" t="str">
        <f>IFERROR(__xludf.DUMMYFUNCTION("""COMPUTED_VALUE"""),"EmileP68")</f>
        <v>EmileP68</v>
      </c>
    </row>
    <row r="319">
      <c r="A319" s="47" t="str">
        <f>IFERROR(__xludf.DUMMYFUNCTION("""COMPUTED_VALUE"""),"Virtual Brown")</f>
        <v>Virtual Brown</v>
      </c>
      <c r="B319" s="47" t="str">
        <f>IFERROR(__xludf.DUMMYFUNCTION("""COMPUTED_VALUE"""),"Pawpatrolthomas ")</f>
        <v>Pawpatrolthomas </v>
      </c>
      <c r="C319" s="78" t="str">
        <f>IFERROR(__xludf.DUMMYFUNCTION("""COMPUTED_VALUE"""),"https://www.munzee.com/m/PawPatrolThomas/2237/")</f>
        <v>https://www.munzee.com/m/PawPatrolThomas/2237/</v>
      </c>
      <c r="D319" s="47"/>
      <c r="E319" s="47" t="b">
        <f>IFERROR(__xludf.DUMMYFUNCTION("""COMPUTED_VALUE"""),TRUE)</f>
        <v>1</v>
      </c>
      <c r="F319" s="83" t="str">
        <f>IFERROR(__xludf.DUMMYFUNCTION("""COMPUTED_VALUE"""),"")</f>
        <v/>
      </c>
      <c r="G319" s="47" t="str">
        <f>IFERROR(__xludf.DUMMYFUNCTION("""COMPUTED_VALUE"""),"")</f>
        <v/>
      </c>
      <c r="H319" s="47"/>
      <c r="I319" s="47">
        <f>IFERROR(__xludf.DUMMYFUNCTION("""COMPUTED_VALUE"""),2.0)</f>
        <v>2</v>
      </c>
      <c r="J319" s="47" t="str">
        <f>IFERROR(__xludf.DUMMYFUNCTION("""COMPUTED_VALUE"""),"https:")</f>
        <v>https:</v>
      </c>
      <c r="K319" s="78" t="str">
        <f>IFERROR(__xludf.DUMMYFUNCTION("""COMPUTED_VALUE"""),"www.munzee.com")</f>
        <v>www.munzee.com</v>
      </c>
      <c r="L319" s="47" t="str">
        <f>IFERROR(__xludf.DUMMYFUNCTION("""COMPUTED_VALUE"""),"m")</f>
        <v>m</v>
      </c>
      <c r="M319" s="47" t="str">
        <f>IFERROR(__xludf.DUMMYFUNCTION("""COMPUTED_VALUE"""),"PawPatrolThomas")</f>
        <v>PawPatrolThomas</v>
      </c>
    </row>
    <row r="320">
      <c r="A320" s="47" t="str">
        <f>IFERROR(__xludf.DUMMYFUNCTION("""COMPUTED_VALUE"""),"Virtual Raw Sienna")</f>
        <v>Virtual Raw Sienna</v>
      </c>
      <c r="B320" s="47" t="str">
        <f>IFERROR(__xludf.DUMMYFUNCTION("""COMPUTED_VALUE"""),"fsafranek")</f>
        <v>fsafranek</v>
      </c>
      <c r="C320" s="78" t="str">
        <f>IFERROR(__xludf.DUMMYFUNCTION("""COMPUTED_VALUE"""),"https://www.munzee.com/m/fsafranek/4307/")</f>
        <v>https://www.munzee.com/m/fsafranek/4307/</v>
      </c>
      <c r="D320" s="47"/>
      <c r="E320" s="47" t="b">
        <f>IFERROR(__xludf.DUMMYFUNCTION("""COMPUTED_VALUE"""),TRUE)</f>
        <v>1</v>
      </c>
      <c r="F320" s="83" t="str">
        <f>IFERROR(__xludf.DUMMYFUNCTION("""COMPUTED_VALUE"""),"")</f>
        <v/>
      </c>
      <c r="G320" s="47" t="str">
        <f>IFERROR(__xludf.DUMMYFUNCTION("""COMPUTED_VALUE"""),"")</f>
        <v/>
      </c>
      <c r="H320" s="47"/>
      <c r="I320" s="47">
        <f>IFERROR(__xludf.DUMMYFUNCTION("""COMPUTED_VALUE"""),2.0)</f>
        <v>2</v>
      </c>
      <c r="J320" s="47" t="str">
        <f>IFERROR(__xludf.DUMMYFUNCTION("""COMPUTED_VALUE"""),"https:")</f>
        <v>https:</v>
      </c>
      <c r="K320" s="78" t="str">
        <f>IFERROR(__xludf.DUMMYFUNCTION("""COMPUTED_VALUE"""),"www.munzee.com")</f>
        <v>www.munzee.com</v>
      </c>
      <c r="L320" s="47" t="str">
        <f>IFERROR(__xludf.DUMMYFUNCTION("""COMPUTED_VALUE"""),"m")</f>
        <v>m</v>
      </c>
      <c r="M320" s="47" t="str">
        <f>IFERROR(__xludf.DUMMYFUNCTION("""COMPUTED_VALUE"""),"fsafranek")</f>
        <v>fsafranek</v>
      </c>
    </row>
    <row r="321">
      <c r="A321" s="47" t="str">
        <f>IFERROR(__xludf.DUMMYFUNCTION("""COMPUTED_VALUE"""),"Virtual Brown")</f>
        <v>Virtual Brown</v>
      </c>
      <c r="B321" s="47" t="str">
        <f>IFERROR(__xludf.DUMMYFUNCTION("""COMPUTED_VALUE"""),"Pinkeltje")</f>
        <v>Pinkeltje</v>
      </c>
      <c r="C321" s="78" t="str">
        <f>IFERROR(__xludf.DUMMYFUNCTION("""COMPUTED_VALUE"""),"https://www.munzee.com/m/Pinkeltje/1137/")</f>
        <v>https://www.munzee.com/m/Pinkeltje/1137/</v>
      </c>
      <c r="D321" s="47"/>
      <c r="E321" s="47" t="b">
        <f>IFERROR(__xludf.DUMMYFUNCTION("""COMPUTED_VALUE"""),TRUE)</f>
        <v>1</v>
      </c>
      <c r="F321" s="83" t="str">
        <f>IFERROR(__xludf.DUMMYFUNCTION("""COMPUTED_VALUE"""),"")</f>
        <v/>
      </c>
      <c r="G321" s="47" t="str">
        <f>IFERROR(__xludf.DUMMYFUNCTION("""COMPUTED_VALUE"""),"")</f>
        <v/>
      </c>
      <c r="H321" s="47"/>
      <c r="I321" s="47">
        <f>IFERROR(__xludf.DUMMYFUNCTION("""COMPUTED_VALUE"""),2.0)</f>
        <v>2</v>
      </c>
      <c r="J321" s="47" t="str">
        <f>IFERROR(__xludf.DUMMYFUNCTION("""COMPUTED_VALUE"""),"https:")</f>
        <v>https:</v>
      </c>
      <c r="K321" s="78" t="str">
        <f>IFERROR(__xludf.DUMMYFUNCTION("""COMPUTED_VALUE"""),"www.munzee.com")</f>
        <v>www.munzee.com</v>
      </c>
      <c r="L321" s="47" t="str">
        <f>IFERROR(__xludf.DUMMYFUNCTION("""COMPUTED_VALUE"""),"m")</f>
        <v>m</v>
      </c>
      <c r="M321" s="47" t="str">
        <f>IFERROR(__xludf.DUMMYFUNCTION("""COMPUTED_VALUE"""),"Pinkeltje")</f>
        <v>Pinkeltje</v>
      </c>
    </row>
    <row r="322">
      <c r="A322" s="47" t="str">
        <f>IFERROR(__xludf.DUMMYFUNCTION("""COMPUTED_VALUE"""),"Virtual Brown")</f>
        <v>Virtual Brown</v>
      </c>
      <c r="B322" s="47" t="str">
        <f>IFERROR(__xludf.DUMMYFUNCTION("""COMPUTED_VALUE"""),"5Star")</f>
        <v>5Star</v>
      </c>
      <c r="C322" s="78" t="str">
        <f>IFERROR(__xludf.DUMMYFUNCTION("""COMPUTED_VALUE"""),"https://www.munzee.com/m/5Star/5704/")</f>
        <v>https://www.munzee.com/m/5Star/5704/</v>
      </c>
      <c r="D322" s="47"/>
      <c r="E322" s="47" t="b">
        <f>IFERROR(__xludf.DUMMYFUNCTION("""COMPUTED_VALUE"""),TRUE)</f>
        <v>1</v>
      </c>
      <c r="F322" s="83" t="str">
        <f>IFERROR(__xludf.DUMMYFUNCTION("""COMPUTED_VALUE"""),"")</f>
        <v/>
      </c>
      <c r="G322" s="47" t="str">
        <f>IFERROR(__xludf.DUMMYFUNCTION("""COMPUTED_VALUE"""),"")</f>
        <v/>
      </c>
      <c r="H322" s="47"/>
      <c r="I322" s="47">
        <f>IFERROR(__xludf.DUMMYFUNCTION("""COMPUTED_VALUE"""),2.0)</f>
        <v>2</v>
      </c>
      <c r="J322" s="47" t="str">
        <f>IFERROR(__xludf.DUMMYFUNCTION("""COMPUTED_VALUE"""),"https:")</f>
        <v>https:</v>
      </c>
      <c r="K322" s="78" t="str">
        <f>IFERROR(__xludf.DUMMYFUNCTION("""COMPUTED_VALUE"""),"www.munzee.com")</f>
        <v>www.munzee.com</v>
      </c>
      <c r="L322" s="47" t="str">
        <f>IFERROR(__xludf.DUMMYFUNCTION("""COMPUTED_VALUE"""),"m")</f>
        <v>m</v>
      </c>
      <c r="M322" s="47" t="str">
        <f>IFERROR(__xludf.DUMMYFUNCTION("""COMPUTED_VALUE"""),"5Star")</f>
        <v>5Star</v>
      </c>
    </row>
    <row r="323">
      <c r="A323" s="47" t="str">
        <f>IFERROR(__xludf.DUMMYFUNCTION("""COMPUTED_VALUE"""),"Virtual Brown")</f>
        <v>Virtual Brown</v>
      </c>
      <c r="B323" s="47" t="str">
        <f>IFERROR(__xludf.DUMMYFUNCTION("""COMPUTED_VALUE"""),"all0123")</f>
        <v>all0123</v>
      </c>
      <c r="C323" s="78" t="str">
        <f>IFERROR(__xludf.DUMMYFUNCTION("""COMPUTED_VALUE"""),"https://www.munzee.com/m/all0123/3897/")</f>
        <v>https://www.munzee.com/m/all0123/3897/</v>
      </c>
      <c r="D323" s="47"/>
      <c r="E323" s="47" t="b">
        <f>IFERROR(__xludf.DUMMYFUNCTION("""COMPUTED_VALUE"""),TRUE)</f>
        <v>1</v>
      </c>
      <c r="F323" s="83" t="str">
        <f>IFERROR(__xludf.DUMMYFUNCTION("""COMPUTED_VALUE"""),"")</f>
        <v/>
      </c>
      <c r="G323" s="47" t="str">
        <f>IFERROR(__xludf.DUMMYFUNCTION("""COMPUTED_VALUE"""),"")</f>
        <v/>
      </c>
      <c r="H323" s="47"/>
      <c r="I323" s="47">
        <f>IFERROR(__xludf.DUMMYFUNCTION("""COMPUTED_VALUE"""),2.0)</f>
        <v>2</v>
      </c>
      <c r="J323" s="47" t="str">
        <f>IFERROR(__xludf.DUMMYFUNCTION("""COMPUTED_VALUE"""),"https:")</f>
        <v>https:</v>
      </c>
      <c r="K323" s="78" t="str">
        <f>IFERROR(__xludf.DUMMYFUNCTION("""COMPUTED_VALUE"""),"www.munzee.com")</f>
        <v>www.munzee.com</v>
      </c>
      <c r="L323" s="47" t="str">
        <f>IFERROR(__xludf.DUMMYFUNCTION("""COMPUTED_VALUE"""),"m")</f>
        <v>m</v>
      </c>
      <c r="M323" s="47" t="str">
        <f>IFERROR(__xludf.DUMMYFUNCTION("""COMPUTED_VALUE"""),"all0123")</f>
        <v>all0123</v>
      </c>
    </row>
    <row r="324">
      <c r="A324" s="47" t="str">
        <f>IFERROR(__xludf.DUMMYFUNCTION("""COMPUTED_VALUE"""),"Virtual Brown")</f>
        <v>Virtual Brown</v>
      </c>
      <c r="B324" s="47" t="str">
        <f>IFERROR(__xludf.DUMMYFUNCTION("""COMPUTED_VALUE"""),"J1Huisman")</f>
        <v>J1Huisman</v>
      </c>
      <c r="C324" s="78" t="str">
        <f>IFERROR(__xludf.DUMMYFUNCTION("""COMPUTED_VALUE"""),"https://www.munzee.com/m/J1Huisman/11234/")</f>
        <v>https://www.munzee.com/m/J1Huisman/11234/</v>
      </c>
      <c r="D324" s="47"/>
      <c r="E324" s="47" t="b">
        <f>IFERROR(__xludf.DUMMYFUNCTION("""COMPUTED_VALUE"""),TRUE)</f>
        <v>1</v>
      </c>
      <c r="F324" s="83" t="str">
        <f>IFERROR(__xludf.DUMMYFUNCTION("""COMPUTED_VALUE"""),"")</f>
        <v/>
      </c>
      <c r="G324" s="47" t="str">
        <f>IFERROR(__xludf.DUMMYFUNCTION("""COMPUTED_VALUE"""),"")</f>
        <v/>
      </c>
      <c r="H324" s="47"/>
      <c r="I324" s="47">
        <f>IFERROR(__xludf.DUMMYFUNCTION("""COMPUTED_VALUE"""),2.0)</f>
        <v>2</v>
      </c>
      <c r="J324" s="47" t="str">
        <f>IFERROR(__xludf.DUMMYFUNCTION("""COMPUTED_VALUE"""),"https:")</f>
        <v>https:</v>
      </c>
      <c r="K324" s="78" t="str">
        <f>IFERROR(__xludf.DUMMYFUNCTION("""COMPUTED_VALUE"""),"www.munzee.com")</f>
        <v>www.munzee.com</v>
      </c>
      <c r="L324" s="47" t="str">
        <f>IFERROR(__xludf.DUMMYFUNCTION("""COMPUTED_VALUE"""),"m")</f>
        <v>m</v>
      </c>
      <c r="M324" s="47" t="str">
        <f>IFERROR(__xludf.DUMMYFUNCTION("""COMPUTED_VALUE"""),"J1Huisman")</f>
        <v>J1Huisman</v>
      </c>
    </row>
    <row r="325">
      <c r="A325" s="47" t="str">
        <f>IFERROR(__xludf.DUMMYFUNCTION("""COMPUTED_VALUE"""),"Virtual Brown")</f>
        <v>Virtual Brown</v>
      </c>
      <c r="B325" s="47" t="str">
        <f>IFERROR(__xludf.DUMMYFUNCTION("""COMPUTED_VALUE"""),"BrotherWilliam")</f>
        <v>BrotherWilliam</v>
      </c>
      <c r="C325" s="78" t="str">
        <f>IFERROR(__xludf.DUMMYFUNCTION("""COMPUTED_VALUE"""),"https://www.munzee.com/m/BrotherWilliam/3888/")</f>
        <v>https://www.munzee.com/m/BrotherWilliam/3888/</v>
      </c>
      <c r="D325" s="47"/>
      <c r="E325" s="47" t="b">
        <f>IFERROR(__xludf.DUMMYFUNCTION("""COMPUTED_VALUE"""),TRUE)</f>
        <v>1</v>
      </c>
      <c r="F325" s="83" t="str">
        <f>IFERROR(__xludf.DUMMYFUNCTION("""COMPUTED_VALUE"""),"")</f>
        <v/>
      </c>
      <c r="G325" s="47" t="str">
        <f>IFERROR(__xludf.DUMMYFUNCTION("""COMPUTED_VALUE"""),"")</f>
        <v/>
      </c>
      <c r="H325" s="47"/>
      <c r="I325" s="47">
        <f>IFERROR(__xludf.DUMMYFUNCTION("""COMPUTED_VALUE"""),2.0)</f>
        <v>2</v>
      </c>
      <c r="J325" s="47" t="str">
        <f>IFERROR(__xludf.DUMMYFUNCTION("""COMPUTED_VALUE"""),"https:")</f>
        <v>https:</v>
      </c>
      <c r="K325" s="78" t="str">
        <f>IFERROR(__xludf.DUMMYFUNCTION("""COMPUTED_VALUE"""),"www.munzee.com")</f>
        <v>www.munzee.com</v>
      </c>
      <c r="L325" s="47" t="str">
        <f>IFERROR(__xludf.DUMMYFUNCTION("""COMPUTED_VALUE"""),"m")</f>
        <v>m</v>
      </c>
      <c r="M325" s="47" t="str">
        <f>IFERROR(__xludf.DUMMYFUNCTION("""COMPUTED_VALUE"""),"BrotherWilliam")</f>
        <v>BrotherWilliam</v>
      </c>
    </row>
    <row r="326">
      <c r="A326" s="47" t="str">
        <f>IFERROR(__xludf.DUMMYFUNCTION("""COMPUTED_VALUE"""),"Virtual Brown")</f>
        <v>Virtual Brown</v>
      </c>
      <c r="B326" s="47" t="str">
        <f>IFERROR(__xludf.DUMMYFUNCTION("""COMPUTED_VALUE"""),"WiseOldWizard")</f>
        <v>WiseOldWizard</v>
      </c>
      <c r="C326" s="78" t="str">
        <f>IFERROR(__xludf.DUMMYFUNCTION("""COMPUTED_VALUE"""),"https://www.munzee.com/m/WiseOldWizard/3968/")</f>
        <v>https://www.munzee.com/m/WiseOldWizard/3968/</v>
      </c>
      <c r="D326" s="47"/>
      <c r="E326" s="47" t="b">
        <f>IFERROR(__xludf.DUMMYFUNCTION("""COMPUTED_VALUE"""),TRUE)</f>
        <v>1</v>
      </c>
      <c r="F326" s="83" t="str">
        <f>IFERROR(__xludf.DUMMYFUNCTION("""COMPUTED_VALUE"""),"")</f>
        <v/>
      </c>
      <c r="G326" s="47" t="str">
        <f>IFERROR(__xludf.DUMMYFUNCTION("""COMPUTED_VALUE"""),"")</f>
        <v/>
      </c>
      <c r="H326" s="47"/>
      <c r="I326" s="47">
        <f>IFERROR(__xludf.DUMMYFUNCTION("""COMPUTED_VALUE"""),2.0)</f>
        <v>2</v>
      </c>
      <c r="J326" s="47" t="str">
        <f>IFERROR(__xludf.DUMMYFUNCTION("""COMPUTED_VALUE"""),"https:")</f>
        <v>https:</v>
      </c>
      <c r="K326" s="78" t="str">
        <f>IFERROR(__xludf.DUMMYFUNCTION("""COMPUTED_VALUE"""),"www.munzee.com")</f>
        <v>www.munzee.com</v>
      </c>
      <c r="L326" s="47" t="str">
        <f>IFERROR(__xludf.DUMMYFUNCTION("""COMPUTED_VALUE"""),"m")</f>
        <v>m</v>
      </c>
      <c r="M326" s="47" t="str">
        <f>IFERROR(__xludf.DUMMYFUNCTION("""COMPUTED_VALUE"""),"WiseOldWizard")</f>
        <v>WiseOldWizard</v>
      </c>
    </row>
    <row r="327">
      <c r="A327" s="47" t="str">
        <f>IFERROR(__xludf.DUMMYFUNCTION("""COMPUTED_VALUE"""),"Virtual Brown")</f>
        <v>Virtual Brown</v>
      </c>
      <c r="B327" s="47" t="str">
        <f>IFERROR(__xludf.DUMMYFUNCTION("""COMPUTED_VALUE"""),"ArtofEco")</f>
        <v>ArtofEco</v>
      </c>
      <c r="C327" s="78" t="str">
        <f>IFERROR(__xludf.DUMMYFUNCTION("""COMPUTED_VALUE"""),"https://www.munzee.com/m/ArtofEco/2920/")</f>
        <v>https://www.munzee.com/m/ArtofEco/2920/</v>
      </c>
      <c r="D327" s="47"/>
      <c r="E327" s="47" t="b">
        <f>IFERROR(__xludf.DUMMYFUNCTION("""COMPUTED_VALUE"""),TRUE)</f>
        <v>1</v>
      </c>
      <c r="F327" s="47"/>
      <c r="G327" s="47" t="str">
        <f>IFERROR(__xludf.DUMMYFUNCTION("""COMPUTED_VALUE"""),"")</f>
        <v/>
      </c>
      <c r="H327" s="47"/>
      <c r="I327" s="47">
        <f>IFERROR(__xludf.DUMMYFUNCTION("""COMPUTED_VALUE"""),2.0)</f>
        <v>2</v>
      </c>
      <c r="J327" s="47" t="str">
        <f>IFERROR(__xludf.DUMMYFUNCTION("""COMPUTED_VALUE"""),"https:")</f>
        <v>https:</v>
      </c>
      <c r="K327" s="78" t="str">
        <f>IFERROR(__xludf.DUMMYFUNCTION("""COMPUTED_VALUE"""),"www.munzee.com")</f>
        <v>www.munzee.com</v>
      </c>
      <c r="L327" s="47" t="str">
        <f>IFERROR(__xludf.DUMMYFUNCTION("""COMPUTED_VALUE"""),"m")</f>
        <v>m</v>
      </c>
      <c r="M327" s="47" t="str">
        <f>IFERROR(__xludf.DUMMYFUNCTION("""COMPUTED_VALUE"""),"ArtofEco")</f>
        <v>ArtofEco</v>
      </c>
    </row>
    <row r="328">
      <c r="A328" s="47" t="str">
        <f>IFERROR(__xludf.DUMMYFUNCTION("""COMPUTED_VALUE"""),"Virtual Brown")</f>
        <v>Virtual Brown</v>
      </c>
      <c r="B328" s="47" t="str">
        <f>IFERROR(__xludf.DUMMYFUNCTION("""COMPUTED_VALUE"""),"taz30")</f>
        <v>taz30</v>
      </c>
      <c r="C328" s="78" t="str">
        <f>IFERROR(__xludf.DUMMYFUNCTION("""COMPUTED_VALUE"""),"https://www.munzee.com/m/Taz30/1630/")</f>
        <v>https://www.munzee.com/m/Taz30/1630/</v>
      </c>
      <c r="D328" s="47"/>
      <c r="E328" s="47" t="b">
        <f>IFERROR(__xludf.DUMMYFUNCTION("""COMPUTED_VALUE"""),TRUE)</f>
        <v>1</v>
      </c>
      <c r="F328" s="83" t="str">
        <f>IFERROR(__xludf.DUMMYFUNCTION("""COMPUTED_VALUE"""),"")</f>
        <v/>
      </c>
      <c r="G328" s="47"/>
      <c r="H328" s="47"/>
      <c r="I328" s="47">
        <f>IFERROR(__xludf.DUMMYFUNCTION("""COMPUTED_VALUE"""),2.0)</f>
        <v>2</v>
      </c>
      <c r="J328" s="47" t="str">
        <f>IFERROR(__xludf.DUMMYFUNCTION("""COMPUTED_VALUE"""),"https:")</f>
        <v>https:</v>
      </c>
      <c r="K328" s="78" t="str">
        <f>IFERROR(__xludf.DUMMYFUNCTION("""COMPUTED_VALUE"""),"www.munzee.com")</f>
        <v>www.munzee.com</v>
      </c>
      <c r="L328" s="47" t="str">
        <f>IFERROR(__xludf.DUMMYFUNCTION("""COMPUTED_VALUE"""),"m")</f>
        <v>m</v>
      </c>
      <c r="M328" s="47" t="str">
        <f>IFERROR(__xludf.DUMMYFUNCTION("""COMPUTED_VALUE"""),"Taz30")</f>
        <v>Taz30</v>
      </c>
    </row>
    <row r="329">
      <c r="A329" s="47" t="str">
        <f>IFERROR(__xludf.DUMMYFUNCTION("""COMPUTED_VALUE"""),"Virtual Brown")</f>
        <v>Virtual Brown</v>
      </c>
      <c r="B329" s="47" t="str">
        <f>IFERROR(__xludf.DUMMYFUNCTION("""COMPUTED_VALUE"""),"all0123")</f>
        <v>all0123</v>
      </c>
      <c r="C329" s="78" t="str">
        <f>IFERROR(__xludf.DUMMYFUNCTION("""COMPUTED_VALUE"""),"https://www.munzee.com/m/all0123/3909/")</f>
        <v>https://www.munzee.com/m/all0123/3909/</v>
      </c>
      <c r="D329" s="47"/>
      <c r="E329" s="47" t="b">
        <f>IFERROR(__xludf.DUMMYFUNCTION("""COMPUTED_VALUE"""),TRUE)</f>
        <v>1</v>
      </c>
      <c r="F329" s="83" t="str">
        <f>IFERROR(__xludf.DUMMYFUNCTION("""COMPUTED_VALUE"""),"")</f>
        <v/>
      </c>
      <c r="G329" s="47" t="str">
        <f>IFERROR(__xludf.DUMMYFUNCTION("""COMPUTED_VALUE"""),"")</f>
        <v/>
      </c>
      <c r="H329" s="47"/>
      <c r="I329" s="47">
        <f>IFERROR(__xludf.DUMMYFUNCTION("""COMPUTED_VALUE"""),2.0)</f>
        <v>2</v>
      </c>
      <c r="J329" s="47" t="str">
        <f>IFERROR(__xludf.DUMMYFUNCTION("""COMPUTED_VALUE"""),"https:")</f>
        <v>https:</v>
      </c>
      <c r="K329" s="78" t="str">
        <f>IFERROR(__xludf.DUMMYFUNCTION("""COMPUTED_VALUE"""),"www.munzee.com")</f>
        <v>www.munzee.com</v>
      </c>
      <c r="L329" s="47" t="str">
        <f>IFERROR(__xludf.DUMMYFUNCTION("""COMPUTED_VALUE"""),"m")</f>
        <v>m</v>
      </c>
      <c r="M329" s="47" t="str">
        <f>IFERROR(__xludf.DUMMYFUNCTION("""COMPUTED_VALUE"""),"all0123")</f>
        <v>all0123</v>
      </c>
    </row>
    <row r="330">
      <c r="A330" s="47" t="str">
        <f>IFERROR(__xludf.DUMMYFUNCTION("""COMPUTED_VALUE"""),"Virtual Brown")</f>
        <v>Virtual Brown</v>
      </c>
      <c r="B330" s="47" t="str">
        <f>IFERROR(__xludf.DUMMYFUNCTION("""COMPUTED_VALUE"""),"Drazoria")</f>
        <v>Drazoria</v>
      </c>
      <c r="C330" s="78" t="str">
        <f>IFERROR(__xludf.DUMMYFUNCTION("""COMPUTED_VALUE"""),"https://www.munzee.com/m/Drazoria/735/")</f>
        <v>https://www.munzee.com/m/Drazoria/735/</v>
      </c>
      <c r="D330" s="47"/>
      <c r="E330" s="47" t="b">
        <f>IFERROR(__xludf.DUMMYFUNCTION("""COMPUTED_VALUE"""),TRUE)</f>
        <v>1</v>
      </c>
      <c r="F330" s="83" t="str">
        <f>IFERROR(__xludf.DUMMYFUNCTION("""COMPUTED_VALUE"""),"")</f>
        <v/>
      </c>
      <c r="G330" s="47" t="str">
        <f>IFERROR(__xludf.DUMMYFUNCTION("""COMPUTED_VALUE"""),"")</f>
        <v/>
      </c>
      <c r="H330" s="47"/>
      <c r="I330" s="47">
        <f>IFERROR(__xludf.DUMMYFUNCTION("""COMPUTED_VALUE"""),2.0)</f>
        <v>2</v>
      </c>
      <c r="J330" s="47" t="str">
        <f>IFERROR(__xludf.DUMMYFUNCTION("""COMPUTED_VALUE"""),"https:")</f>
        <v>https:</v>
      </c>
      <c r="K330" s="78" t="str">
        <f>IFERROR(__xludf.DUMMYFUNCTION("""COMPUTED_VALUE"""),"www.munzee.com")</f>
        <v>www.munzee.com</v>
      </c>
      <c r="L330" s="47" t="str">
        <f>IFERROR(__xludf.DUMMYFUNCTION("""COMPUTED_VALUE"""),"m")</f>
        <v>m</v>
      </c>
      <c r="M330" s="47" t="str">
        <f>IFERROR(__xludf.DUMMYFUNCTION("""COMPUTED_VALUE"""),"Drazoria")</f>
        <v>Drazoria</v>
      </c>
    </row>
    <row r="331">
      <c r="A331" s="47" t="str">
        <f>IFERROR(__xludf.DUMMYFUNCTION("""COMPUTED_VALUE"""),"Virtual Brown")</f>
        <v>Virtual Brown</v>
      </c>
      <c r="B331" s="47" t="str">
        <f>IFERROR(__xludf.DUMMYFUNCTION("""COMPUTED_VALUE"""),"Tinake1309")</f>
        <v>Tinake1309</v>
      </c>
      <c r="C331" s="78" t="str">
        <f>IFERROR(__xludf.DUMMYFUNCTION("""COMPUTED_VALUE"""),"https://www.munzee.com/m/Tinake1309/721")</f>
        <v>https://www.munzee.com/m/Tinake1309/721</v>
      </c>
      <c r="D331" s="47"/>
      <c r="E331" s="47" t="b">
        <f>IFERROR(__xludf.DUMMYFUNCTION("""COMPUTED_VALUE"""),TRUE)</f>
        <v>1</v>
      </c>
      <c r="F331" s="83" t="str">
        <f>IFERROR(__xludf.DUMMYFUNCTION("""COMPUTED_VALUE"""),"")</f>
        <v/>
      </c>
      <c r="G331" s="47" t="str">
        <f>IFERROR(__xludf.DUMMYFUNCTION("""COMPUTED_VALUE"""),"")</f>
        <v/>
      </c>
      <c r="H331" s="47"/>
      <c r="I331" s="47">
        <f>IFERROR(__xludf.DUMMYFUNCTION("""COMPUTED_VALUE"""),2.0)</f>
        <v>2</v>
      </c>
      <c r="J331" s="47" t="str">
        <f>IFERROR(__xludf.DUMMYFUNCTION("""COMPUTED_VALUE"""),"https:")</f>
        <v>https:</v>
      </c>
      <c r="K331" s="78" t="str">
        <f>IFERROR(__xludf.DUMMYFUNCTION("""COMPUTED_VALUE"""),"www.munzee.com")</f>
        <v>www.munzee.com</v>
      </c>
      <c r="L331" s="47" t="str">
        <f>IFERROR(__xludf.DUMMYFUNCTION("""COMPUTED_VALUE"""),"m")</f>
        <v>m</v>
      </c>
      <c r="M331" s="47" t="str">
        <f>IFERROR(__xludf.DUMMYFUNCTION("""COMPUTED_VALUE"""),"Tinake1309")</f>
        <v>Tinake1309</v>
      </c>
    </row>
    <row r="332">
      <c r="A332" s="47" t="str">
        <f>IFERROR(__xludf.DUMMYFUNCTION("""COMPUTED_VALUE"""),"Virtual Raw Sienna")</f>
        <v>Virtual Raw Sienna</v>
      </c>
      <c r="B332" s="47" t="str">
        <f>IFERROR(__xludf.DUMMYFUNCTION("""COMPUTED_VALUE"""),"Berg14")</f>
        <v>Berg14</v>
      </c>
      <c r="C332" s="78" t="str">
        <f>IFERROR(__xludf.DUMMYFUNCTION("""COMPUTED_VALUE"""),"https://www.munzee.com/m/Berg14/559")</f>
        <v>https://www.munzee.com/m/Berg14/559</v>
      </c>
      <c r="D332" s="47"/>
      <c r="E332" s="47" t="b">
        <f>IFERROR(__xludf.DUMMYFUNCTION("""COMPUTED_VALUE"""),TRUE)</f>
        <v>1</v>
      </c>
      <c r="F332" s="83" t="str">
        <f>IFERROR(__xludf.DUMMYFUNCTION("""COMPUTED_VALUE"""),"")</f>
        <v/>
      </c>
      <c r="G332" s="47" t="str">
        <f>IFERROR(__xludf.DUMMYFUNCTION("""COMPUTED_VALUE"""),"")</f>
        <v/>
      </c>
      <c r="H332" s="47"/>
      <c r="I332" s="47">
        <f>IFERROR(__xludf.DUMMYFUNCTION("""COMPUTED_VALUE"""),2.0)</f>
        <v>2</v>
      </c>
      <c r="J332" s="47" t="str">
        <f>IFERROR(__xludf.DUMMYFUNCTION("""COMPUTED_VALUE"""),"https:")</f>
        <v>https:</v>
      </c>
      <c r="K332" s="78" t="str">
        <f>IFERROR(__xludf.DUMMYFUNCTION("""COMPUTED_VALUE"""),"www.munzee.com")</f>
        <v>www.munzee.com</v>
      </c>
      <c r="L332" s="47" t="str">
        <f>IFERROR(__xludf.DUMMYFUNCTION("""COMPUTED_VALUE"""),"m")</f>
        <v>m</v>
      </c>
      <c r="M332" s="47" t="str">
        <f>IFERROR(__xludf.DUMMYFUNCTION("""COMPUTED_VALUE"""),"Berg14")</f>
        <v>Berg14</v>
      </c>
    </row>
    <row r="333">
      <c r="A333" s="47" t="str">
        <f>IFERROR(__xludf.DUMMYFUNCTION("""COMPUTED_VALUE"""),"Virtual Brown")</f>
        <v>Virtual Brown</v>
      </c>
      <c r="B333" s="47" t="str">
        <f>IFERROR(__xludf.DUMMYFUNCTION("""COMPUTED_VALUE"""),"Niks13")</f>
        <v>Niks13</v>
      </c>
      <c r="C333" s="78" t="str">
        <f>IFERROR(__xludf.DUMMYFUNCTION("""COMPUTED_VALUE"""),"https://www.munzee.com/m/Niks13/524/")</f>
        <v>https://www.munzee.com/m/Niks13/524/</v>
      </c>
      <c r="D333" s="47"/>
      <c r="E333" s="47" t="b">
        <f>IFERROR(__xludf.DUMMYFUNCTION("""COMPUTED_VALUE"""),TRUE)</f>
        <v>1</v>
      </c>
      <c r="F333" s="83" t="str">
        <f>IFERROR(__xludf.DUMMYFUNCTION("""COMPUTED_VALUE"""),"")</f>
        <v/>
      </c>
      <c r="G333" s="47" t="str">
        <f>IFERROR(__xludf.DUMMYFUNCTION("""COMPUTED_VALUE"""),"")</f>
        <v/>
      </c>
      <c r="H333" s="47"/>
      <c r="I333" s="47">
        <f>IFERROR(__xludf.DUMMYFUNCTION("""COMPUTED_VALUE"""),2.0)</f>
        <v>2</v>
      </c>
      <c r="J333" s="47" t="str">
        <f>IFERROR(__xludf.DUMMYFUNCTION("""COMPUTED_VALUE"""),"https:")</f>
        <v>https:</v>
      </c>
      <c r="K333" s="78" t="str">
        <f>IFERROR(__xludf.DUMMYFUNCTION("""COMPUTED_VALUE"""),"www.munzee.com")</f>
        <v>www.munzee.com</v>
      </c>
      <c r="L333" s="47" t="str">
        <f>IFERROR(__xludf.DUMMYFUNCTION("""COMPUTED_VALUE"""),"m")</f>
        <v>m</v>
      </c>
      <c r="M333" s="47" t="str">
        <f>IFERROR(__xludf.DUMMYFUNCTION("""COMPUTED_VALUE"""),"Niks13")</f>
        <v>Niks13</v>
      </c>
    </row>
    <row r="334">
      <c r="A334" s="47" t="str">
        <f>IFERROR(__xludf.DUMMYFUNCTION("""COMPUTED_VALUE"""),"Virtual Brown")</f>
        <v>Virtual Brown</v>
      </c>
      <c r="B334" s="47" t="str">
        <f>IFERROR(__xludf.DUMMYFUNCTION("""COMPUTED_VALUE"""),"Anetzet ")</f>
        <v>Anetzet </v>
      </c>
      <c r="C334" s="78" t="str">
        <f>IFERROR(__xludf.DUMMYFUNCTION("""COMPUTED_VALUE"""),"https://www.munzee.com/m/Anetzet/2744/")</f>
        <v>https://www.munzee.com/m/Anetzet/2744/</v>
      </c>
      <c r="D334" s="47"/>
      <c r="E334" s="47" t="b">
        <f>IFERROR(__xludf.DUMMYFUNCTION("""COMPUTED_VALUE"""),TRUE)</f>
        <v>1</v>
      </c>
      <c r="F334" s="83" t="str">
        <f>IFERROR(__xludf.DUMMYFUNCTION("""COMPUTED_VALUE"""),"")</f>
        <v/>
      </c>
      <c r="G334" s="47" t="str">
        <f>IFERROR(__xludf.DUMMYFUNCTION("""COMPUTED_VALUE"""),"")</f>
        <v/>
      </c>
      <c r="H334" s="47"/>
      <c r="I334" s="47">
        <f>IFERROR(__xludf.DUMMYFUNCTION("""COMPUTED_VALUE"""),2.0)</f>
        <v>2</v>
      </c>
      <c r="J334" s="47" t="str">
        <f>IFERROR(__xludf.DUMMYFUNCTION("""COMPUTED_VALUE"""),"https:")</f>
        <v>https:</v>
      </c>
      <c r="K334" s="78" t="str">
        <f>IFERROR(__xludf.DUMMYFUNCTION("""COMPUTED_VALUE"""),"www.munzee.com")</f>
        <v>www.munzee.com</v>
      </c>
      <c r="L334" s="47" t="str">
        <f>IFERROR(__xludf.DUMMYFUNCTION("""COMPUTED_VALUE"""),"m")</f>
        <v>m</v>
      </c>
      <c r="M334" s="47" t="str">
        <f>IFERROR(__xludf.DUMMYFUNCTION("""COMPUTED_VALUE"""),"Anetzet")</f>
        <v>Anetzet</v>
      </c>
    </row>
    <row r="335">
      <c r="A335" s="47" t="str">
        <f>IFERROR(__xludf.DUMMYFUNCTION("""COMPUTED_VALUE"""),"Virtual Brown")</f>
        <v>Virtual Brown</v>
      </c>
      <c r="B335" s="47" t="str">
        <f>IFERROR(__xludf.DUMMYFUNCTION("""COMPUTED_VALUE"""),"xrayneex")</f>
        <v>xrayneex</v>
      </c>
      <c r="C335" s="78" t="str">
        <f>IFERROR(__xludf.DUMMYFUNCTION("""COMPUTED_VALUE"""),"https://www.munzee.com/m/xrayneex/1348")</f>
        <v>https://www.munzee.com/m/xrayneex/1348</v>
      </c>
      <c r="D335" s="47"/>
      <c r="E335" s="47" t="b">
        <f>IFERROR(__xludf.DUMMYFUNCTION("""COMPUTED_VALUE"""),TRUE)</f>
        <v>1</v>
      </c>
      <c r="F335" s="83" t="str">
        <f>IFERROR(__xludf.DUMMYFUNCTION("""COMPUTED_VALUE"""),"")</f>
        <v/>
      </c>
      <c r="G335" s="47" t="str">
        <f>IFERROR(__xludf.DUMMYFUNCTION("""COMPUTED_VALUE"""),"")</f>
        <v/>
      </c>
      <c r="H335" s="47"/>
      <c r="I335" s="47">
        <f>IFERROR(__xludf.DUMMYFUNCTION("""COMPUTED_VALUE"""),2.0)</f>
        <v>2</v>
      </c>
      <c r="J335" s="47" t="str">
        <f>IFERROR(__xludf.DUMMYFUNCTION("""COMPUTED_VALUE"""),"https:")</f>
        <v>https:</v>
      </c>
      <c r="K335" s="78" t="str">
        <f>IFERROR(__xludf.DUMMYFUNCTION("""COMPUTED_VALUE"""),"www.munzee.com")</f>
        <v>www.munzee.com</v>
      </c>
      <c r="L335" s="47" t="str">
        <f>IFERROR(__xludf.DUMMYFUNCTION("""COMPUTED_VALUE"""),"m")</f>
        <v>m</v>
      </c>
      <c r="M335" s="47" t="str">
        <f>IFERROR(__xludf.DUMMYFUNCTION("""COMPUTED_VALUE"""),"xrayneex")</f>
        <v>xrayneex</v>
      </c>
    </row>
    <row r="336">
      <c r="A336" s="47" t="str">
        <f>IFERROR(__xludf.DUMMYFUNCTION("""COMPUTED_VALUE"""),"Virtual Raw Sienna")</f>
        <v>Virtual Raw Sienna</v>
      </c>
      <c r="B336" s="47" t="str">
        <f>IFERROR(__xludf.DUMMYFUNCTION("""COMPUTED_VALUE"""),"Dazzle007")</f>
        <v>Dazzle007</v>
      </c>
      <c r="C336" s="78" t="str">
        <f>IFERROR(__xludf.DUMMYFUNCTION("""COMPUTED_VALUE"""),"https://www.munzee.com/m/Dazzle007/797/")</f>
        <v>https://www.munzee.com/m/Dazzle007/797/</v>
      </c>
      <c r="D336" s="47"/>
      <c r="E336" s="47" t="b">
        <f>IFERROR(__xludf.DUMMYFUNCTION("""COMPUTED_VALUE"""),TRUE)</f>
        <v>1</v>
      </c>
      <c r="F336" s="83" t="str">
        <f>IFERROR(__xludf.DUMMYFUNCTION("""COMPUTED_VALUE"""),"")</f>
        <v/>
      </c>
      <c r="G336" s="47" t="str">
        <f>IFERROR(__xludf.DUMMYFUNCTION("""COMPUTED_VALUE"""),"")</f>
        <v/>
      </c>
      <c r="H336" s="47"/>
      <c r="I336" s="47">
        <f>IFERROR(__xludf.DUMMYFUNCTION("""COMPUTED_VALUE"""),2.0)</f>
        <v>2</v>
      </c>
      <c r="J336" s="47" t="str">
        <f>IFERROR(__xludf.DUMMYFUNCTION("""COMPUTED_VALUE"""),"https:")</f>
        <v>https:</v>
      </c>
      <c r="K336" s="78" t="str">
        <f>IFERROR(__xludf.DUMMYFUNCTION("""COMPUTED_VALUE"""),"www.munzee.com")</f>
        <v>www.munzee.com</v>
      </c>
      <c r="L336" s="47" t="str">
        <f>IFERROR(__xludf.DUMMYFUNCTION("""COMPUTED_VALUE"""),"m")</f>
        <v>m</v>
      </c>
      <c r="M336" s="47" t="str">
        <f>IFERROR(__xludf.DUMMYFUNCTION("""COMPUTED_VALUE"""),"Dazzle007")</f>
        <v>Dazzle007</v>
      </c>
    </row>
    <row r="337">
      <c r="A337" s="47" t="str">
        <f>IFERROR(__xludf.DUMMYFUNCTION("""COMPUTED_VALUE"""),"Virtual Brown")</f>
        <v>Virtual Brown</v>
      </c>
      <c r="B337" s="47" t="str">
        <f>IFERROR(__xludf.DUMMYFUNCTION("""COMPUTED_VALUE"""),"Lylmik")</f>
        <v>Lylmik</v>
      </c>
      <c r="C337" s="78" t="str">
        <f>IFERROR(__xludf.DUMMYFUNCTION("""COMPUTED_VALUE"""),"https://www.munzee.com/m/Lylmik/1482/")</f>
        <v>https://www.munzee.com/m/Lylmik/1482/</v>
      </c>
      <c r="D337" s="47"/>
      <c r="E337" s="47" t="b">
        <f>IFERROR(__xludf.DUMMYFUNCTION("""COMPUTED_VALUE"""),TRUE)</f>
        <v>1</v>
      </c>
      <c r="F337" s="83" t="str">
        <f>IFERROR(__xludf.DUMMYFUNCTION("""COMPUTED_VALUE"""),"")</f>
        <v/>
      </c>
      <c r="G337" s="47" t="str">
        <f>IFERROR(__xludf.DUMMYFUNCTION("""COMPUTED_VALUE"""),"")</f>
        <v/>
      </c>
      <c r="H337" s="47"/>
      <c r="I337" s="47">
        <f>IFERROR(__xludf.DUMMYFUNCTION("""COMPUTED_VALUE"""),2.0)</f>
        <v>2</v>
      </c>
      <c r="J337" s="47" t="str">
        <f>IFERROR(__xludf.DUMMYFUNCTION("""COMPUTED_VALUE"""),"https:")</f>
        <v>https:</v>
      </c>
      <c r="K337" s="78" t="str">
        <f>IFERROR(__xludf.DUMMYFUNCTION("""COMPUTED_VALUE"""),"www.munzee.com")</f>
        <v>www.munzee.com</v>
      </c>
      <c r="L337" s="47" t="str">
        <f>IFERROR(__xludf.DUMMYFUNCTION("""COMPUTED_VALUE"""),"m")</f>
        <v>m</v>
      </c>
      <c r="M337" s="47" t="str">
        <f>IFERROR(__xludf.DUMMYFUNCTION("""COMPUTED_VALUE"""),"Lylmik")</f>
        <v>Lylmik</v>
      </c>
    </row>
    <row r="338">
      <c r="A338" s="47" t="str">
        <f>IFERROR(__xludf.DUMMYFUNCTION("""COMPUTED_VALUE"""),"Virtual Brown")</f>
        <v>Virtual Brown</v>
      </c>
      <c r="B338" s="47" t="str">
        <f>IFERROR(__xludf.DUMMYFUNCTION("""COMPUTED_VALUE"""),"BoyBou")</f>
        <v>BoyBou</v>
      </c>
      <c r="C338" s="78" t="str">
        <f>IFERROR(__xludf.DUMMYFUNCTION("""COMPUTED_VALUE"""),"https://www.munzee.com/m/BoyBou/3910/")</f>
        <v>https://www.munzee.com/m/BoyBou/3910/</v>
      </c>
      <c r="D338" s="47"/>
      <c r="E338" s="47" t="b">
        <f>IFERROR(__xludf.DUMMYFUNCTION("""COMPUTED_VALUE"""),TRUE)</f>
        <v>1</v>
      </c>
      <c r="F338" s="83" t="str">
        <f>IFERROR(__xludf.DUMMYFUNCTION("""COMPUTED_VALUE"""),"")</f>
        <v/>
      </c>
      <c r="G338" s="47" t="str">
        <f>IFERROR(__xludf.DUMMYFUNCTION("""COMPUTED_VALUE"""),"")</f>
        <v/>
      </c>
      <c r="H338" s="47"/>
      <c r="I338" s="47">
        <f>IFERROR(__xludf.DUMMYFUNCTION("""COMPUTED_VALUE"""),2.0)</f>
        <v>2</v>
      </c>
      <c r="J338" s="47" t="str">
        <f>IFERROR(__xludf.DUMMYFUNCTION("""COMPUTED_VALUE"""),"https:")</f>
        <v>https:</v>
      </c>
      <c r="K338" s="78" t="str">
        <f>IFERROR(__xludf.DUMMYFUNCTION("""COMPUTED_VALUE"""),"www.munzee.com")</f>
        <v>www.munzee.com</v>
      </c>
      <c r="L338" s="47" t="str">
        <f>IFERROR(__xludf.DUMMYFUNCTION("""COMPUTED_VALUE"""),"m")</f>
        <v>m</v>
      </c>
      <c r="M338" s="47" t="str">
        <f>IFERROR(__xludf.DUMMYFUNCTION("""COMPUTED_VALUE"""),"BoyBou")</f>
        <v>BoyBou</v>
      </c>
    </row>
    <row r="339">
      <c r="A339" s="47" t="str">
        <f>IFERROR(__xludf.DUMMYFUNCTION("""COMPUTED_VALUE"""),"Virtual Raw Sienna")</f>
        <v>Virtual Raw Sienna</v>
      </c>
      <c r="B339" s="47" t="str">
        <f>IFERROR(__xludf.DUMMYFUNCTION("""COMPUTED_VALUE"""),"BoyBou")</f>
        <v>BoyBou</v>
      </c>
      <c r="C339" s="78" t="str">
        <f>IFERROR(__xludf.DUMMYFUNCTION("""COMPUTED_VALUE"""),"https://www.munzee.com/m/BoyBou/3907/")</f>
        <v>https://www.munzee.com/m/BoyBou/3907/</v>
      </c>
      <c r="D339" s="47"/>
      <c r="E339" s="47" t="b">
        <f>IFERROR(__xludf.DUMMYFUNCTION("""COMPUTED_VALUE"""),TRUE)</f>
        <v>1</v>
      </c>
      <c r="F339" s="83" t="str">
        <f>IFERROR(__xludf.DUMMYFUNCTION("""COMPUTED_VALUE"""),"")</f>
        <v/>
      </c>
      <c r="G339" s="47" t="str">
        <f>IFERROR(__xludf.DUMMYFUNCTION("""COMPUTED_VALUE"""),"")</f>
        <v/>
      </c>
      <c r="H339" s="47"/>
      <c r="I339" s="47">
        <f>IFERROR(__xludf.DUMMYFUNCTION("""COMPUTED_VALUE"""),2.0)</f>
        <v>2</v>
      </c>
      <c r="J339" s="47" t="str">
        <f>IFERROR(__xludf.DUMMYFUNCTION("""COMPUTED_VALUE"""),"https:")</f>
        <v>https:</v>
      </c>
      <c r="K339" s="78" t="str">
        <f>IFERROR(__xludf.DUMMYFUNCTION("""COMPUTED_VALUE"""),"www.munzee.com")</f>
        <v>www.munzee.com</v>
      </c>
      <c r="L339" s="47" t="str">
        <f>IFERROR(__xludf.DUMMYFUNCTION("""COMPUTED_VALUE"""),"m")</f>
        <v>m</v>
      </c>
      <c r="M339" s="47" t="str">
        <f>IFERROR(__xludf.DUMMYFUNCTION("""COMPUTED_VALUE"""),"BoyBou")</f>
        <v>BoyBou</v>
      </c>
    </row>
    <row r="340">
      <c r="A340" s="47" t="str">
        <f>IFERROR(__xludf.DUMMYFUNCTION("""COMPUTED_VALUE"""),"Virtual Brown")</f>
        <v>Virtual Brown</v>
      </c>
      <c r="B340" s="47" t="str">
        <f>IFERROR(__xludf.DUMMYFUNCTION("""COMPUTED_VALUE"""),"cbf600")</f>
        <v>cbf600</v>
      </c>
      <c r="C340" s="78" t="str">
        <f>IFERROR(__xludf.DUMMYFUNCTION("""COMPUTED_VALUE"""),"https://www.munzee.com/m/cbf600/2359/")</f>
        <v>https://www.munzee.com/m/cbf600/2359/</v>
      </c>
      <c r="D340" s="47"/>
      <c r="E340" s="47" t="b">
        <f>IFERROR(__xludf.DUMMYFUNCTION("""COMPUTED_VALUE"""),TRUE)</f>
        <v>1</v>
      </c>
      <c r="F340" s="83" t="str">
        <f>IFERROR(__xludf.DUMMYFUNCTION("""COMPUTED_VALUE"""),"")</f>
        <v/>
      </c>
      <c r="G340" s="47" t="str">
        <f>IFERROR(__xludf.DUMMYFUNCTION("""COMPUTED_VALUE"""),"")</f>
        <v/>
      </c>
      <c r="H340" s="47"/>
      <c r="I340" s="47">
        <f>IFERROR(__xludf.DUMMYFUNCTION("""COMPUTED_VALUE"""),2.0)</f>
        <v>2</v>
      </c>
      <c r="J340" s="47" t="str">
        <f>IFERROR(__xludf.DUMMYFUNCTION("""COMPUTED_VALUE"""),"https:")</f>
        <v>https:</v>
      </c>
      <c r="K340" s="78" t="str">
        <f>IFERROR(__xludf.DUMMYFUNCTION("""COMPUTED_VALUE"""),"www.munzee.com")</f>
        <v>www.munzee.com</v>
      </c>
      <c r="L340" s="47" t="str">
        <f>IFERROR(__xludf.DUMMYFUNCTION("""COMPUTED_VALUE"""),"m")</f>
        <v>m</v>
      </c>
      <c r="M340" s="47" t="str">
        <f>IFERROR(__xludf.DUMMYFUNCTION("""COMPUTED_VALUE"""),"cbf600")</f>
        <v>cbf600</v>
      </c>
    </row>
    <row r="341">
      <c r="A341" s="47" t="str">
        <f>IFERROR(__xludf.DUMMYFUNCTION("""COMPUTED_VALUE"""),"Virtual Raw Sienna")</f>
        <v>Virtual Raw Sienna</v>
      </c>
      <c r="B341" s="47" t="str">
        <f>IFERROR(__xludf.DUMMYFUNCTION("""COMPUTED_VALUE"""),"Laouate")</f>
        <v>Laouate</v>
      </c>
      <c r="C341" s="78" t="str">
        <f>IFERROR(__xludf.DUMMYFUNCTION("""COMPUTED_VALUE"""),"https://www.munzee.com/m/Laouate/318/")</f>
        <v>https://www.munzee.com/m/Laouate/318/</v>
      </c>
      <c r="D341" s="47"/>
      <c r="E341" s="47" t="b">
        <f>IFERROR(__xludf.DUMMYFUNCTION("""COMPUTED_VALUE"""),TRUE)</f>
        <v>1</v>
      </c>
      <c r="F341" s="83" t="str">
        <f>IFERROR(__xludf.DUMMYFUNCTION("""COMPUTED_VALUE"""),"")</f>
        <v/>
      </c>
      <c r="G341" s="47" t="str">
        <f>IFERROR(__xludf.DUMMYFUNCTION("""COMPUTED_VALUE"""),"")</f>
        <v/>
      </c>
      <c r="H341" s="47"/>
      <c r="I341" s="47">
        <f>IFERROR(__xludf.DUMMYFUNCTION("""COMPUTED_VALUE"""),2.0)</f>
        <v>2</v>
      </c>
      <c r="J341" s="47" t="str">
        <f>IFERROR(__xludf.DUMMYFUNCTION("""COMPUTED_VALUE"""),"https:")</f>
        <v>https:</v>
      </c>
      <c r="K341" s="78" t="str">
        <f>IFERROR(__xludf.DUMMYFUNCTION("""COMPUTED_VALUE"""),"www.munzee.com")</f>
        <v>www.munzee.com</v>
      </c>
      <c r="L341" s="47" t="str">
        <f>IFERROR(__xludf.DUMMYFUNCTION("""COMPUTED_VALUE"""),"m")</f>
        <v>m</v>
      </c>
      <c r="M341" s="47" t="str">
        <f>IFERROR(__xludf.DUMMYFUNCTION("""COMPUTED_VALUE"""),"Laouate")</f>
        <v>Laouate</v>
      </c>
    </row>
    <row r="342">
      <c r="A342" s="47" t="str">
        <f>IFERROR(__xludf.DUMMYFUNCTION("""COMPUTED_VALUE"""),"Virtual Brown")</f>
        <v>Virtual Brown</v>
      </c>
      <c r="B342" s="47" t="str">
        <f>IFERROR(__xludf.DUMMYFUNCTION("""COMPUTED_VALUE"""),"all0123")</f>
        <v>all0123</v>
      </c>
      <c r="C342" s="78" t="str">
        <f>IFERROR(__xludf.DUMMYFUNCTION("""COMPUTED_VALUE"""),"https://www.munzee.com/m/all0123/3911/")</f>
        <v>https://www.munzee.com/m/all0123/3911/</v>
      </c>
      <c r="D342" s="47"/>
      <c r="E342" s="47" t="b">
        <f>IFERROR(__xludf.DUMMYFUNCTION("""COMPUTED_VALUE"""),TRUE)</f>
        <v>1</v>
      </c>
      <c r="F342" s="83" t="str">
        <f>IFERROR(__xludf.DUMMYFUNCTION("""COMPUTED_VALUE"""),"")</f>
        <v/>
      </c>
      <c r="G342" s="47" t="str">
        <f>IFERROR(__xludf.DUMMYFUNCTION("""COMPUTED_VALUE"""),"")</f>
        <v/>
      </c>
      <c r="H342" s="47"/>
      <c r="I342" s="47">
        <f>IFERROR(__xludf.DUMMYFUNCTION("""COMPUTED_VALUE"""),2.0)</f>
        <v>2</v>
      </c>
      <c r="J342" s="47" t="str">
        <f>IFERROR(__xludf.DUMMYFUNCTION("""COMPUTED_VALUE"""),"https:")</f>
        <v>https:</v>
      </c>
      <c r="K342" s="78" t="str">
        <f>IFERROR(__xludf.DUMMYFUNCTION("""COMPUTED_VALUE"""),"www.munzee.com")</f>
        <v>www.munzee.com</v>
      </c>
      <c r="L342" s="47" t="str">
        <f>IFERROR(__xludf.DUMMYFUNCTION("""COMPUTED_VALUE"""),"m")</f>
        <v>m</v>
      </c>
      <c r="M342" s="47" t="str">
        <f>IFERROR(__xludf.DUMMYFUNCTION("""COMPUTED_VALUE"""),"all0123")</f>
        <v>all0123</v>
      </c>
    </row>
    <row r="343">
      <c r="A343" s="47" t="str">
        <f>IFERROR(__xludf.DUMMYFUNCTION("""COMPUTED_VALUE"""),"Virtual Brown")</f>
        <v>Virtual Brown</v>
      </c>
      <c r="B343" s="47" t="str">
        <f>IFERROR(__xludf.DUMMYFUNCTION("""COMPUTED_VALUE"""),"upapou")</f>
        <v>upapou</v>
      </c>
      <c r="C343" s="78" t="str">
        <f>IFERROR(__xludf.DUMMYFUNCTION("""COMPUTED_VALUE"""),"https://www.munzee.com/m/upapou/969/")</f>
        <v>https://www.munzee.com/m/upapou/969/</v>
      </c>
      <c r="D343" s="47"/>
      <c r="E343" s="47" t="b">
        <f>IFERROR(__xludf.DUMMYFUNCTION("""COMPUTED_VALUE"""),TRUE)</f>
        <v>1</v>
      </c>
      <c r="F343" s="83" t="str">
        <f>IFERROR(__xludf.DUMMYFUNCTION("""COMPUTED_VALUE"""),"")</f>
        <v/>
      </c>
      <c r="G343" s="47" t="str">
        <f>IFERROR(__xludf.DUMMYFUNCTION("""COMPUTED_VALUE"""),"")</f>
        <v/>
      </c>
      <c r="H343" s="47"/>
      <c r="I343" s="47">
        <f>IFERROR(__xludf.DUMMYFUNCTION("""COMPUTED_VALUE"""),2.0)</f>
        <v>2</v>
      </c>
      <c r="J343" s="47" t="str">
        <f>IFERROR(__xludf.DUMMYFUNCTION("""COMPUTED_VALUE"""),"https:")</f>
        <v>https:</v>
      </c>
      <c r="K343" s="78" t="str">
        <f>IFERROR(__xludf.DUMMYFUNCTION("""COMPUTED_VALUE"""),"www.munzee.com")</f>
        <v>www.munzee.com</v>
      </c>
      <c r="L343" s="47" t="str">
        <f>IFERROR(__xludf.DUMMYFUNCTION("""COMPUTED_VALUE"""),"m")</f>
        <v>m</v>
      </c>
      <c r="M343" s="47" t="str">
        <f>IFERROR(__xludf.DUMMYFUNCTION("""COMPUTED_VALUE"""),"upapou")</f>
        <v>upapou</v>
      </c>
    </row>
    <row r="344">
      <c r="A344" s="47" t="str">
        <f>IFERROR(__xludf.DUMMYFUNCTION("""COMPUTED_VALUE"""),"Virtual Brown")</f>
        <v>Virtual Brown</v>
      </c>
      <c r="B344" s="47" t="str">
        <f>IFERROR(__xludf.DUMMYFUNCTION("""COMPUTED_VALUE"""),"OdinsFiRe")</f>
        <v>OdinsFiRe</v>
      </c>
      <c r="C344" s="78" t="str">
        <f>IFERROR(__xludf.DUMMYFUNCTION("""COMPUTED_VALUE"""),"https://www.munzee.com/m/OdinsFiRe/1631")</f>
        <v>https://www.munzee.com/m/OdinsFiRe/1631</v>
      </c>
      <c r="D344" s="47"/>
      <c r="E344" s="47" t="b">
        <f>IFERROR(__xludf.DUMMYFUNCTION("""COMPUTED_VALUE"""),TRUE)</f>
        <v>1</v>
      </c>
      <c r="F344" s="83"/>
      <c r="G344" s="47" t="str">
        <f>IFERROR(__xludf.DUMMYFUNCTION("""COMPUTED_VALUE"""),"")</f>
        <v/>
      </c>
      <c r="H344" s="47"/>
      <c r="I344" s="47">
        <f>IFERROR(__xludf.DUMMYFUNCTION("""COMPUTED_VALUE"""),2.0)</f>
        <v>2</v>
      </c>
      <c r="J344" s="47" t="str">
        <f>IFERROR(__xludf.DUMMYFUNCTION("""COMPUTED_VALUE"""),"https:")</f>
        <v>https:</v>
      </c>
      <c r="K344" s="78" t="str">
        <f>IFERROR(__xludf.DUMMYFUNCTION("""COMPUTED_VALUE"""),"www.munzee.com")</f>
        <v>www.munzee.com</v>
      </c>
      <c r="L344" s="47" t="str">
        <f>IFERROR(__xludf.DUMMYFUNCTION("""COMPUTED_VALUE"""),"m")</f>
        <v>m</v>
      </c>
      <c r="M344" s="47" t="str">
        <f>IFERROR(__xludf.DUMMYFUNCTION("""COMPUTED_VALUE"""),"OdinsFiRe")</f>
        <v>OdinsFiRe</v>
      </c>
    </row>
    <row r="345">
      <c r="A345" s="47" t="str">
        <f>IFERROR(__xludf.DUMMYFUNCTION("""COMPUTED_VALUE"""),"Virtual Brown")</f>
        <v>Virtual Brown</v>
      </c>
      <c r="B345" s="47" t="str">
        <f>IFERROR(__xludf.DUMMYFUNCTION("""COMPUTED_VALUE"""),"Vanocho")</f>
        <v>Vanocho</v>
      </c>
      <c r="C345" s="78" t="str">
        <f>IFERROR(__xludf.DUMMYFUNCTION("""COMPUTED_VALUE"""),"https://www.munzee.com/m/Vanocho/784/")</f>
        <v>https://www.munzee.com/m/Vanocho/784/</v>
      </c>
      <c r="D345" s="82"/>
      <c r="E345" s="47" t="b">
        <f>IFERROR(__xludf.DUMMYFUNCTION("""COMPUTED_VALUE"""),TRUE)</f>
        <v>1</v>
      </c>
      <c r="F345" s="47"/>
      <c r="G345" s="47" t="str">
        <f>IFERROR(__xludf.DUMMYFUNCTION("""COMPUTED_VALUE"""),"")</f>
        <v/>
      </c>
      <c r="H345" s="47"/>
      <c r="I345" s="47">
        <f>IFERROR(__xludf.DUMMYFUNCTION("""COMPUTED_VALUE"""),2.0)</f>
        <v>2</v>
      </c>
      <c r="J345" s="47" t="str">
        <f>IFERROR(__xludf.DUMMYFUNCTION("""COMPUTED_VALUE"""),"https:")</f>
        <v>https:</v>
      </c>
      <c r="K345" s="78" t="str">
        <f>IFERROR(__xludf.DUMMYFUNCTION("""COMPUTED_VALUE"""),"www.munzee.com")</f>
        <v>www.munzee.com</v>
      </c>
      <c r="L345" s="47" t="str">
        <f>IFERROR(__xludf.DUMMYFUNCTION("""COMPUTED_VALUE"""),"m")</f>
        <v>m</v>
      </c>
      <c r="M345" s="47" t="str">
        <f>IFERROR(__xludf.DUMMYFUNCTION("""COMPUTED_VALUE"""),"Vanocho")</f>
        <v>Vanocho</v>
      </c>
    </row>
    <row r="346">
      <c r="A346" s="47" t="str">
        <f>IFERROR(__xludf.DUMMYFUNCTION("""COMPUTED_VALUE"""),"Virtual Brown")</f>
        <v>Virtual Brown</v>
      </c>
      <c r="B346" s="47" t="str">
        <f>IFERROR(__xludf.DUMMYFUNCTION("""COMPUTED_VALUE"""),"babyw")</f>
        <v>babyw</v>
      </c>
      <c r="C346" s="78" t="str">
        <f>IFERROR(__xludf.DUMMYFUNCTION("""COMPUTED_VALUE"""),"https://www.munzee.com/m/babyw/3052/")</f>
        <v>https://www.munzee.com/m/babyw/3052/</v>
      </c>
      <c r="D346" s="79"/>
      <c r="E346" s="47" t="b">
        <f>IFERROR(__xludf.DUMMYFUNCTION("""COMPUTED_VALUE"""),TRUE)</f>
        <v>1</v>
      </c>
      <c r="F346" s="47"/>
      <c r="G346" s="47" t="str">
        <f>IFERROR(__xludf.DUMMYFUNCTION("""COMPUTED_VALUE"""),"")</f>
        <v/>
      </c>
      <c r="H346" s="47"/>
      <c r="I346" s="47">
        <f>IFERROR(__xludf.DUMMYFUNCTION("""COMPUTED_VALUE"""),2.0)</f>
        <v>2</v>
      </c>
      <c r="J346" s="47" t="str">
        <f>IFERROR(__xludf.DUMMYFUNCTION("""COMPUTED_VALUE"""),"https:")</f>
        <v>https:</v>
      </c>
      <c r="K346" s="78" t="str">
        <f>IFERROR(__xludf.DUMMYFUNCTION("""COMPUTED_VALUE"""),"www.munzee.com")</f>
        <v>www.munzee.com</v>
      </c>
      <c r="L346" s="47" t="str">
        <f>IFERROR(__xludf.DUMMYFUNCTION("""COMPUTED_VALUE"""),"m")</f>
        <v>m</v>
      </c>
      <c r="M346" s="47" t="str">
        <f>IFERROR(__xludf.DUMMYFUNCTION("""COMPUTED_VALUE"""),"babyw")</f>
        <v>babyw</v>
      </c>
    </row>
    <row r="347">
      <c r="A347" s="47" t="str">
        <f>IFERROR(__xludf.DUMMYFUNCTION("""COMPUTED_VALUE"""),"Virtual Brown")</f>
        <v>Virtual Brown</v>
      </c>
      <c r="B347" s="47" t="str">
        <f>IFERROR(__xludf.DUMMYFUNCTION("""COMPUTED_VALUE"""),"jldh")</f>
        <v>jldh</v>
      </c>
      <c r="C347" s="78" t="str">
        <f>IFERROR(__xludf.DUMMYFUNCTION("""COMPUTED_VALUE"""),"https://www.munzee.com/m/jldh/2933/")</f>
        <v>https://www.munzee.com/m/jldh/2933/</v>
      </c>
      <c r="D347" s="47"/>
      <c r="E347" s="47" t="b">
        <f>IFERROR(__xludf.DUMMYFUNCTION("""COMPUTED_VALUE"""),TRUE)</f>
        <v>1</v>
      </c>
      <c r="F347" s="83" t="str">
        <f>IFERROR(__xludf.DUMMYFUNCTION("""COMPUTED_VALUE"""),"")</f>
        <v/>
      </c>
      <c r="G347" s="47" t="str">
        <f>IFERROR(__xludf.DUMMYFUNCTION("""COMPUTED_VALUE"""),"")</f>
        <v/>
      </c>
      <c r="H347" s="47"/>
      <c r="I347" s="47">
        <f>IFERROR(__xludf.DUMMYFUNCTION("""COMPUTED_VALUE"""),2.0)</f>
        <v>2</v>
      </c>
      <c r="J347" s="47" t="str">
        <f>IFERROR(__xludf.DUMMYFUNCTION("""COMPUTED_VALUE"""),"https:")</f>
        <v>https:</v>
      </c>
      <c r="K347" s="78" t="str">
        <f>IFERROR(__xludf.DUMMYFUNCTION("""COMPUTED_VALUE"""),"www.munzee.com")</f>
        <v>www.munzee.com</v>
      </c>
      <c r="L347" s="47" t="str">
        <f>IFERROR(__xludf.DUMMYFUNCTION("""COMPUTED_VALUE"""),"m")</f>
        <v>m</v>
      </c>
      <c r="M347" s="47" t="str">
        <f>IFERROR(__xludf.DUMMYFUNCTION("""COMPUTED_VALUE"""),"jldh")</f>
        <v>jldh</v>
      </c>
    </row>
    <row r="348">
      <c r="A348" s="47" t="str">
        <f>IFERROR(__xludf.DUMMYFUNCTION("""COMPUTED_VALUE"""),"Virtual Brown")</f>
        <v>Virtual Brown</v>
      </c>
      <c r="B348" s="47" t="str">
        <f>IFERROR(__xludf.DUMMYFUNCTION("""COMPUTED_VALUE"""),"LtRangerBob")</f>
        <v>LtRangerBob</v>
      </c>
      <c r="C348" s="78" t="str">
        <f>IFERROR(__xludf.DUMMYFUNCTION("""COMPUTED_VALUE"""),"https://www.munzee.com/m/LtRangerBob/2591/")</f>
        <v>https://www.munzee.com/m/LtRangerBob/2591/</v>
      </c>
      <c r="D348" s="47"/>
      <c r="E348" s="47" t="b">
        <f>IFERROR(__xludf.DUMMYFUNCTION("""COMPUTED_VALUE"""),TRUE)</f>
        <v>1</v>
      </c>
      <c r="F348" s="83" t="str">
        <f>IFERROR(__xludf.DUMMYFUNCTION("""COMPUTED_VALUE"""),"")</f>
        <v/>
      </c>
      <c r="G348" s="47" t="str">
        <f>IFERROR(__xludf.DUMMYFUNCTION("""COMPUTED_VALUE"""),"")</f>
        <v/>
      </c>
      <c r="H348" s="47"/>
      <c r="I348" s="47">
        <f>IFERROR(__xludf.DUMMYFUNCTION("""COMPUTED_VALUE"""),2.0)</f>
        <v>2</v>
      </c>
      <c r="J348" s="47" t="str">
        <f>IFERROR(__xludf.DUMMYFUNCTION("""COMPUTED_VALUE"""),"https:")</f>
        <v>https:</v>
      </c>
      <c r="K348" s="78" t="str">
        <f>IFERROR(__xludf.DUMMYFUNCTION("""COMPUTED_VALUE"""),"www.munzee.com")</f>
        <v>www.munzee.com</v>
      </c>
      <c r="L348" s="47" t="str">
        <f>IFERROR(__xludf.DUMMYFUNCTION("""COMPUTED_VALUE"""),"m")</f>
        <v>m</v>
      </c>
      <c r="M348" s="47" t="str">
        <f>IFERROR(__xludf.DUMMYFUNCTION("""COMPUTED_VALUE"""),"LtRangerBob")</f>
        <v>LtRangerBob</v>
      </c>
    </row>
    <row r="349">
      <c r="A349" s="47" t="str">
        <f>IFERROR(__xludf.DUMMYFUNCTION("""COMPUTED_VALUE"""),"Virtual Raw Sienna")</f>
        <v>Virtual Raw Sienna</v>
      </c>
      <c r="B349" s="47" t="str">
        <f>IFERROR(__xludf.DUMMYFUNCTION("""COMPUTED_VALUE"""),"Lanyasummer")</f>
        <v>Lanyasummer</v>
      </c>
      <c r="C349" s="78" t="str">
        <f>IFERROR(__xludf.DUMMYFUNCTION("""COMPUTED_VALUE"""),"https://www.munzee.com/m/Lanyasummer/4398/")</f>
        <v>https://www.munzee.com/m/Lanyasummer/4398/</v>
      </c>
      <c r="D349" s="47"/>
      <c r="E349" s="47" t="b">
        <f>IFERROR(__xludf.DUMMYFUNCTION("""COMPUTED_VALUE"""),TRUE)</f>
        <v>1</v>
      </c>
      <c r="F349" s="83"/>
      <c r="G349" s="47" t="str">
        <f>IFERROR(__xludf.DUMMYFUNCTION("""COMPUTED_VALUE"""),"")</f>
        <v/>
      </c>
      <c r="H349" s="47"/>
      <c r="I349" s="47">
        <f>IFERROR(__xludf.DUMMYFUNCTION("""COMPUTED_VALUE"""),2.0)</f>
        <v>2</v>
      </c>
      <c r="J349" s="47" t="str">
        <f>IFERROR(__xludf.DUMMYFUNCTION("""COMPUTED_VALUE"""),"https:")</f>
        <v>https:</v>
      </c>
      <c r="K349" s="78" t="str">
        <f>IFERROR(__xludf.DUMMYFUNCTION("""COMPUTED_VALUE"""),"www.munzee.com")</f>
        <v>www.munzee.com</v>
      </c>
      <c r="L349" s="47" t="str">
        <f>IFERROR(__xludf.DUMMYFUNCTION("""COMPUTED_VALUE"""),"m")</f>
        <v>m</v>
      </c>
      <c r="M349" s="47" t="str">
        <f>IFERROR(__xludf.DUMMYFUNCTION("""COMPUTED_VALUE"""),"Lanyasummer")</f>
        <v>Lanyasummer</v>
      </c>
    </row>
    <row r="350">
      <c r="A350" s="47" t="str">
        <f>IFERROR(__xludf.DUMMYFUNCTION("""COMPUTED_VALUE"""),"Virtual Brown")</f>
        <v>Virtual Brown</v>
      </c>
      <c r="B350" s="47" t="str">
        <f>IFERROR(__xludf.DUMMYFUNCTION("""COMPUTED_VALUE"""),"jldh")</f>
        <v>jldh</v>
      </c>
      <c r="C350" s="78" t="str">
        <f>IFERROR(__xludf.DUMMYFUNCTION("""COMPUTED_VALUE"""),"https://www.munzee.com/m/jldh/2934/")</f>
        <v>https://www.munzee.com/m/jldh/2934/</v>
      </c>
      <c r="D350" s="47"/>
      <c r="E350" s="47" t="b">
        <f>IFERROR(__xludf.DUMMYFUNCTION("""COMPUTED_VALUE"""),TRUE)</f>
        <v>1</v>
      </c>
      <c r="F350" s="83" t="str">
        <f>IFERROR(__xludf.DUMMYFUNCTION("""COMPUTED_VALUE"""),"")</f>
        <v/>
      </c>
      <c r="G350" s="47" t="str">
        <f>IFERROR(__xludf.DUMMYFUNCTION("""COMPUTED_VALUE"""),"")</f>
        <v/>
      </c>
      <c r="H350" s="47"/>
      <c r="I350" s="47">
        <f>IFERROR(__xludf.DUMMYFUNCTION("""COMPUTED_VALUE"""),2.0)</f>
        <v>2</v>
      </c>
      <c r="J350" s="47" t="str">
        <f>IFERROR(__xludf.DUMMYFUNCTION("""COMPUTED_VALUE"""),"https:")</f>
        <v>https:</v>
      </c>
      <c r="K350" s="78" t="str">
        <f>IFERROR(__xludf.DUMMYFUNCTION("""COMPUTED_VALUE"""),"www.munzee.com")</f>
        <v>www.munzee.com</v>
      </c>
      <c r="L350" s="47" t="str">
        <f>IFERROR(__xludf.DUMMYFUNCTION("""COMPUTED_VALUE"""),"m")</f>
        <v>m</v>
      </c>
      <c r="M350" s="47" t="str">
        <f>IFERROR(__xludf.DUMMYFUNCTION("""COMPUTED_VALUE"""),"jldh")</f>
        <v>jldh</v>
      </c>
    </row>
    <row r="351">
      <c r="A351" s="47" t="str">
        <f>IFERROR(__xludf.DUMMYFUNCTION("""COMPUTED_VALUE"""),"Virtual Brown")</f>
        <v>Virtual Brown</v>
      </c>
      <c r="B351" s="47" t="str">
        <f>IFERROR(__xludf.DUMMYFUNCTION("""COMPUTED_VALUE"""),"LtRangerBob")</f>
        <v>LtRangerBob</v>
      </c>
      <c r="C351" s="78" t="str">
        <f>IFERROR(__xludf.DUMMYFUNCTION("""COMPUTED_VALUE"""),"https://www.munzee.com/m/LtRangerBob/2603/")</f>
        <v>https://www.munzee.com/m/LtRangerBob/2603/</v>
      </c>
      <c r="D351" s="47"/>
      <c r="E351" s="47" t="b">
        <f>IFERROR(__xludf.DUMMYFUNCTION("""COMPUTED_VALUE"""),TRUE)</f>
        <v>1</v>
      </c>
      <c r="F351" s="83" t="str">
        <f>IFERROR(__xludf.DUMMYFUNCTION("""COMPUTED_VALUE"""),"")</f>
        <v/>
      </c>
      <c r="G351" s="47" t="str">
        <f>IFERROR(__xludf.DUMMYFUNCTION("""COMPUTED_VALUE"""),"")</f>
        <v/>
      </c>
      <c r="H351" s="47"/>
      <c r="I351" s="47">
        <f>IFERROR(__xludf.DUMMYFUNCTION("""COMPUTED_VALUE"""),2.0)</f>
        <v>2</v>
      </c>
      <c r="J351" s="47" t="str">
        <f>IFERROR(__xludf.DUMMYFUNCTION("""COMPUTED_VALUE"""),"https:")</f>
        <v>https:</v>
      </c>
      <c r="K351" s="78" t="str">
        <f>IFERROR(__xludf.DUMMYFUNCTION("""COMPUTED_VALUE"""),"www.munzee.com")</f>
        <v>www.munzee.com</v>
      </c>
      <c r="L351" s="47" t="str">
        <f>IFERROR(__xludf.DUMMYFUNCTION("""COMPUTED_VALUE"""),"m")</f>
        <v>m</v>
      </c>
      <c r="M351" s="47" t="str">
        <f>IFERROR(__xludf.DUMMYFUNCTION("""COMPUTED_VALUE"""),"LtRangerBob")</f>
        <v>LtRangerBob</v>
      </c>
    </row>
    <row r="352">
      <c r="A352" s="47" t="str">
        <f>IFERROR(__xludf.DUMMYFUNCTION("""COMPUTED_VALUE"""),"Virtual Raw Sienna")</f>
        <v>Virtual Raw Sienna</v>
      </c>
      <c r="B352" s="47" t="str">
        <f>IFERROR(__xludf.DUMMYFUNCTION("""COMPUTED_VALUE"""),"IXE13")</f>
        <v>IXE13</v>
      </c>
      <c r="C352" s="78" t="str">
        <f>IFERROR(__xludf.DUMMYFUNCTION("""COMPUTED_VALUE"""),"https://www.munzee.com/m/IXE13/186/")</f>
        <v>https://www.munzee.com/m/IXE13/186/</v>
      </c>
      <c r="D352" s="47"/>
      <c r="E352" s="47" t="b">
        <f>IFERROR(__xludf.DUMMYFUNCTION("""COMPUTED_VALUE"""),TRUE)</f>
        <v>1</v>
      </c>
      <c r="F352" s="83" t="str">
        <f>IFERROR(__xludf.DUMMYFUNCTION("""COMPUTED_VALUE"""),"")</f>
        <v/>
      </c>
      <c r="G352" s="47" t="str">
        <f>IFERROR(__xludf.DUMMYFUNCTION("""COMPUTED_VALUE"""),"")</f>
        <v/>
      </c>
      <c r="H352" s="47"/>
      <c r="I352" s="47">
        <f>IFERROR(__xludf.DUMMYFUNCTION("""COMPUTED_VALUE"""),2.0)</f>
        <v>2</v>
      </c>
      <c r="J352" s="47" t="str">
        <f>IFERROR(__xludf.DUMMYFUNCTION("""COMPUTED_VALUE"""),"https:")</f>
        <v>https:</v>
      </c>
      <c r="K352" s="78" t="str">
        <f>IFERROR(__xludf.DUMMYFUNCTION("""COMPUTED_VALUE"""),"www.munzee.com")</f>
        <v>www.munzee.com</v>
      </c>
      <c r="L352" s="47" t="str">
        <f>IFERROR(__xludf.DUMMYFUNCTION("""COMPUTED_VALUE"""),"m")</f>
        <v>m</v>
      </c>
      <c r="M352" s="47" t="str">
        <f>IFERROR(__xludf.DUMMYFUNCTION("""COMPUTED_VALUE"""),"IXE13")</f>
        <v>IXE13</v>
      </c>
    </row>
    <row r="353">
      <c r="A353" s="47" t="str">
        <f>IFERROR(__xludf.DUMMYFUNCTION("""COMPUTED_VALUE"""),"Virtual Brown")</f>
        <v>Virtual Brown</v>
      </c>
      <c r="B353" s="47" t="str">
        <f>IFERROR(__xludf.DUMMYFUNCTION("""COMPUTED_VALUE"""),"TheFrog")</f>
        <v>TheFrog</v>
      </c>
      <c r="C353" s="78" t="str">
        <f>IFERROR(__xludf.DUMMYFUNCTION("""COMPUTED_VALUE"""),"https://www.munzee.com/m/TheFrog/4170/")</f>
        <v>https://www.munzee.com/m/TheFrog/4170/</v>
      </c>
      <c r="D353" s="47"/>
      <c r="E353" s="47" t="b">
        <f>IFERROR(__xludf.DUMMYFUNCTION("""COMPUTED_VALUE"""),TRUE)</f>
        <v>1</v>
      </c>
      <c r="F353" s="83" t="str">
        <f>IFERROR(__xludf.DUMMYFUNCTION("""COMPUTED_VALUE"""),"")</f>
        <v/>
      </c>
      <c r="G353" s="47" t="str">
        <f>IFERROR(__xludf.DUMMYFUNCTION("""COMPUTED_VALUE"""),"")</f>
        <v/>
      </c>
      <c r="H353" s="47"/>
      <c r="I353" s="47">
        <f>IFERROR(__xludf.DUMMYFUNCTION("""COMPUTED_VALUE"""),2.0)</f>
        <v>2</v>
      </c>
      <c r="J353" s="47" t="str">
        <f>IFERROR(__xludf.DUMMYFUNCTION("""COMPUTED_VALUE"""),"https:")</f>
        <v>https:</v>
      </c>
      <c r="K353" s="78" t="str">
        <f>IFERROR(__xludf.DUMMYFUNCTION("""COMPUTED_VALUE"""),"www.munzee.com")</f>
        <v>www.munzee.com</v>
      </c>
      <c r="L353" s="47" t="str">
        <f>IFERROR(__xludf.DUMMYFUNCTION("""COMPUTED_VALUE"""),"m")</f>
        <v>m</v>
      </c>
      <c r="M353" s="47" t="str">
        <f>IFERROR(__xludf.DUMMYFUNCTION("""COMPUTED_VALUE"""),"TheFrog")</f>
        <v>TheFrog</v>
      </c>
    </row>
    <row r="354">
      <c r="A354" s="47" t="str">
        <f>IFERROR(__xludf.DUMMYFUNCTION("""COMPUTED_VALUE"""),"Virtual Brown")</f>
        <v>Virtual Brown</v>
      </c>
      <c r="B354" s="47" t="str">
        <f>IFERROR(__xludf.DUMMYFUNCTION("""COMPUTED_VALUE"""),"123xilef")</f>
        <v>123xilef</v>
      </c>
      <c r="C354" s="78" t="str">
        <f>IFERROR(__xludf.DUMMYFUNCTION("""COMPUTED_VALUE"""),"https://www.munzee.com/m/123xilef/6999/")</f>
        <v>https://www.munzee.com/m/123xilef/6999/</v>
      </c>
      <c r="D354" s="47"/>
      <c r="E354" s="47" t="b">
        <f>IFERROR(__xludf.DUMMYFUNCTION("""COMPUTED_VALUE"""),TRUE)</f>
        <v>1</v>
      </c>
      <c r="F354" s="83" t="str">
        <f>IFERROR(__xludf.DUMMYFUNCTION("""COMPUTED_VALUE"""),"")</f>
        <v/>
      </c>
      <c r="G354" s="47" t="str">
        <f>IFERROR(__xludf.DUMMYFUNCTION("""COMPUTED_VALUE"""),"")</f>
        <v/>
      </c>
      <c r="H354" s="47"/>
      <c r="I354" s="47">
        <f>IFERROR(__xludf.DUMMYFUNCTION("""COMPUTED_VALUE"""),2.0)</f>
        <v>2</v>
      </c>
      <c r="J354" s="47" t="str">
        <f>IFERROR(__xludf.DUMMYFUNCTION("""COMPUTED_VALUE"""),"https:")</f>
        <v>https:</v>
      </c>
      <c r="K354" s="78" t="str">
        <f>IFERROR(__xludf.DUMMYFUNCTION("""COMPUTED_VALUE"""),"www.munzee.com")</f>
        <v>www.munzee.com</v>
      </c>
      <c r="L354" s="47" t="str">
        <f>IFERROR(__xludf.DUMMYFUNCTION("""COMPUTED_VALUE"""),"m")</f>
        <v>m</v>
      </c>
      <c r="M354" s="47" t="str">
        <f>IFERROR(__xludf.DUMMYFUNCTION("""COMPUTED_VALUE"""),"123xilef")</f>
        <v>123xilef</v>
      </c>
    </row>
    <row r="355">
      <c r="A355" s="47" t="str">
        <f>IFERROR(__xludf.DUMMYFUNCTION("""COMPUTED_VALUE"""),"Virtual Raw Sienna")</f>
        <v>Virtual Raw Sienna</v>
      </c>
      <c r="B355" s="47" t="str">
        <f>IFERROR(__xludf.DUMMYFUNCTION("""COMPUTED_VALUE"""),"Lylmik")</f>
        <v>Lylmik</v>
      </c>
      <c r="C355" s="78" t="str">
        <f>IFERROR(__xludf.DUMMYFUNCTION("""COMPUTED_VALUE"""),"https://www.munzee.com/m/Lylmik/1495")</f>
        <v>https://www.munzee.com/m/Lylmik/1495</v>
      </c>
      <c r="D355" s="47"/>
      <c r="E355" s="47" t="b">
        <f>IFERROR(__xludf.DUMMYFUNCTION("""COMPUTED_VALUE"""),TRUE)</f>
        <v>1</v>
      </c>
      <c r="F355" s="83" t="str">
        <f>IFERROR(__xludf.DUMMYFUNCTION("""COMPUTED_VALUE"""),"")</f>
        <v/>
      </c>
      <c r="G355" s="47" t="str">
        <f>IFERROR(__xludf.DUMMYFUNCTION("""COMPUTED_VALUE"""),"")</f>
        <v/>
      </c>
      <c r="H355" s="47"/>
      <c r="I355" s="47">
        <f>IFERROR(__xludf.DUMMYFUNCTION("""COMPUTED_VALUE"""),2.0)</f>
        <v>2</v>
      </c>
      <c r="J355" s="47" t="str">
        <f>IFERROR(__xludf.DUMMYFUNCTION("""COMPUTED_VALUE"""),"https:")</f>
        <v>https:</v>
      </c>
      <c r="K355" s="78" t="str">
        <f>IFERROR(__xludf.DUMMYFUNCTION("""COMPUTED_VALUE"""),"www.munzee.com")</f>
        <v>www.munzee.com</v>
      </c>
      <c r="L355" s="47" t="str">
        <f>IFERROR(__xludf.DUMMYFUNCTION("""COMPUTED_VALUE"""),"m")</f>
        <v>m</v>
      </c>
      <c r="M355" s="47" t="str">
        <f>IFERROR(__xludf.DUMMYFUNCTION("""COMPUTED_VALUE"""),"Lylmik")</f>
        <v>Lylmik</v>
      </c>
    </row>
    <row r="356">
      <c r="A356" s="47" t="str">
        <f>IFERROR(__xludf.DUMMYFUNCTION("""COMPUTED_VALUE"""),"Virtual Brown")</f>
        <v>Virtual Brown</v>
      </c>
      <c r="B356" s="47" t="str">
        <f>IFERROR(__xludf.DUMMYFUNCTION("""COMPUTED_VALUE"""),"PinkBuldog")</f>
        <v>PinkBuldog</v>
      </c>
      <c r="C356" s="78" t="str">
        <f>IFERROR(__xludf.DUMMYFUNCTION("""COMPUTED_VALUE"""),"https://www.munzee.com/m/PinkBulldog/2312/")</f>
        <v>https://www.munzee.com/m/PinkBulldog/2312/</v>
      </c>
      <c r="D356" s="47"/>
      <c r="E356" s="47" t="b">
        <f>IFERROR(__xludf.DUMMYFUNCTION("""COMPUTED_VALUE"""),TRUE)</f>
        <v>1</v>
      </c>
      <c r="F356" s="47"/>
      <c r="G356" s="47" t="str">
        <f>IFERROR(__xludf.DUMMYFUNCTION("""COMPUTED_VALUE"""),"")</f>
        <v/>
      </c>
      <c r="H356" s="47"/>
      <c r="I356" s="47">
        <f>IFERROR(__xludf.DUMMYFUNCTION("""COMPUTED_VALUE"""),2.0)</f>
        <v>2</v>
      </c>
      <c r="J356" s="47" t="str">
        <f>IFERROR(__xludf.DUMMYFUNCTION("""COMPUTED_VALUE"""),"https:")</f>
        <v>https:</v>
      </c>
      <c r="K356" s="78" t="str">
        <f>IFERROR(__xludf.DUMMYFUNCTION("""COMPUTED_VALUE"""),"www.munzee.com")</f>
        <v>www.munzee.com</v>
      </c>
      <c r="L356" s="47" t="str">
        <f>IFERROR(__xludf.DUMMYFUNCTION("""COMPUTED_VALUE"""),"m")</f>
        <v>m</v>
      </c>
      <c r="M356" s="47" t="str">
        <f>IFERROR(__xludf.DUMMYFUNCTION("""COMPUTED_VALUE"""),"PinkBulldog")</f>
        <v>PinkBulldog</v>
      </c>
    </row>
    <row r="357">
      <c r="A357" s="47" t="str">
        <f>IFERROR(__xludf.DUMMYFUNCTION("""COMPUTED_VALUE"""),"Virtual Brown")</f>
        <v>Virtual Brown</v>
      </c>
      <c r="B357" s="47" t="str">
        <f>IFERROR(__xludf.DUMMYFUNCTION("""COMPUTED_VALUE"""),"vanocho")</f>
        <v>vanocho</v>
      </c>
      <c r="C357" s="78" t="str">
        <f>IFERROR(__xludf.DUMMYFUNCTION("""COMPUTED_VALUE"""),"https://www.munzee.com/m/Vanocho/810/")</f>
        <v>https://www.munzee.com/m/Vanocho/810/</v>
      </c>
      <c r="D357" s="47"/>
      <c r="E357" s="47" t="b">
        <f>IFERROR(__xludf.DUMMYFUNCTION("""COMPUTED_VALUE"""),TRUE)</f>
        <v>1</v>
      </c>
      <c r="F357" s="83" t="str">
        <f>IFERROR(__xludf.DUMMYFUNCTION("""COMPUTED_VALUE"""),"")</f>
        <v/>
      </c>
      <c r="G357" s="47" t="str">
        <f>IFERROR(__xludf.DUMMYFUNCTION("""COMPUTED_VALUE"""),"")</f>
        <v/>
      </c>
      <c r="H357" s="47"/>
      <c r="I357" s="47">
        <f>IFERROR(__xludf.DUMMYFUNCTION("""COMPUTED_VALUE"""),2.0)</f>
        <v>2</v>
      </c>
      <c r="J357" s="47" t="str">
        <f>IFERROR(__xludf.DUMMYFUNCTION("""COMPUTED_VALUE"""),"https:")</f>
        <v>https:</v>
      </c>
      <c r="K357" s="78" t="str">
        <f>IFERROR(__xludf.DUMMYFUNCTION("""COMPUTED_VALUE"""),"www.munzee.com")</f>
        <v>www.munzee.com</v>
      </c>
      <c r="L357" s="47" t="str">
        <f>IFERROR(__xludf.DUMMYFUNCTION("""COMPUTED_VALUE"""),"m")</f>
        <v>m</v>
      </c>
      <c r="M357" s="47" t="str">
        <f>IFERROR(__xludf.DUMMYFUNCTION("""COMPUTED_VALUE"""),"Vanocho")</f>
        <v>Vanocho</v>
      </c>
    </row>
    <row r="358">
      <c r="A358" s="47" t="str">
        <f>IFERROR(__xludf.DUMMYFUNCTION("""COMPUTED_VALUE"""),"Virtual Brown")</f>
        <v>Virtual Brown</v>
      </c>
      <c r="B358" s="47" t="str">
        <f>IFERROR(__xludf.DUMMYFUNCTION("""COMPUTED_VALUE"""),"BoyBou")</f>
        <v>BoyBou</v>
      </c>
      <c r="C358" s="78" t="str">
        <f>IFERROR(__xludf.DUMMYFUNCTION("""COMPUTED_VALUE"""),"https://www.munzee.com/m/BoyBou/3904/")</f>
        <v>https://www.munzee.com/m/BoyBou/3904/</v>
      </c>
      <c r="D358" s="47"/>
      <c r="E358" s="47" t="b">
        <f>IFERROR(__xludf.DUMMYFUNCTION("""COMPUTED_VALUE"""),TRUE)</f>
        <v>1</v>
      </c>
      <c r="F358" s="83" t="str">
        <f>IFERROR(__xludf.DUMMYFUNCTION("""COMPUTED_VALUE"""),"")</f>
        <v/>
      </c>
      <c r="G358" s="47" t="str">
        <f>IFERROR(__xludf.DUMMYFUNCTION("""COMPUTED_VALUE"""),"")</f>
        <v/>
      </c>
      <c r="H358" s="47"/>
      <c r="I358" s="47">
        <f>IFERROR(__xludf.DUMMYFUNCTION("""COMPUTED_VALUE"""),2.0)</f>
        <v>2</v>
      </c>
      <c r="J358" s="47" t="str">
        <f>IFERROR(__xludf.DUMMYFUNCTION("""COMPUTED_VALUE"""),"https:")</f>
        <v>https:</v>
      </c>
      <c r="K358" s="78" t="str">
        <f>IFERROR(__xludf.DUMMYFUNCTION("""COMPUTED_VALUE"""),"www.munzee.com")</f>
        <v>www.munzee.com</v>
      </c>
      <c r="L358" s="47" t="str">
        <f>IFERROR(__xludf.DUMMYFUNCTION("""COMPUTED_VALUE"""),"m")</f>
        <v>m</v>
      </c>
      <c r="M358" s="47" t="str">
        <f>IFERROR(__xludf.DUMMYFUNCTION("""COMPUTED_VALUE"""),"BoyBou")</f>
        <v>BoyBou</v>
      </c>
    </row>
    <row r="359">
      <c r="A359" s="47" t="str">
        <f>IFERROR(__xludf.DUMMYFUNCTION("""COMPUTED_VALUE"""),"Virtual Brown")</f>
        <v>Virtual Brown</v>
      </c>
      <c r="B359" s="47" t="str">
        <f>IFERROR(__xludf.DUMMYFUNCTION("""COMPUTED_VALUE"""),"Dazzle007")</f>
        <v>Dazzle007</v>
      </c>
      <c r="C359" s="78" t="str">
        <f>IFERROR(__xludf.DUMMYFUNCTION("""COMPUTED_VALUE"""),"https://www.munzee.com/m/Dazzle007/795/")</f>
        <v>https://www.munzee.com/m/Dazzle007/795/</v>
      </c>
      <c r="D359" s="47"/>
      <c r="E359" s="47" t="b">
        <f>IFERROR(__xludf.DUMMYFUNCTION("""COMPUTED_VALUE"""),TRUE)</f>
        <v>1</v>
      </c>
      <c r="F359" s="83" t="str">
        <f>IFERROR(__xludf.DUMMYFUNCTION("""COMPUTED_VALUE"""),"")</f>
        <v/>
      </c>
      <c r="G359" s="47" t="str">
        <f>IFERROR(__xludf.DUMMYFUNCTION("""COMPUTED_VALUE"""),"")</f>
        <v/>
      </c>
      <c r="H359" s="47"/>
      <c r="I359" s="47">
        <f>IFERROR(__xludf.DUMMYFUNCTION("""COMPUTED_VALUE"""),2.0)</f>
        <v>2</v>
      </c>
      <c r="J359" s="47" t="str">
        <f>IFERROR(__xludf.DUMMYFUNCTION("""COMPUTED_VALUE"""),"https:")</f>
        <v>https:</v>
      </c>
      <c r="K359" s="78" t="str">
        <f>IFERROR(__xludf.DUMMYFUNCTION("""COMPUTED_VALUE"""),"www.munzee.com")</f>
        <v>www.munzee.com</v>
      </c>
      <c r="L359" s="47" t="str">
        <f>IFERROR(__xludf.DUMMYFUNCTION("""COMPUTED_VALUE"""),"m")</f>
        <v>m</v>
      </c>
      <c r="M359" s="47" t="str">
        <f>IFERROR(__xludf.DUMMYFUNCTION("""COMPUTED_VALUE"""),"Dazzle007")</f>
        <v>Dazzle007</v>
      </c>
    </row>
    <row r="360">
      <c r="A360" s="47" t="str">
        <f>IFERROR(__xludf.DUMMYFUNCTION("""COMPUTED_VALUE"""),"Virtual Brown")</f>
        <v>Virtual Brown</v>
      </c>
      <c r="B360" s="47" t="str">
        <f>IFERROR(__xludf.DUMMYFUNCTION("""COMPUTED_VALUE"""),"all0123")</f>
        <v>all0123</v>
      </c>
      <c r="C360" s="78" t="str">
        <f>IFERROR(__xludf.DUMMYFUNCTION("""COMPUTED_VALUE"""),"https://www.munzee.com/m/all0123/3912/")</f>
        <v>https://www.munzee.com/m/all0123/3912/</v>
      </c>
      <c r="D360" s="47"/>
      <c r="E360" s="47" t="b">
        <f>IFERROR(__xludf.DUMMYFUNCTION("""COMPUTED_VALUE"""),TRUE)</f>
        <v>1</v>
      </c>
      <c r="F360" s="83" t="str">
        <f>IFERROR(__xludf.DUMMYFUNCTION("""COMPUTED_VALUE"""),"")</f>
        <v/>
      </c>
      <c r="G360" s="47" t="str">
        <f>IFERROR(__xludf.DUMMYFUNCTION("""COMPUTED_VALUE"""),"")</f>
        <v/>
      </c>
      <c r="H360" s="47"/>
      <c r="I360" s="47">
        <f>IFERROR(__xludf.DUMMYFUNCTION("""COMPUTED_VALUE"""),2.0)</f>
        <v>2</v>
      </c>
      <c r="J360" s="47" t="str">
        <f>IFERROR(__xludf.DUMMYFUNCTION("""COMPUTED_VALUE"""),"https:")</f>
        <v>https:</v>
      </c>
      <c r="K360" s="78" t="str">
        <f>IFERROR(__xludf.DUMMYFUNCTION("""COMPUTED_VALUE"""),"www.munzee.com")</f>
        <v>www.munzee.com</v>
      </c>
      <c r="L360" s="47" t="str">
        <f>IFERROR(__xludf.DUMMYFUNCTION("""COMPUTED_VALUE"""),"m")</f>
        <v>m</v>
      </c>
      <c r="M360" s="47" t="str">
        <f>IFERROR(__xludf.DUMMYFUNCTION("""COMPUTED_VALUE"""),"all0123")</f>
        <v>all0123</v>
      </c>
    </row>
    <row r="361">
      <c r="A361" s="47" t="str">
        <f>IFERROR(__xludf.DUMMYFUNCTION("""COMPUTED_VALUE"""),"Virtual Brown")</f>
        <v>Virtual Brown</v>
      </c>
      <c r="B361" s="47" t="str">
        <f>IFERROR(__xludf.DUMMYFUNCTION("""COMPUTED_VALUE"""),"barefootguru")</f>
        <v>barefootguru</v>
      </c>
      <c r="C361" s="78" t="str">
        <f>IFERROR(__xludf.DUMMYFUNCTION("""COMPUTED_VALUE"""),"https://www.munzee.com/m/barefootguru/3128/")</f>
        <v>https://www.munzee.com/m/barefootguru/3128/</v>
      </c>
      <c r="D361" s="47"/>
      <c r="E361" s="47" t="b">
        <f>IFERROR(__xludf.DUMMYFUNCTION("""COMPUTED_VALUE"""),TRUE)</f>
        <v>1</v>
      </c>
      <c r="F361" s="83" t="str">
        <f>IFERROR(__xludf.DUMMYFUNCTION("""COMPUTED_VALUE"""),"")</f>
        <v/>
      </c>
      <c r="G361" s="47" t="str">
        <f>IFERROR(__xludf.DUMMYFUNCTION("""COMPUTED_VALUE"""),"")</f>
        <v/>
      </c>
      <c r="H361" s="47"/>
      <c r="I361" s="47">
        <f>IFERROR(__xludf.DUMMYFUNCTION("""COMPUTED_VALUE"""),2.0)</f>
        <v>2</v>
      </c>
      <c r="J361" s="47" t="str">
        <f>IFERROR(__xludf.DUMMYFUNCTION("""COMPUTED_VALUE"""),"https:")</f>
        <v>https:</v>
      </c>
      <c r="K361" s="78" t="str">
        <f>IFERROR(__xludf.DUMMYFUNCTION("""COMPUTED_VALUE"""),"www.munzee.com")</f>
        <v>www.munzee.com</v>
      </c>
      <c r="L361" s="47" t="str">
        <f>IFERROR(__xludf.DUMMYFUNCTION("""COMPUTED_VALUE"""),"m")</f>
        <v>m</v>
      </c>
      <c r="M361" s="47" t="str">
        <f>IFERROR(__xludf.DUMMYFUNCTION("""COMPUTED_VALUE"""),"barefootguru")</f>
        <v>barefootguru</v>
      </c>
    </row>
    <row r="362">
      <c r="A362" s="47" t="str">
        <f>IFERROR(__xludf.DUMMYFUNCTION("""COMPUTED_VALUE"""),"Virtual Raw Sienna")</f>
        <v>Virtual Raw Sienna</v>
      </c>
      <c r="B362" s="47" t="str">
        <f>IFERROR(__xludf.DUMMYFUNCTION("""COMPUTED_VALUE"""),"all0123")</f>
        <v>all0123</v>
      </c>
      <c r="C362" s="78" t="str">
        <f>IFERROR(__xludf.DUMMYFUNCTION("""COMPUTED_VALUE"""),"https://www.munzee.com/m/all0123/3932/")</f>
        <v>https://www.munzee.com/m/all0123/3932/</v>
      </c>
      <c r="D362" s="47"/>
      <c r="E362" s="47" t="b">
        <f>IFERROR(__xludf.DUMMYFUNCTION("""COMPUTED_VALUE"""),TRUE)</f>
        <v>1</v>
      </c>
      <c r="F362" s="83" t="str">
        <f>IFERROR(__xludf.DUMMYFUNCTION("""COMPUTED_VALUE"""),"")</f>
        <v/>
      </c>
      <c r="G362" s="47" t="str">
        <f>IFERROR(__xludf.DUMMYFUNCTION("""COMPUTED_VALUE"""),"")</f>
        <v/>
      </c>
      <c r="H362" s="47"/>
      <c r="I362" s="47">
        <f>IFERROR(__xludf.DUMMYFUNCTION("""COMPUTED_VALUE"""),2.0)</f>
        <v>2</v>
      </c>
      <c r="J362" s="47" t="str">
        <f>IFERROR(__xludf.DUMMYFUNCTION("""COMPUTED_VALUE"""),"https:")</f>
        <v>https:</v>
      </c>
      <c r="K362" s="78" t="str">
        <f>IFERROR(__xludf.DUMMYFUNCTION("""COMPUTED_VALUE"""),"www.munzee.com")</f>
        <v>www.munzee.com</v>
      </c>
      <c r="L362" s="47" t="str">
        <f>IFERROR(__xludf.DUMMYFUNCTION("""COMPUTED_VALUE"""),"m")</f>
        <v>m</v>
      </c>
      <c r="M362" s="47" t="str">
        <f>IFERROR(__xludf.DUMMYFUNCTION("""COMPUTED_VALUE"""),"all0123")</f>
        <v>all0123</v>
      </c>
    </row>
    <row r="363">
      <c r="A363" s="47" t="str">
        <f>IFERROR(__xludf.DUMMYFUNCTION("""COMPUTED_VALUE"""),"Virtual Raw Sienna")</f>
        <v>Virtual Raw Sienna</v>
      </c>
      <c r="B363" s="47" t="str">
        <f>IFERROR(__xludf.DUMMYFUNCTION("""COMPUTED_VALUE"""),"Belladivadee")</f>
        <v>Belladivadee</v>
      </c>
      <c r="C363" s="78" t="str">
        <f>IFERROR(__xludf.DUMMYFUNCTION("""COMPUTED_VALUE"""),"https://www.munzee.com/m/belladivadee/3081")</f>
        <v>https://www.munzee.com/m/belladivadee/3081</v>
      </c>
      <c r="D363" s="47"/>
      <c r="E363" s="47" t="b">
        <f>IFERROR(__xludf.DUMMYFUNCTION("""COMPUTED_VALUE"""),TRUE)</f>
        <v>1</v>
      </c>
      <c r="F363" s="83" t="str">
        <f>IFERROR(__xludf.DUMMYFUNCTION("""COMPUTED_VALUE"""),"")</f>
        <v/>
      </c>
      <c r="G363" s="47" t="str">
        <f>IFERROR(__xludf.DUMMYFUNCTION("""COMPUTED_VALUE"""),"")</f>
        <v/>
      </c>
      <c r="H363" s="47"/>
      <c r="I363" s="47">
        <f>IFERROR(__xludf.DUMMYFUNCTION("""COMPUTED_VALUE"""),2.0)</f>
        <v>2</v>
      </c>
      <c r="J363" s="47" t="str">
        <f>IFERROR(__xludf.DUMMYFUNCTION("""COMPUTED_VALUE"""),"https:")</f>
        <v>https:</v>
      </c>
      <c r="K363" s="78" t="str">
        <f>IFERROR(__xludf.DUMMYFUNCTION("""COMPUTED_VALUE"""),"www.munzee.com")</f>
        <v>www.munzee.com</v>
      </c>
      <c r="L363" s="47" t="str">
        <f>IFERROR(__xludf.DUMMYFUNCTION("""COMPUTED_VALUE"""),"m")</f>
        <v>m</v>
      </c>
      <c r="M363" s="47" t="str">
        <f>IFERROR(__xludf.DUMMYFUNCTION("""COMPUTED_VALUE"""),"belladivadee")</f>
        <v>belladivadee</v>
      </c>
    </row>
    <row r="364">
      <c r="A364" s="47" t="str">
        <f>IFERROR(__xludf.DUMMYFUNCTION("""COMPUTED_VALUE"""),"Virtual Brown")</f>
        <v>Virtual Brown</v>
      </c>
      <c r="B364" s="47" t="str">
        <f>IFERROR(__xludf.DUMMYFUNCTION("""COMPUTED_VALUE"""),"Lylmik")</f>
        <v>Lylmik</v>
      </c>
      <c r="C364" s="78" t="str">
        <f>IFERROR(__xludf.DUMMYFUNCTION("""COMPUTED_VALUE"""),"https://www.munzee.com/m/Lylmik/1492")</f>
        <v>https://www.munzee.com/m/Lylmik/1492</v>
      </c>
      <c r="D364" s="47"/>
      <c r="E364" s="47" t="b">
        <f>IFERROR(__xludf.DUMMYFUNCTION("""COMPUTED_VALUE"""),TRUE)</f>
        <v>1</v>
      </c>
      <c r="F364" s="83" t="str">
        <f>IFERROR(__xludf.DUMMYFUNCTION("""COMPUTED_VALUE"""),"")</f>
        <v/>
      </c>
      <c r="G364" s="47" t="str">
        <f>IFERROR(__xludf.DUMMYFUNCTION("""COMPUTED_VALUE"""),"")</f>
        <v/>
      </c>
      <c r="H364" s="47"/>
      <c r="I364" s="47">
        <f>IFERROR(__xludf.DUMMYFUNCTION("""COMPUTED_VALUE"""),2.0)</f>
        <v>2</v>
      </c>
      <c r="J364" s="47" t="str">
        <f>IFERROR(__xludf.DUMMYFUNCTION("""COMPUTED_VALUE"""),"https:")</f>
        <v>https:</v>
      </c>
      <c r="K364" s="78" t="str">
        <f>IFERROR(__xludf.DUMMYFUNCTION("""COMPUTED_VALUE"""),"www.munzee.com")</f>
        <v>www.munzee.com</v>
      </c>
      <c r="L364" s="47" t="str">
        <f>IFERROR(__xludf.DUMMYFUNCTION("""COMPUTED_VALUE"""),"m")</f>
        <v>m</v>
      </c>
      <c r="M364" s="47" t="str">
        <f>IFERROR(__xludf.DUMMYFUNCTION("""COMPUTED_VALUE"""),"Lylmik")</f>
        <v>Lylmik</v>
      </c>
    </row>
    <row r="365">
      <c r="A365" s="47" t="str">
        <f>IFERROR(__xludf.DUMMYFUNCTION("""COMPUTED_VALUE"""),"Virtual Brown")</f>
        <v>Virtual Brown</v>
      </c>
      <c r="B365" s="47" t="str">
        <f>IFERROR(__xludf.DUMMYFUNCTION("""COMPUTED_VALUE"""),"Hoekraam")</f>
        <v>Hoekraam</v>
      </c>
      <c r="C365" s="78" t="str">
        <f>IFERROR(__xludf.DUMMYFUNCTION("""COMPUTED_VALUE"""),"https://www.munzee.com/m/hoekraam/9011/")</f>
        <v>https://www.munzee.com/m/hoekraam/9011/</v>
      </c>
      <c r="D365" s="47"/>
      <c r="E365" s="47" t="b">
        <f>IFERROR(__xludf.DUMMYFUNCTION("""COMPUTED_VALUE"""),TRUE)</f>
        <v>1</v>
      </c>
      <c r="F365" s="83" t="str">
        <f>IFERROR(__xludf.DUMMYFUNCTION("""COMPUTED_VALUE"""),"")</f>
        <v/>
      </c>
      <c r="G365" s="47" t="str">
        <f>IFERROR(__xludf.DUMMYFUNCTION("""COMPUTED_VALUE"""),"")</f>
        <v/>
      </c>
      <c r="H365" s="47"/>
      <c r="I365" s="47">
        <f>IFERROR(__xludf.DUMMYFUNCTION("""COMPUTED_VALUE"""),2.0)</f>
        <v>2</v>
      </c>
      <c r="J365" s="47" t="str">
        <f>IFERROR(__xludf.DUMMYFUNCTION("""COMPUTED_VALUE"""),"https:")</f>
        <v>https:</v>
      </c>
      <c r="K365" s="78" t="str">
        <f>IFERROR(__xludf.DUMMYFUNCTION("""COMPUTED_VALUE"""),"www.munzee.com")</f>
        <v>www.munzee.com</v>
      </c>
      <c r="L365" s="47" t="str">
        <f>IFERROR(__xludf.DUMMYFUNCTION("""COMPUTED_VALUE"""),"m")</f>
        <v>m</v>
      </c>
      <c r="M365" s="47" t="str">
        <f>IFERROR(__xludf.DUMMYFUNCTION("""COMPUTED_VALUE"""),"hoekraam")</f>
        <v>hoekraam</v>
      </c>
    </row>
    <row r="366">
      <c r="A366" s="47" t="str">
        <f>IFERROR(__xludf.DUMMYFUNCTION("""COMPUTED_VALUE"""),"Virtual Brown")</f>
        <v>Virtual Brown</v>
      </c>
      <c r="B366" s="47" t="str">
        <f>IFERROR(__xludf.DUMMYFUNCTION("""COMPUTED_VALUE"""),"BambinaCattiva")</f>
        <v>BambinaCattiva</v>
      </c>
      <c r="C366" s="78" t="str">
        <f>IFERROR(__xludf.DUMMYFUNCTION("""COMPUTED_VALUE"""),"https://www.munzee.com/m/Bambinacattiva/663/")</f>
        <v>https://www.munzee.com/m/Bambinacattiva/663/</v>
      </c>
      <c r="D366" s="47"/>
      <c r="E366" s="47" t="b">
        <f>IFERROR(__xludf.DUMMYFUNCTION("""COMPUTED_VALUE"""),TRUE)</f>
        <v>1</v>
      </c>
      <c r="F366" s="83" t="str">
        <f>IFERROR(__xludf.DUMMYFUNCTION("""COMPUTED_VALUE"""),"")</f>
        <v/>
      </c>
      <c r="G366" s="47" t="str">
        <f>IFERROR(__xludf.DUMMYFUNCTION("""COMPUTED_VALUE"""),"")</f>
        <v/>
      </c>
      <c r="H366" s="47"/>
      <c r="I366" s="47">
        <f>IFERROR(__xludf.DUMMYFUNCTION("""COMPUTED_VALUE"""),2.0)</f>
        <v>2</v>
      </c>
      <c r="J366" s="47" t="str">
        <f>IFERROR(__xludf.DUMMYFUNCTION("""COMPUTED_VALUE"""),"https:")</f>
        <v>https:</v>
      </c>
      <c r="K366" s="78" t="str">
        <f>IFERROR(__xludf.DUMMYFUNCTION("""COMPUTED_VALUE"""),"www.munzee.com")</f>
        <v>www.munzee.com</v>
      </c>
      <c r="L366" s="47" t="str">
        <f>IFERROR(__xludf.DUMMYFUNCTION("""COMPUTED_VALUE"""),"m")</f>
        <v>m</v>
      </c>
      <c r="M366" s="47" t="str">
        <f>IFERROR(__xludf.DUMMYFUNCTION("""COMPUTED_VALUE"""),"Bambinacattiva")</f>
        <v>Bambinacattiva</v>
      </c>
    </row>
    <row r="367">
      <c r="A367" s="47" t="str">
        <f>IFERROR(__xludf.DUMMYFUNCTION("""COMPUTED_VALUE"""),"Virtual Raw Sienna")</f>
        <v>Virtual Raw Sienna</v>
      </c>
      <c r="B367" s="47" t="str">
        <f>IFERROR(__xludf.DUMMYFUNCTION("""COMPUTED_VALUE"""),"babyw")</f>
        <v>babyw</v>
      </c>
      <c r="C367" s="78" t="str">
        <f>IFERROR(__xludf.DUMMYFUNCTION("""COMPUTED_VALUE"""),"https://www.munzee.com/m/babyw/3051/")</f>
        <v>https://www.munzee.com/m/babyw/3051/</v>
      </c>
      <c r="D367" s="79"/>
      <c r="E367" s="47" t="b">
        <f>IFERROR(__xludf.DUMMYFUNCTION("""COMPUTED_VALUE"""),TRUE)</f>
        <v>1</v>
      </c>
      <c r="F367" s="47"/>
      <c r="G367" s="47" t="str">
        <f>IFERROR(__xludf.DUMMYFUNCTION("""COMPUTED_VALUE"""),"")</f>
        <v/>
      </c>
      <c r="H367" s="47"/>
      <c r="I367" s="47">
        <f>IFERROR(__xludf.DUMMYFUNCTION("""COMPUTED_VALUE"""),2.0)</f>
        <v>2</v>
      </c>
      <c r="J367" s="47" t="str">
        <f>IFERROR(__xludf.DUMMYFUNCTION("""COMPUTED_VALUE"""),"https:")</f>
        <v>https:</v>
      </c>
      <c r="K367" s="78" t="str">
        <f>IFERROR(__xludf.DUMMYFUNCTION("""COMPUTED_VALUE"""),"www.munzee.com")</f>
        <v>www.munzee.com</v>
      </c>
      <c r="L367" s="47" t="str">
        <f>IFERROR(__xludf.DUMMYFUNCTION("""COMPUTED_VALUE"""),"m")</f>
        <v>m</v>
      </c>
      <c r="M367" s="47" t="str">
        <f>IFERROR(__xludf.DUMMYFUNCTION("""COMPUTED_VALUE"""),"babyw")</f>
        <v>babyw</v>
      </c>
    </row>
    <row r="368">
      <c r="A368" s="47" t="str">
        <f>IFERROR(__xludf.DUMMYFUNCTION("""COMPUTED_VALUE"""),"Virtual Raw Sienna")</f>
        <v>Virtual Raw Sienna</v>
      </c>
      <c r="B368" s="47" t="str">
        <f>IFERROR(__xludf.DUMMYFUNCTION("""COMPUTED_VALUE"""),"lanyasummer")</f>
        <v>lanyasummer</v>
      </c>
      <c r="C368" s="78" t="str">
        <f>IFERROR(__xludf.DUMMYFUNCTION("""COMPUTED_VALUE"""),"https://www.munzee.com/m/Lanyasummer/4367/")</f>
        <v>https://www.munzee.com/m/Lanyasummer/4367/</v>
      </c>
      <c r="D368" s="82">
        <f>IFERROR(__xludf.DUMMYFUNCTION("""COMPUTED_VALUE"""),44046.0)</f>
        <v>44046</v>
      </c>
      <c r="E368" s="47" t="b">
        <f>IFERROR(__xludf.DUMMYFUNCTION("""COMPUTED_VALUE"""),TRUE)</f>
        <v>1</v>
      </c>
      <c r="F368" s="47"/>
      <c r="G368" s="47" t="str">
        <f>IFERROR(__xludf.DUMMYFUNCTION("""COMPUTED_VALUE"""),"")</f>
        <v/>
      </c>
      <c r="H368" s="47"/>
      <c r="I368" s="47">
        <f>IFERROR(__xludf.DUMMYFUNCTION("""COMPUTED_VALUE"""),2.0)</f>
        <v>2</v>
      </c>
      <c r="J368" s="47" t="str">
        <f>IFERROR(__xludf.DUMMYFUNCTION("""COMPUTED_VALUE"""),"https:")</f>
        <v>https:</v>
      </c>
      <c r="K368" s="78" t="str">
        <f>IFERROR(__xludf.DUMMYFUNCTION("""COMPUTED_VALUE"""),"www.munzee.com")</f>
        <v>www.munzee.com</v>
      </c>
      <c r="L368" s="47" t="str">
        <f>IFERROR(__xludf.DUMMYFUNCTION("""COMPUTED_VALUE"""),"m")</f>
        <v>m</v>
      </c>
      <c r="M368" s="47" t="str">
        <f>IFERROR(__xludf.DUMMYFUNCTION("""COMPUTED_VALUE"""),"Lanyasummer")</f>
        <v>Lanyasummer</v>
      </c>
    </row>
    <row r="369">
      <c r="A369" s="47" t="str">
        <f>IFERROR(__xludf.DUMMYFUNCTION("""COMPUTED_VALUE"""),"Virtual Brown")</f>
        <v>Virtual Brown</v>
      </c>
      <c r="B369" s="47" t="str">
        <f>IFERROR(__xludf.DUMMYFUNCTION("""COMPUTED_VALUE"""),"sverlaan")</f>
        <v>sverlaan</v>
      </c>
      <c r="C369" s="78" t="str">
        <f>IFERROR(__xludf.DUMMYFUNCTION("""COMPUTED_VALUE"""),"https://www.munzee.com/m/sverlaan/4185/")</f>
        <v>https://www.munzee.com/m/sverlaan/4185/</v>
      </c>
      <c r="D369" s="47"/>
      <c r="E369" s="47" t="b">
        <f>IFERROR(__xludf.DUMMYFUNCTION("""COMPUTED_VALUE"""),TRUE)</f>
        <v>1</v>
      </c>
      <c r="F369" s="83" t="str">
        <f>IFERROR(__xludf.DUMMYFUNCTION("""COMPUTED_VALUE"""),"")</f>
        <v/>
      </c>
      <c r="G369" s="47" t="str">
        <f>IFERROR(__xludf.DUMMYFUNCTION("""COMPUTED_VALUE"""),"")</f>
        <v/>
      </c>
      <c r="H369" s="47"/>
      <c r="I369" s="47">
        <f>IFERROR(__xludf.DUMMYFUNCTION("""COMPUTED_VALUE"""),2.0)</f>
        <v>2</v>
      </c>
      <c r="J369" s="47" t="str">
        <f>IFERROR(__xludf.DUMMYFUNCTION("""COMPUTED_VALUE"""),"https:")</f>
        <v>https:</v>
      </c>
      <c r="K369" s="78" t="str">
        <f>IFERROR(__xludf.DUMMYFUNCTION("""COMPUTED_VALUE"""),"www.munzee.com")</f>
        <v>www.munzee.com</v>
      </c>
      <c r="L369" s="47" t="str">
        <f>IFERROR(__xludf.DUMMYFUNCTION("""COMPUTED_VALUE"""),"m")</f>
        <v>m</v>
      </c>
      <c r="M369" s="47" t="str">
        <f>IFERROR(__xludf.DUMMYFUNCTION("""COMPUTED_VALUE"""),"sverlaan")</f>
        <v>sverlaan</v>
      </c>
    </row>
    <row r="370">
      <c r="A370" s="47" t="str">
        <f>IFERROR(__xludf.DUMMYFUNCTION("""COMPUTED_VALUE"""),"Virtual Brown")</f>
        <v>Virtual Brown</v>
      </c>
      <c r="B370" s="47" t="str">
        <f>IFERROR(__xludf.DUMMYFUNCTION("""COMPUTED_VALUE"""),"pawpatrolthomas")</f>
        <v>pawpatrolthomas</v>
      </c>
      <c r="C370" s="78" t="str">
        <f>IFERROR(__xludf.DUMMYFUNCTION("""COMPUTED_VALUE"""),"https://www.munzee.com/m/PawPatrolThomas/2271/")</f>
        <v>https://www.munzee.com/m/PawPatrolThomas/2271/</v>
      </c>
      <c r="D370" s="47"/>
      <c r="E370" s="47" t="b">
        <f>IFERROR(__xludf.DUMMYFUNCTION("""COMPUTED_VALUE"""),TRUE)</f>
        <v>1</v>
      </c>
      <c r="F370" s="83" t="str">
        <f>IFERROR(__xludf.DUMMYFUNCTION("""COMPUTED_VALUE"""),"")</f>
        <v/>
      </c>
      <c r="G370" s="47" t="str">
        <f>IFERROR(__xludf.DUMMYFUNCTION("""COMPUTED_VALUE"""),"")</f>
        <v/>
      </c>
      <c r="H370" s="47"/>
      <c r="I370" s="47">
        <f>IFERROR(__xludf.DUMMYFUNCTION("""COMPUTED_VALUE"""),2.0)</f>
        <v>2</v>
      </c>
      <c r="J370" s="47" t="str">
        <f>IFERROR(__xludf.DUMMYFUNCTION("""COMPUTED_VALUE"""),"https:")</f>
        <v>https:</v>
      </c>
      <c r="K370" s="78" t="str">
        <f>IFERROR(__xludf.DUMMYFUNCTION("""COMPUTED_VALUE"""),"www.munzee.com")</f>
        <v>www.munzee.com</v>
      </c>
      <c r="L370" s="47" t="str">
        <f>IFERROR(__xludf.DUMMYFUNCTION("""COMPUTED_VALUE"""),"m")</f>
        <v>m</v>
      </c>
      <c r="M370" s="47" t="str">
        <f>IFERROR(__xludf.DUMMYFUNCTION("""COMPUTED_VALUE"""),"PawPatrolThomas")</f>
        <v>PawPatrolThomas</v>
      </c>
    </row>
    <row r="371">
      <c r="A371" s="47" t="str">
        <f>IFERROR(__xludf.DUMMYFUNCTION("""COMPUTED_VALUE"""),"Virtual Brown")</f>
        <v>Virtual Brown</v>
      </c>
      <c r="B371" s="47" t="str">
        <f>IFERROR(__xludf.DUMMYFUNCTION("""COMPUTED_VALUE"""),"emilep68")</f>
        <v>emilep68</v>
      </c>
      <c r="C371" s="78" t="str">
        <f>IFERROR(__xludf.DUMMYFUNCTION("""COMPUTED_VALUE"""),"https://www.munzee.com/m/EmileP68/2964/")</f>
        <v>https://www.munzee.com/m/EmileP68/2964/</v>
      </c>
      <c r="D371" s="47"/>
      <c r="E371" s="47" t="b">
        <f>IFERROR(__xludf.DUMMYFUNCTION("""COMPUTED_VALUE"""),TRUE)</f>
        <v>1</v>
      </c>
      <c r="F371" s="83" t="str">
        <f>IFERROR(__xludf.DUMMYFUNCTION("""COMPUTED_VALUE"""),"")</f>
        <v/>
      </c>
      <c r="G371" s="47" t="str">
        <f>IFERROR(__xludf.DUMMYFUNCTION("""COMPUTED_VALUE"""),"")</f>
        <v/>
      </c>
      <c r="H371" s="47"/>
      <c r="I371" s="47">
        <f>IFERROR(__xludf.DUMMYFUNCTION("""COMPUTED_VALUE"""),2.0)</f>
        <v>2</v>
      </c>
      <c r="J371" s="47" t="str">
        <f>IFERROR(__xludf.DUMMYFUNCTION("""COMPUTED_VALUE"""),"https:")</f>
        <v>https:</v>
      </c>
      <c r="K371" s="78" t="str">
        <f>IFERROR(__xludf.DUMMYFUNCTION("""COMPUTED_VALUE"""),"www.munzee.com")</f>
        <v>www.munzee.com</v>
      </c>
      <c r="L371" s="47" t="str">
        <f>IFERROR(__xludf.DUMMYFUNCTION("""COMPUTED_VALUE"""),"m")</f>
        <v>m</v>
      </c>
      <c r="M371" s="47" t="str">
        <f>IFERROR(__xludf.DUMMYFUNCTION("""COMPUTED_VALUE"""),"EmileP68")</f>
        <v>EmileP68</v>
      </c>
    </row>
    <row r="372">
      <c r="A372" s="47" t="str">
        <f>IFERROR(__xludf.DUMMYFUNCTION("""COMPUTED_VALUE"""),"Virtual Raw Sienna")</f>
        <v>Virtual Raw Sienna</v>
      </c>
      <c r="B372" s="47" t="str">
        <f>IFERROR(__xludf.DUMMYFUNCTION("""COMPUTED_VALUE"""),"Belladivadee ")</f>
        <v>Belladivadee </v>
      </c>
      <c r="C372" s="78" t="str">
        <f>IFERROR(__xludf.DUMMYFUNCTION("""COMPUTED_VALUE"""),"https://www.munzee.com/m/belladivadee/3025")</f>
        <v>https://www.munzee.com/m/belladivadee/3025</v>
      </c>
      <c r="D372" s="47"/>
      <c r="E372" s="47" t="b">
        <f>IFERROR(__xludf.DUMMYFUNCTION("""COMPUTED_VALUE"""),TRUE)</f>
        <v>1</v>
      </c>
      <c r="F372" s="83" t="str">
        <f>IFERROR(__xludf.DUMMYFUNCTION("""COMPUTED_VALUE"""),"")</f>
        <v/>
      </c>
      <c r="G372" s="47" t="str">
        <f>IFERROR(__xludf.DUMMYFUNCTION("""COMPUTED_VALUE"""),"")</f>
        <v/>
      </c>
      <c r="H372" s="47"/>
      <c r="I372" s="47">
        <f>IFERROR(__xludf.DUMMYFUNCTION("""COMPUTED_VALUE"""),2.0)</f>
        <v>2</v>
      </c>
      <c r="J372" s="47" t="str">
        <f>IFERROR(__xludf.DUMMYFUNCTION("""COMPUTED_VALUE"""),"https:")</f>
        <v>https:</v>
      </c>
      <c r="K372" s="78" t="str">
        <f>IFERROR(__xludf.DUMMYFUNCTION("""COMPUTED_VALUE"""),"www.munzee.com")</f>
        <v>www.munzee.com</v>
      </c>
      <c r="L372" s="47" t="str">
        <f>IFERROR(__xludf.DUMMYFUNCTION("""COMPUTED_VALUE"""),"m")</f>
        <v>m</v>
      </c>
      <c r="M372" s="47" t="str">
        <f>IFERROR(__xludf.DUMMYFUNCTION("""COMPUTED_VALUE"""),"belladivadee")</f>
        <v>belladivadee</v>
      </c>
    </row>
    <row r="373">
      <c r="A373" s="47" t="str">
        <f>IFERROR(__xludf.DUMMYFUNCTION("""COMPUTED_VALUE"""),"Virtual Brown")</f>
        <v>Virtual Brown</v>
      </c>
      <c r="B373" s="47" t="str">
        <f>IFERROR(__xludf.DUMMYFUNCTION("""COMPUTED_VALUE"""),"Hoekraam")</f>
        <v>Hoekraam</v>
      </c>
      <c r="C373" s="78" t="str">
        <f>IFERROR(__xludf.DUMMYFUNCTION("""COMPUTED_VALUE"""),"https://www.munzee.com/m/hoekraam/8962/")</f>
        <v>https://www.munzee.com/m/hoekraam/8962/</v>
      </c>
      <c r="D373" s="47"/>
      <c r="E373" s="47" t="b">
        <f>IFERROR(__xludf.DUMMYFUNCTION("""COMPUTED_VALUE"""),TRUE)</f>
        <v>1</v>
      </c>
      <c r="F373" s="83" t="str">
        <f>IFERROR(__xludf.DUMMYFUNCTION("""COMPUTED_VALUE"""),"")</f>
        <v/>
      </c>
      <c r="G373" s="47" t="str">
        <f>IFERROR(__xludf.DUMMYFUNCTION("""COMPUTED_VALUE"""),"")</f>
        <v/>
      </c>
      <c r="H373" s="47"/>
      <c r="I373" s="47">
        <f>IFERROR(__xludf.DUMMYFUNCTION("""COMPUTED_VALUE"""),2.0)</f>
        <v>2</v>
      </c>
      <c r="J373" s="47" t="str">
        <f>IFERROR(__xludf.DUMMYFUNCTION("""COMPUTED_VALUE"""),"https:")</f>
        <v>https:</v>
      </c>
      <c r="K373" s="78" t="str">
        <f>IFERROR(__xludf.DUMMYFUNCTION("""COMPUTED_VALUE"""),"www.munzee.com")</f>
        <v>www.munzee.com</v>
      </c>
      <c r="L373" s="47" t="str">
        <f>IFERROR(__xludf.DUMMYFUNCTION("""COMPUTED_VALUE"""),"m")</f>
        <v>m</v>
      </c>
      <c r="M373" s="47" t="str">
        <f>IFERROR(__xludf.DUMMYFUNCTION("""COMPUTED_VALUE"""),"hoekraam")</f>
        <v>hoekraam</v>
      </c>
    </row>
    <row r="374">
      <c r="A374" s="47" t="str">
        <f>IFERROR(__xludf.DUMMYFUNCTION("""COMPUTED_VALUE"""),"Virtual Brown")</f>
        <v>Virtual Brown</v>
      </c>
      <c r="B374" s="47" t="str">
        <f>IFERROR(__xludf.DUMMYFUNCTION("""COMPUTED_VALUE"""),"lison55")</f>
        <v>lison55</v>
      </c>
      <c r="C374" s="78" t="str">
        <f>IFERROR(__xludf.DUMMYFUNCTION("""COMPUTED_VALUE"""),"https://www.munzee.com/m/lison55/5298")</f>
        <v>https://www.munzee.com/m/lison55/5298</v>
      </c>
      <c r="D374" s="47"/>
      <c r="E374" s="47" t="b">
        <f>IFERROR(__xludf.DUMMYFUNCTION("""COMPUTED_VALUE"""),TRUE)</f>
        <v>1</v>
      </c>
      <c r="F374" s="83" t="str">
        <f>IFERROR(__xludf.DUMMYFUNCTION("""COMPUTED_VALUE"""),"")</f>
        <v/>
      </c>
      <c r="G374" s="47" t="str">
        <f>IFERROR(__xludf.DUMMYFUNCTION("""COMPUTED_VALUE"""),"")</f>
        <v/>
      </c>
      <c r="H374" s="47"/>
      <c r="I374" s="47">
        <f>IFERROR(__xludf.DUMMYFUNCTION("""COMPUTED_VALUE"""),2.0)</f>
        <v>2</v>
      </c>
      <c r="J374" s="47" t="str">
        <f>IFERROR(__xludf.DUMMYFUNCTION("""COMPUTED_VALUE"""),"https:")</f>
        <v>https:</v>
      </c>
      <c r="K374" s="78" t="str">
        <f>IFERROR(__xludf.DUMMYFUNCTION("""COMPUTED_VALUE"""),"www.munzee.com")</f>
        <v>www.munzee.com</v>
      </c>
      <c r="L374" s="47" t="str">
        <f>IFERROR(__xludf.DUMMYFUNCTION("""COMPUTED_VALUE"""),"m")</f>
        <v>m</v>
      </c>
      <c r="M374" s="47" t="str">
        <f>IFERROR(__xludf.DUMMYFUNCTION("""COMPUTED_VALUE"""),"lison55")</f>
        <v>lison55</v>
      </c>
    </row>
    <row r="375">
      <c r="A375" s="47" t="str">
        <f>IFERROR(__xludf.DUMMYFUNCTION("""COMPUTED_VALUE"""),"Virtual Brown")</f>
        <v>Virtual Brown</v>
      </c>
      <c r="B375" s="47" t="str">
        <f>IFERROR(__xludf.DUMMYFUNCTION("""COMPUTED_VALUE"""),"drazoria")</f>
        <v>drazoria</v>
      </c>
      <c r="C375" s="78" t="str">
        <f>IFERROR(__xludf.DUMMYFUNCTION("""COMPUTED_VALUE"""),"https://www.munzee.com/m/Drazoria/742/")</f>
        <v>https://www.munzee.com/m/Drazoria/742/</v>
      </c>
      <c r="D375" s="47"/>
      <c r="E375" s="47" t="b">
        <f>IFERROR(__xludf.DUMMYFUNCTION("""COMPUTED_VALUE"""),TRUE)</f>
        <v>1</v>
      </c>
      <c r="F375" s="83" t="str">
        <f>IFERROR(__xludf.DUMMYFUNCTION("""COMPUTED_VALUE"""),"")</f>
        <v/>
      </c>
      <c r="G375" s="47" t="str">
        <f>IFERROR(__xludf.DUMMYFUNCTION("""COMPUTED_VALUE"""),"")</f>
        <v/>
      </c>
      <c r="H375" s="47"/>
      <c r="I375" s="47">
        <f>IFERROR(__xludf.DUMMYFUNCTION("""COMPUTED_VALUE"""),2.0)</f>
        <v>2</v>
      </c>
      <c r="J375" s="47" t="str">
        <f>IFERROR(__xludf.DUMMYFUNCTION("""COMPUTED_VALUE"""),"https:")</f>
        <v>https:</v>
      </c>
      <c r="K375" s="78" t="str">
        <f>IFERROR(__xludf.DUMMYFUNCTION("""COMPUTED_VALUE"""),"www.munzee.com")</f>
        <v>www.munzee.com</v>
      </c>
      <c r="L375" s="47" t="str">
        <f>IFERROR(__xludf.DUMMYFUNCTION("""COMPUTED_VALUE"""),"m")</f>
        <v>m</v>
      </c>
      <c r="M375" s="47" t="str">
        <f>IFERROR(__xludf.DUMMYFUNCTION("""COMPUTED_VALUE"""),"Drazoria")</f>
        <v>Drazoria</v>
      </c>
    </row>
    <row r="376">
      <c r="A376" s="47" t="str">
        <f>IFERROR(__xludf.DUMMYFUNCTION("""COMPUTED_VALUE"""),"Virtual Brown")</f>
        <v>Virtual Brown</v>
      </c>
      <c r="B376" s="47" t="str">
        <f>IFERROR(__xludf.DUMMYFUNCTION("""COMPUTED_VALUE"""),"tinake1309")</f>
        <v>tinake1309</v>
      </c>
      <c r="C376" s="78" t="str">
        <f>IFERROR(__xludf.DUMMYFUNCTION("""COMPUTED_VALUE"""),"https://www.munzee.com/m/Tinake1309/729/")</f>
        <v>https://www.munzee.com/m/Tinake1309/729/</v>
      </c>
      <c r="D376" s="47"/>
      <c r="E376" s="47" t="b">
        <f>IFERROR(__xludf.DUMMYFUNCTION("""COMPUTED_VALUE"""),TRUE)</f>
        <v>1</v>
      </c>
      <c r="F376" s="83" t="str">
        <f>IFERROR(__xludf.DUMMYFUNCTION("""COMPUTED_VALUE"""),"")</f>
        <v/>
      </c>
      <c r="G376" s="47" t="str">
        <f>IFERROR(__xludf.DUMMYFUNCTION("""COMPUTED_VALUE"""),"")</f>
        <v/>
      </c>
      <c r="H376" s="47"/>
      <c r="I376" s="47">
        <f>IFERROR(__xludf.DUMMYFUNCTION("""COMPUTED_VALUE"""),2.0)</f>
        <v>2</v>
      </c>
      <c r="J376" s="47" t="str">
        <f>IFERROR(__xludf.DUMMYFUNCTION("""COMPUTED_VALUE"""),"https:")</f>
        <v>https:</v>
      </c>
      <c r="K376" s="78" t="str">
        <f>IFERROR(__xludf.DUMMYFUNCTION("""COMPUTED_VALUE"""),"www.munzee.com")</f>
        <v>www.munzee.com</v>
      </c>
      <c r="L376" s="47" t="str">
        <f>IFERROR(__xludf.DUMMYFUNCTION("""COMPUTED_VALUE"""),"m")</f>
        <v>m</v>
      </c>
      <c r="M376" s="47" t="str">
        <f>IFERROR(__xludf.DUMMYFUNCTION("""COMPUTED_VALUE"""),"Tinake1309")</f>
        <v>Tinake1309</v>
      </c>
    </row>
    <row r="377">
      <c r="A377" s="47" t="str">
        <f>IFERROR(__xludf.DUMMYFUNCTION("""COMPUTED_VALUE"""),"Virtual Brown")</f>
        <v>Virtual Brown</v>
      </c>
      <c r="B377" s="47" t="str">
        <f>IFERROR(__xludf.DUMMYFUNCTION("""COMPUTED_VALUE"""),"berg14")</f>
        <v>berg14</v>
      </c>
      <c r="C377" s="78" t="str">
        <f>IFERROR(__xludf.DUMMYFUNCTION("""COMPUTED_VALUE"""),"https://www.munzee.com/m/Berg14/566")</f>
        <v>https://www.munzee.com/m/Berg14/566</v>
      </c>
      <c r="D377" s="47"/>
      <c r="E377" s="47" t="b">
        <f>IFERROR(__xludf.DUMMYFUNCTION("""COMPUTED_VALUE"""),TRUE)</f>
        <v>1</v>
      </c>
      <c r="F377" s="83" t="str">
        <f>IFERROR(__xludf.DUMMYFUNCTION("""COMPUTED_VALUE"""),"")</f>
        <v/>
      </c>
      <c r="G377" s="47" t="str">
        <f>IFERROR(__xludf.DUMMYFUNCTION("""COMPUTED_VALUE"""),"")</f>
        <v/>
      </c>
      <c r="H377" s="47"/>
      <c r="I377" s="47">
        <f>IFERROR(__xludf.DUMMYFUNCTION("""COMPUTED_VALUE"""),2.0)</f>
        <v>2</v>
      </c>
      <c r="J377" s="47" t="str">
        <f>IFERROR(__xludf.DUMMYFUNCTION("""COMPUTED_VALUE"""),"https:")</f>
        <v>https:</v>
      </c>
      <c r="K377" s="78" t="str">
        <f>IFERROR(__xludf.DUMMYFUNCTION("""COMPUTED_VALUE"""),"www.munzee.com")</f>
        <v>www.munzee.com</v>
      </c>
      <c r="L377" s="47" t="str">
        <f>IFERROR(__xludf.DUMMYFUNCTION("""COMPUTED_VALUE"""),"m")</f>
        <v>m</v>
      </c>
      <c r="M377" s="47" t="str">
        <f>IFERROR(__xludf.DUMMYFUNCTION("""COMPUTED_VALUE"""),"Berg14")</f>
        <v>Berg14</v>
      </c>
    </row>
    <row r="378">
      <c r="A378" s="47" t="str">
        <f>IFERROR(__xludf.DUMMYFUNCTION("""COMPUTED_VALUE"""),"Virtual Brown")</f>
        <v>Virtual Brown</v>
      </c>
      <c r="B378" s="47" t="str">
        <f>IFERROR(__xludf.DUMMYFUNCTION("""COMPUTED_VALUE"""),"niks13")</f>
        <v>niks13</v>
      </c>
      <c r="C378" s="78" t="str">
        <f>IFERROR(__xludf.DUMMYFUNCTION("""COMPUTED_VALUE"""),"https://www.munzee.com/m/Niks13/544/")</f>
        <v>https://www.munzee.com/m/Niks13/544/</v>
      </c>
      <c r="D378" s="47"/>
      <c r="E378" s="47" t="b">
        <f>IFERROR(__xludf.DUMMYFUNCTION("""COMPUTED_VALUE"""),TRUE)</f>
        <v>1</v>
      </c>
      <c r="F378" s="83" t="str">
        <f>IFERROR(__xludf.DUMMYFUNCTION("""COMPUTED_VALUE"""),"")</f>
        <v/>
      </c>
      <c r="G378" s="47" t="str">
        <f>IFERROR(__xludf.DUMMYFUNCTION("""COMPUTED_VALUE"""),"")</f>
        <v/>
      </c>
      <c r="H378" s="47"/>
      <c r="I378" s="47">
        <f>IFERROR(__xludf.DUMMYFUNCTION("""COMPUTED_VALUE"""),2.0)</f>
        <v>2</v>
      </c>
      <c r="J378" s="47" t="str">
        <f>IFERROR(__xludf.DUMMYFUNCTION("""COMPUTED_VALUE"""),"https:")</f>
        <v>https:</v>
      </c>
      <c r="K378" s="78" t="str">
        <f>IFERROR(__xludf.DUMMYFUNCTION("""COMPUTED_VALUE"""),"www.munzee.com")</f>
        <v>www.munzee.com</v>
      </c>
      <c r="L378" s="47" t="str">
        <f>IFERROR(__xludf.DUMMYFUNCTION("""COMPUTED_VALUE"""),"m")</f>
        <v>m</v>
      </c>
      <c r="M378" s="47" t="str">
        <f>IFERROR(__xludf.DUMMYFUNCTION("""COMPUTED_VALUE"""),"Niks13")</f>
        <v>Niks13</v>
      </c>
    </row>
    <row r="379">
      <c r="A379" s="47" t="str">
        <f>IFERROR(__xludf.DUMMYFUNCTION("""COMPUTED_VALUE"""),"Virtual Brown")</f>
        <v>Virtual Brown</v>
      </c>
      <c r="B379" s="47" t="str">
        <f>IFERROR(__xludf.DUMMYFUNCTION("""COMPUTED_VALUE"""),"Derlame ")</f>
        <v>Derlame </v>
      </c>
      <c r="C379" s="78" t="str">
        <f>IFERROR(__xludf.DUMMYFUNCTION("""COMPUTED_VALUE"""),"https://www.munzee.com/m/Derlame/12250/")</f>
        <v>https://www.munzee.com/m/Derlame/12250/</v>
      </c>
      <c r="D379" s="47"/>
      <c r="E379" s="47" t="b">
        <f>IFERROR(__xludf.DUMMYFUNCTION("""COMPUTED_VALUE"""),TRUE)</f>
        <v>1</v>
      </c>
      <c r="F379" s="83" t="str">
        <f>IFERROR(__xludf.DUMMYFUNCTION("""COMPUTED_VALUE"""),"")</f>
        <v/>
      </c>
      <c r="G379" s="47" t="str">
        <f>IFERROR(__xludf.DUMMYFUNCTION("""COMPUTED_VALUE"""),"")</f>
        <v/>
      </c>
      <c r="H379" s="47"/>
      <c r="I379" s="47">
        <f>IFERROR(__xludf.DUMMYFUNCTION("""COMPUTED_VALUE"""),2.0)</f>
        <v>2</v>
      </c>
      <c r="J379" s="47" t="str">
        <f>IFERROR(__xludf.DUMMYFUNCTION("""COMPUTED_VALUE"""),"https:")</f>
        <v>https:</v>
      </c>
      <c r="K379" s="78" t="str">
        <f>IFERROR(__xludf.DUMMYFUNCTION("""COMPUTED_VALUE"""),"www.munzee.com")</f>
        <v>www.munzee.com</v>
      </c>
      <c r="L379" s="47" t="str">
        <f>IFERROR(__xludf.DUMMYFUNCTION("""COMPUTED_VALUE"""),"m")</f>
        <v>m</v>
      </c>
      <c r="M379" s="47" t="str">
        <f>IFERROR(__xludf.DUMMYFUNCTION("""COMPUTED_VALUE"""),"Derlame")</f>
        <v>Derlame</v>
      </c>
    </row>
    <row r="380">
      <c r="A380" s="47" t="str">
        <f>IFERROR(__xludf.DUMMYFUNCTION("""COMPUTED_VALUE"""),"Virtual Brown")</f>
        <v>Virtual Brown</v>
      </c>
      <c r="B380" s="47" t="str">
        <f>IFERROR(__xludf.DUMMYFUNCTION("""COMPUTED_VALUE"""),"barefootguru")</f>
        <v>barefootguru</v>
      </c>
      <c r="C380" s="78" t="str">
        <f>IFERROR(__xludf.DUMMYFUNCTION("""COMPUTED_VALUE"""),"https://www.munzee.com/m/barefootguru/3130/")</f>
        <v>https://www.munzee.com/m/barefootguru/3130/</v>
      </c>
      <c r="D380" s="47"/>
      <c r="E380" s="47" t="b">
        <f>IFERROR(__xludf.DUMMYFUNCTION("""COMPUTED_VALUE"""),TRUE)</f>
        <v>1</v>
      </c>
      <c r="F380" s="83" t="str">
        <f>IFERROR(__xludf.DUMMYFUNCTION("""COMPUTED_VALUE"""),"")</f>
        <v/>
      </c>
      <c r="G380" s="47" t="str">
        <f>IFERROR(__xludf.DUMMYFUNCTION("""COMPUTED_VALUE"""),"")</f>
        <v/>
      </c>
      <c r="H380" s="47"/>
      <c r="I380" s="47">
        <f>IFERROR(__xludf.DUMMYFUNCTION("""COMPUTED_VALUE"""),2.0)</f>
        <v>2</v>
      </c>
      <c r="J380" s="47" t="str">
        <f>IFERROR(__xludf.DUMMYFUNCTION("""COMPUTED_VALUE"""),"https:")</f>
        <v>https:</v>
      </c>
      <c r="K380" s="78" t="str">
        <f>IFERROR(__xludf.DUMMYFUNCTION("""COMPUTED_VALUE"""),"www.munzee.com")</f>
        <v>www.munzee.com</v>
      </c>
      <c r="L380" s="47" t="str">
        <f>IFERROR(__xludf.DUMMYFUNCTION("""COMPUTED_VALUE"""),"m")</f>
        <v>m</v>
      </c>
      <c r="M380" s="47" t="str">
        <f>IFERROR(__xludf.DUMMYFUNCTION("""COMPUTED_VALUE"""),"barefootguru")</f>
        <v>barefootguru</v>
      </c>
    </row>
    <row r="381">
      <c r="A381" s="47" t="str">
        <f>IFERROR(__xludf.DUMMYFUNCTION("""COMPUTED_VALUE"""),"Virtual Brown")</f>
        <v>Virtual Brown</v>
      </c>
      <c r="B381" s="47" t="str">
        <f>IFERROR(__xludf.DUMMYFUNCTION("""COMPUTED_VALUE"""),"jacksparrow")</f>
        <v>jacksparrow</v>
      </c>
      <c r="C381" s="78" t="str">
        <f>IFERROR(__xludf.DUMMYFUNCTION("""COMPUTED_VALUE"""),"https://www.munzee.com/m/JackSparrow/19712")</f>
        <v>https://www.munzee.com/m/JackSparrow/19712</v>
      </c>
      <c r="D381" s="47"/>
      <c r="E381" s="47" t="b">
        <f>IFERROR(__xludf.DUMMYFUNCTION("""COMPUTED_VALUE"""),TRUE)</f>
        <v>1</v>
      </c>
      <c r="F381" s="83" t="str">
        <f>IFERROR(__xludf.DUMMYFUNCTION("""COMPUTED_VALUE"""),"")</f>
        <v/>
      </c>
      <c r="G381" s="47" t="str">
        <f>IFERROR(__xludf.DUMMYFUNCTION("""COMPUTED_VALUE"""),"")</f>
        <v/>
      </c>
      <c r="H381" s="47"/>
      <c r="I381" s="47">
        <f>IFERROR(__xludf.DUMMYFUNCTION("""COMPUTED_VALUE"""),2.0)</f>
        <v>2</v>
      </c>
      <c r="J381" s="47" t="str">
        <f>IFERROR(__xludf.DUMMYFUNCTION("""COMPUTED_VALUE"""),"https:")</f>
        <v>https:</v>
      </c>
      <c r="K381" s="78" t="str">
        <f>IFERROR(__xludf.DUMMYFUNCTION("""COMPUTED_VALUE"""),"www.munzee.com")</f>
        <v>www.munzee.com</v>
      </c>
      <c r="L381" s="47" t="str">
        <f>IFERROR(__xludf.DUMMYFUNCTION("""COMPUTED_VALUE"""),"m")</f>
        <v>m</v>
      </c>
      <c r="M381" s="47" t="str">
        <f>IFERROR(__xludf.DUMMYFUNCTION("""COMPUTED_VALUE"""),"JackSparrow")</f>
        <v>JackSparrow</v>
      </c>
    </row>
    <row r="382">
      <c r="A382" s="47" t="str">
        <f>IFERROR(__xludf.DUMMYFUNCTION("""COMPUTED_VALUE"""),"Virtual Brown")</f>
        <v>Virtual Brown</v>
      </c>
      <c r="B382" s="47" t="str">
        <f>IFERROR(__xludf.DUMMYFUNCTION("""COMPUTED_VALUE"""),"GroteSufferd")</f>
        <v>GroteSufferd</v>
      </c>
      <c r="C382" s="78" t="str">
        <f>IFERROR(__xludf.DUMMYFUNCTION("""COMPUTED_VALUE"""),"https://www.munzee.com/m/GroteSufferd/322/")</f>
        <v>https://www.munzee.com/m/GroteSufferd/322/</v>
      </c>
      <c r="D382" s="47"/>
      <c r="E382" s="47" t="b">
        <f>IFERROR(__xludf.DUMMYFUNCTION("""COMPUTED_VALUE"""),TRUE)</f>
        <v>1</v>
      </c>
      <c r="F382" s="83" t="str">
        <f>IFERROR(__xludf.DUMMYFUNCTION("""COMPUTED_VALUE"""),"")</f>
        <v/>
      </c>
      <c r="G382" s="47" t="str">
        <f>IFERROR(__xludf.DUMMYFUNCTION("""COMPUTED_VALUE"""),"")</f>
        <v/>
      </c>
      <c r="H382" s="47"/>
      <c r="I382" s="47">
        <f>IFERROR(__xludf.DUMMYFUNCTION("""COMPUTED_VALUE"""),2.0)</f>
        <v>2</v>
      </c>
      <c r="J382" s="47" t="str">
        <f>IFERROR(__xludf.DUMMYFUNCTION("""COMPUTED_VALUE"""),"https:")</f>
        <v>https:</v>
      </c>
      <c r="K382" s="78" t="str">
        <f>IFERROR(__xludf.DUMMYFUNCTION("""COMPUTED_VALUE"""),"www.munzee.com")</f>
        <v>www.munzee.com</v>
      </c>
      <c r="L382" s="47" t="str">
        <f>IFERROR(__xludf.DUMMYFUNCTION("""COMPUTED_VALUE"""),"m")</f>
        <v>m</v>
      </c>
      <c r="M382" s="47" t="str">
        <f>IFERROR(__xludf.DUMMYFUNCTION("""COMPUTED_VALUE"""),"GroteSufferd")</f>
        <v>GroteSufferd</v>
      </c>
    </row>
    <row r="383">
      <c r="A383" s="47" t="str">
        <f>IFERROR(__xludf.DUMMYFUNCTION("""COMPUTED_VALUE"""),"Virtual Brown")</f>
        <v>Virtual Brown</v>
      </c>
      <c r="B383" s="47" t="str">
        <f>IFERROR(__xludf.DUMMYFUNCTION("""COMPUTED_VALUE"""),"fsafranek")</f>
        <v>fsafranek</v>
      </c>
      <c r="C383" s="78" t="str">
        <f>IFERROR(__xludf.DUMMYFUNCTION("""COMPUTED_VALUE"""),"https://www.munzee.com/m/fsafranek/4154/")</f>
        <v>https://www.munzee.com/m/fsafranek/4154/</v>
      </c>
      <c r="D383" s="47"/>
      <c r="E383" s="47" t="b">
        <f>IFERROR(__xludf.DUMMYFUNCTION("""COMPUTED_VALUE"""),TRUE)</f>
        <v>1</v>
      </c>
      <c r="F383" s="83" t="str">
        <f>IFERROR(__xludf.DUMMYFUNCTION("""COMPUTED_VALUE"""),"")</f>
        <v/>
      </c>
      <c r="G383" s="47" t="str">
        <f>IFERROR(__xludf.DUMMYFUNCTION("""COMPUTED_VALUE"""),"")</f>
        <v/>
      </c>
      <c r="H383" s="47"/>
      <c r="I383" s="47">
        <f>IFERROR(__xludf.DUMMYFUNCTION("""COMPUTED_VALUE"""),2.0)</f>
        <v>2</v>
      </c>
      <c r="J383" s="47" t="str">
        <f>IFERROR(__xludf.DUMMYFUNCTION("""COMPUTED_VALUE"""),"https:")</f>
        <v>https:</v>
      </c>
      <c r="K383" s="78" t="str">
        <f>IFERROR(__xludf.DUMMYFUNCTION("""COMPUTED_VALUE"""),"www.munzee.com")</f>
        <v>www.munzee.com</v>
      </c>
      <c r="L383" s="47" t="str">
        <f>IFERROR(__xludf.DUMMYFUNCTION("""COMPUTED_VALUE"""),"m")</f>
        <v>m</v>
      </c>
      <c r="M383" s="47" t="str">
        <f>IFERROR(__xludf.DUMMYFUNCTION("""COMPUTED_VALUE"""),"fsafranek")</f>
        <v>fsafranek</v>
      </c>
    </row>
    <row r="384">
      <c r="A384" s="47" t="str">
        <f>IFERROR(__xludf.DUMMYFUNCTION("""COMPUTED_VALUE"""),"Virtual Raw Sienna")</f>
        <v>Virtual Raw Sienna</v>
      </c>
      <c r="B384" s="47" t="str">
        <f>IFERROR(__xludf.DUMMYFUNCTION("""COMPUTED_VALUE"""),"FromTheTardis")</f>
        <v>FromTheTardis</v>
      </c>
      <c r="C384" s="78" t="str">
        <f>IFERROR(__xludf.DUMMYFUNCTION("""COMPUTED_VALUE"""),"https://www.munzee.com/m/FromTheTardis/1375/")</f>
        <v>https://www.munzee.com/m/FromTheTardis/1375/</v>
      </c>
      <c r="D384" s="47"/>
      <c r="E384" s="47" t="b">
        <f>IFERROR(__xludf.DUMMYFUNCTION("""COMPUTED_VALUE"""),TRUE)</f>
        <v>1</v>
      </c>
      <c r="F384" s="83" t="str">
        <f>IFERROR(__xludf.DUMMYFUNCTION("""COMPUTED_VALUE"""),"")</f>
        <v/>
      </c>
      <c r="G384" s="47" t="str">
        <f>IFERROR(__xludf.DUMMYFUNCTION("""COMPUTED_VALUE"""),"")</f>
        <v/>
      </c>
      <c r="H384" s="47"/>
      <c r="I384" s="47">
        <f>IFERROR(__xludf.DUMMYFUNCTION("""COMPUTED_VALUE"""),2.0)</f>
        <v>2</v>
      </c>
      <c r="J384" s="47" t="str">
        <f>IFERROR(__xludf.DUMMYFUNCTION("""COMPUTED_VALUE"""),"https:")</f>
        <v>https:</v>
      </c>
      <c r="K384" s="78" t="str">
        <f>IFERROR(__xludf.DUMMYFUNCTION("""COMPUTED_VALUE"""),"www.munzee.com")</f>
        <v>www.munzee.com</v>
      </c>
      <c r="L384" s="47" t="str">
        <f>IFERROR(__xludf.DUMMYFUNCTION("""COMPUTED_VALUE"""),"m")</f>
        <v>m</v>
      </c>
      <c r="M384" s="47" t="str">
        <f>IFERROR(__xludf.DUMMYFUNCTION("""COMPUTED_VALUE"""),"FromTheTardis")</f>
        <v>FromTheTardis</v>
      </c>
    </row>
    <row r="385">
      <c r="A385" s="47" t="str">
        <f>IFERROR(__xludf.DUMMYFUNCTION("""COMPUTED_VALUE"""),"Virtual Brown")</f>
        <v>Virtual Brown</v>
      </c>
      <c r="B385" s="47" t="str">
        <f>IFERROR(__xludf.DUMMYFUNCTION("""COMPUTED_VALUE"""),"J1Huisman")</f>
        <v>J1Huisman</v>
      </c>
      <c r="C385" s="78" t="str">
        <f>IFERROR(__xludf.DUMMYFUNCTION("""COMPUTED_VALUE"""),"https://www.munzee.com/m/J1Huisman/11303/")</f>
        <v>https://www.munzee.com/m/J1Huisman/11303/</v>
      </c>
      <c r="D385" s="47"/>
      <c r="E385" s="47" t="b">
        <f>IFERROR(__xludf.DUMMYFUNCTION("""COMPUTED_VALUE"""),TRUE)</f>
        <v>1</v>
      </c>
      <c r="F385" s="83" t="str">
        <f>IFERROR(__xludf.DUMMYFUNCTION("""COMPUTED_VALUE"""),"")</f>
        <v/>
      </c>
      <c r="G385" s="47" t="str">
        <f>IFERROR(__xludf.DUMMYFUNCTION("""COMPUTED_VALUE"""),"")</f>
        <v/>
      </c>
      <c r="H385" s="47"/>
      <c r="I385" s="47">
        <f>IFERROR(__xludf.DUMMYFUNCTION("""COMPUTED_VALUE"""),2.0)</f>
        <v>2</v>
      </c>
      <c r="J385" s="47" t="str">
        <f>IFERROR(__xludf.DUMMYFUNCTION("""COMPUTED_VALUE"""),"https:")</f>
        <v>https:</v>
      </c>
      <c r="K385" s="78" t="str">
        <f>IFERROR(__xludf.DUMMYFUNCTION("""COMPUTED_VALUE"""),"www.munzee.com")</f>
        <v>www.munzee.com</v>
      </c>
      <c r="L385" s="47" t="str">
        <f>IFERROR(__xludf.DUMMYFUNCTION("""COMPUTED_VALUE"""),"m")</f>
        <v>m</v>
      </c>
      <c r="M385" s="47" t="str">
        <f>IFERROR(__xludf.DUMMYFUNCTION("""COMPUTED_VALUE"""),"J1Huisman")</f>
        <v>J1Huisman</v>
      </c>
    </row>
    <row r="386">
      <c r="A386" s="47" t="str">
        <f>IFERROR(__xludf.DUMMYFUNCTION("""COMPUTED_VALUE"""),"Virtual Brown")</f>
        <v>Virtual Brown</v>
      </c>
      <c r="B386" s="47" t="str">
        <f>IFERROR(__xludf.DUMMYFUNCTION("""COMPUTED_VALUE"""),"BrotherWilliam")</f>
        <v>BrotherWilliam</v>
      </c>
      <c r="C386" s="78" t="str">
        <f>IFERROR(__xludf.DUMMYFUNCTION("""COMPUTED_VALUE"""),"https://www.munzee.com/m/BrotherWilliam/3921/")</f>
        <v>https://www.munzee.com/m/BrotherWilliam/3921/</v>
      </c>
      <c r="D386" s="47"/>
      <c r="E386" s="47" t="b">
        <f>IFERROR(__xludf.DUMMYFUNCTION("""COMPUTED_VALUE"""),TRUE)</f>
        <v>1</v>
      </c>
      <c r="F386" s="83" t="str">
        <f>IFERROR(__xludf.DUMMYFUNCTION("""COMPUTED_VALUE"""),"")</f>
        <v/>
      </c>
      <c r="G386" s="47" t="str">
        <f>IFERROR(__xludf.DUMMYFUNCTION("""COMPUTED_VALUE"""),"")</f>
        <v/>
      </c>
      <c r="H386" s="47"/>
      <c r="I386" s="47">
        <f>IFERROR(__xludf.DUMMYFUNCTION("""COMPUTED_VALUE"""),2.0)</f>
        <v>2</v>
      </c>
      <c r="J386" s="47" t="str">
        <f>IFERROR(__xludf.DUMMYFUNCTION("""COMPUTED_VALUE"""),"https:")</f>
        <v>https:</v>
      </c>
      <c r="K386" s="78" t="str">
        <f>IFERROR(__xludf.DUMMYFUNCTION("""COMPUTED_VALUE"""),"www.munzee.com")</f>
        <v>www.munzee.com</v>
      </c>
      <c r="L386" s="47" t="str">
        <f>IFERROR(__xludf.DUMMYFUNCTION("""COMPUTED_VALUE"""),"m")</f>
        <v>m</v>
      </c>
      <c r="M386" s="47" t="str">
        <f>IFERROR(__xludf.DUMMYFUNCTION("""COMPUTED_VALUE"""),"BrotherWilliam")</f>
        <v>BrotherWilliam</v>
      </c>
    </row>
    <row r="387">
      <c r="A387" s="47" t="str">
        <f>IFERROR(__xludf.DUMMYFUNCTION("""COMPUTED_VALUE"""),"Virtual Brown")</f>
        <v>Virtual Brown</v>
      </c>
      <c r="B387" s="47" t="str">
        <f>IFERROR(__xludf.DUMMYFUNCTION("""COMPUTED_VALUE"""),"ArtofEco")</f>
        <v>ArtofEco</v>
      </c>
      <c r="C387" s="78" t="str">
        <f>IFERROR(__xludf.DUMMYFUNCTION("""COMPUTED_VALUE"""),"https://www.munzee.com/m/ArtofEco/2958/")</f>
        <v>https://www.munzee.com/m/ArtofEco/2958/</v>
      </c>
      <c r="D387" s="47"/>
      <c r="E387" s="47" t="b">
        <f>IFERROR(__xludf.DUMMYFUNCTION("""COMPUTED_VALUE"""),TRUE)</f>
        <v>1</v>
      </c>
      <c r="F387" s="83" t="str">
        <f>IFERROR(__xludf.DUMMYFUNCTION("""COMPUTED_VALUE"""),"")</f>
        <v/>
      </c>
      <c r="G387" s="47" t="str">
        <f>IFERROR(__xludf.DUMMYFUNCTION("""COMPUTED_VALUE"""),"")</f>
        <v/>
      </c>
      <c r="H387" s="47"/>
      <c r="I387" s="47">
        <f>IFERROR(__xludf.DUMMYFUNCTION("""COMPUTED_VALUE"""),2.0)</f>
        <v>2</v>
      </c>
      <c r="J387" s="47" t="str">
        <f>IFERROR(__xludf.DUMMYFUNCTION("""COMPUTED_VALUE"""),"https:")</f>
        <v>https:</v>
      </c>
      <c r="K387" s="78" t="str">
        <f>IFERROR(__xludf.DUMMYFUNCTION("""COMPUTED_VALUE"""),"www.munzee.com")</f>
        <v>www.munzee.com</v>
      </c>
      <c r="L387" s="47" t="str">
        <f>IFERROR(__xludf.DUMMYFUNCTION("""COMPUTED_VALUE"""),"m")</f>
        <v>m</v>
      </c>
      <c r="M387" s="47" t="str">
        <f>IFERROR(__xludf.DUMMYFUNCTION("""COMPUTED_VALUE"""),"ArtofEco")</f>
        <v>ArtofEco</v>
      </c>
    </row>
    <row r="388">
      <c r="A388" s="47" t="str">
        <f>IFERROR(__xludf.DUMMYFUNCTION("""COMPUTED_VALUE"""),"Virtual Raw Sienna")</f>
        <v>Virtual Raw Sienna</v>
      </c>
      <c r="B388" s="47" t="str">
        <f>IFERROR(__xludf.DUMMYFUNCTION("""COMPUTED_VALUE"""),"5star")</f>
        <v>5star</v>
      </c>
      <c r="C388" s="78" t="str">
        <f>IFERROR(__xludf.DUMMYFUNCTION("""COMPUTED_VALUE"""),"https://www.munzee.com/m/5Star/5741/")</f>
        <v>https://www.munzee.com/m/5Star/5741/</v>
      </c>
      <c r="D388" s="47"/>
      <c r="E388" s="47" t="b">
        <f>IFERROR(__xludf.DUMMYFUNCTION("""COMPUTED_VALUE"""),TRUE)</f>
        <v>1</v>
      </c>
      <c r="F388" s="83" t="str">
        <f>IFERROR(__xludf.DUMMYFUNCTION("""COMPUTED_VALUE"""),"")</f>
        <v/>
      </c>
      <c r="G388" s="47" t="str">
        <f>IFERROR(__xludf.DUMMYFUNCTION("""COMPUTED_VALUE"""),"")</f>
        <v/>
      </c>
      <c r="H388" s="47"/>
      <c r="I388" s="47">
        <f>IFERROR(__xludf.DUMMYFUNCTION("""COMPUTED_VALUE"""),2.0)</f>
        <v>2</v>
      </c>
      <c r="J388" s="47" t="str">
        <f>IFERROR(__xludf.DUMMYFUNCTION("""COMPUTED_VALUE"""),"https:")</f>
        <v>https:</v>
      </c>
      <c r="K388" s="78" t="str">
        <f>IFERROR(__xludf.DUMMYFUNCTION("""COMPUTED_VALUE"""),"www.munzee.com")</f>
        <v>www.munzee.com</v>
      </c>
      <c r="L388" s="47" t="str">
        <f>IFERROR(__xludf.DUMMYFUNCTION("""COMPUTED_VALUE"""),"m")</f>
        <v>m</v>
      </c>
      <c r="M388" s="47" t="str">
        <f>IFERROR(__xludf.DUMMYFUNCTION("""COMPUTED_VALUE"""),"5Star")</f>
        <v>5Star</v>
      </c>
    </row>
    <row r="389">
      <c r="A389" s="47" t="str">
        <f>IFERROR(__xludf.DUMMYFUNCTION("""COMPUTED_VALUE"""),"Virtual Brown")</f>
        <v>Virtual Brown</v>
      </c>
      <c r="B389" s="47" t="str">
        <f>IFERROR(__xludf.DUMMYFUNCTION("""COMPUTED_VALUE"""),"Pinkeltje")</f>
        <v>Pinkeltje</v>
      </c>
      <c r="C389" s="78" t="str">
        <f>IFERROR(__xludf.DUMMYFUNCTION("""COMPUTED_VALUE"""),"https://www.munzee.com/m/Pinkeltje/1215/ ")</f>
        <v>https://www.munzee.com/m/Pinkeltje/1215/ </v>
      </c>
      <c r="D389" s="47"/>
      <c r="E389" s="47" t="b">
        <f>IFERROR(__xludf.DUMMYFUNCTION("""COMPUTED_VALUE"""),TRUE)</f>
        <v>1</v>
      </c>
      <c r="F389" s="83" t="str">
        <f>IFERROR(__xludf.DUMMYFUNCTION("""COMPUTED_VALUE"""),"")</f>
        <v/>
      </c>
      <c r="G389" s="47" t="str">
        <f>IFERROR(__xludf.DUMMYFUNCTION("""COMPUTED_VALUE"""),"")</f>
        <v/>
      </c>
      <c r="H389" s="47"/>
      <c r="I389" s="47">
        <f>IFERROR(__xludf.DUMMYFUNCTION("""COMPUTED_VALUE"""),2.0)</f>
        <v>2</v>
      </c>
      <c r="J389" s="47" t="str">
        <f>IFERROR(__xludf.DUMMYFUNCTION("""COMPUTED_VALUE"""),"https:")</f>
        <v>https:</v>
      </c>
      <c r="K389" s="78" t="str">
        <f>IFERROR(__xludf.DUMMYFUNCTION("""COMPUTED_VALUE"""),"www.munzee.com")</f>
        <v>www.munzee.com</v>
      </c>
      <c r="L389" s="47" t="str">
        <f>IFERROR(__xludf.DUMMYFUNCTION("""COMPUTED_VALUE"""),"m")</f>
        <v>m</v>
      </c>
      <c r="M389" s="47" t="str">
        <f>IFERROR(__xludf.DUMMYFUNCTION("""COMPUTED_VALUE"""),"Pinkeltje")</f>
        <v>Pinkeltje</v>
      </c>
    </row>
    <row r="390">
      <c r="A390" s="47" t="str">
        <f>IFERROR(__xludf.DUMMYFUNCTION("""COMPUTED_VALUE"""),"Virtual Brown")</f>
        <v>Virtual Brown</v>
      </c>
      <c r="B390" s="47" t="str">
        <f>IFERROR(__xludf.DUMMYFUNCTION("""COMPUTED_VALUE"""),"xrayneex")</f>
        <v>xrayneex</v>
      </c>
      <c r="C390" s="78" t="str">
        <f>IFERROR(__xludf.DUMMYFUNCTION("""COMPUTED_VALUE"""),"https://www.munzee.com/m/xrayneex/1415/")</f>
        <v>https://www.munzee.com/m/xrayneex/1415/</v>
      </c>
      <c r="D390" s="47"/>
      <c r="E390" s="47" t="b">
        <f>IFERROR(__xludf.DUMMYFUNCTION("""COMPUTED_VALUE"""),TRUE)</f>
        <v>1</v>
      </c>
      <c r="F390" s="83" t="str">
        <f>IFERROR(__xludf.DUMMYFUNCTION("""COMPUTED_VALUE"""),"")</f>
        <v/>
      </c>
      <c r="G390" s="47" t="str">
        <f>IFERROR(__xludf.DUMMYFUNCTION("""COMPUTED_VALUE"""),"")</f>
        <v/>
      </c>
      <c r="H390" s="47"/>
      <c r="I390" s="47">
        <f>IFERROR(__xludf.DUMMYFUNCTION("""COMPUTED_VALUE"""),2.0)</f>
        <v>2</v>
      </c>
      <c r="J390" s="47" t="str">
        <f>IFERROR(__xludf.DUMMYFUNCTION("""COMPUTED_VALUE"""),"https:")</f>
        <v>https:</v>
      </c>
      <c r="K390" s="78" t="str">
        <f>IFERROR(__xludf.DUMMYFUNCTION("""COMPUTED_VALUE"""),"www.munzee.com")</f>
        <v>www.munzee.com</v>
      </c>
      <c r="L390" s="47" t="str">
        <f>IFERROR(__xludf.DUMMYFUNCTION("""COMPUTED_VALUE"""),"m")</f>
        <v>m</v>
      </c>
      <c r="M390" s="47" t="str">
        <f>IFERROR(__xludf.DUMMYFUNCTION("""COMPUTED_VALUE"""),"xrayneex")</f>
        <v>xrayneex</v>
      </c>
    </row>
    <row r="391">
      <c r="A391" s="47" t="str">
        <f>IFERROR(__xludf.DUMMYFUNCTION("""COMPUTED_VALUE"""),"Virtual Raw Sienna")</f>
        <v>Virtual Raw Sienna</v>
      </c>
      <c r="B391" s="47" t="str">
        <f>IFERROR(__xludf.DUMMYFUNCTION("""COMPUTED_VALUE"""),"ruud-1987")</f>
        <v>ruud-1987</v>
      </c>
      <c r="C391" s="78" t="str">
        <f>IFERROR(__xludf.DUMMYFUNCTION("""COMPUTED_VALUE"""),"https://www.munzee.com/m/ruud-1987/1472")</f>
        <v>https://www.munzee.com/m/ruud-1987/1472</v>
      </c>
      <c r="D391" s="47"/>
      <c r="E391" s="47" t="b">
        <f>IFERROR(__xludf.DUMMYFUNCTION("""COMPUTED_VALUE"""),TRUE)</f>
        <v>1</v>
      </c>
      <c r="F391" s="83" t="str">
        <f>IFERROR(__xludf.DUMMYFUNCTION("""COMPUTED_VALUE"""),"")</f>
        <v/>
      </c>
      <c r="G391" s="47" t="str">
        <f>IFERROR(__xludf.DUMMYFUNCTION("""COMPUTED_VALUE"""),"")</f>
        <v/>
      </c>
      <c r="H391" s="47"/>
      <c r="I391" s="47">
        <f>IFERROR(__xludf.DUMMYFUNCTION("""COMPUTED_VALUE"""),2.0)</f>
        <v>2</v>
      </c>
      <c r="J391" s="47" t="str">
        <f>IFERROR(__xludf.DUMMYFUNCTION("""COMPUTED_VALUE"""),"https:")</f>
        <v>https:</v>
      </c>
      <c r="K391" s="78" t="str">
        <f>IFERROR(__xludf.DUMMYFUNCTION("""COMPUTED_VALUE"""),"www.munzee.com")</f>
        <v>www.munzee.com</v>
      </c>
      <c r="L391" s="47" t="str">
        <f>IFERROR(__xludf.DUMMYFUNCTION("""COMPUTED_VALUE"""),"m")</f>
        <v>m</v>
      </c>
      <c r="M391" s="47" t="str">
        <f>IFERROR(__xludf.DUMMYFUNCTION("""COMPUTED_VALUE"""),"ruud-1987")</f>
        <v>ruud-1987</v>
      </c>
    </row>
    <row r="392">
      <c r="A392" s="47" t="str">
        <f>IFERROR(__xludf.DUMMYFUNCTION("""COMPUTED_VALUE"""),"Virtual Brown")</f>
        <v>Virtual Brown</v>
      </c>
      <c r="B392" s="47" t="str">
        <f>IFERROR(__xludf.DUMMYFUNCTION("""COMPUTED_VALUE"""),"cbf600")</f>
        <v>cbf600</v>
      </c>
      <c r="C392" s="78" t="str">
        <f>IFERROR(__xludf.DUMMYFUNCTION("""COMPUTED_VALUE"""),"https://www.munzee.com/m/cbf600/2387/")</f>
        <v>https://www.munzee.com/m/cbf600/2387/</v>
      </c>
      <c r="D392" s="47"/>
      <c r="E392" s="47" t="b">
        <f>IFERROR(__xludf.DUMMYFUNCTION("""COMPUTED_VALUE"""),TRUE)</f>
        <v>1</v>
      </c>
      <c r="F392" s="83" t="str">
        <f>IFERROR(__xludf.DUMMYFUNCTION("""COMPUTED_VALUE"""),"")</f>
        <v/>
      </c>
      <c r="G392" s="47" t="str">
        <f>IFERROR(__xludf.DUMMYFUNCTION("""COMPUTED_VALUE"""),"")</f>
        <v/>
      </c>
      <c r="H392" s="47"/>
      <c r="I392" s="47">
        <f>IFERROR(__xludf.DUMMYFUNCTION("""COMPUTED_VALUE"""),2.0)</f>
        <v>2</v>
      </c>
      <c r="J392" s="47" t="str">
        <f>IFERROR(__xludf.DUMMYFUNCTION("""COMPUTED_VALUE"""),"https:")</f>
        <v>https:</v>
      </c>
      <c r="K392" s="78" t="str">
        <f>IFERROR(__xludf.DUMMYFUNCTION("""COMPUTED_VALUE"""),"www.munzee.com")</f>
        <v>www.munzee.com</v>
      </c>
      <c r="L392" s="47" t="str">
        <f>IFERROR(__xludf.DUMMYFUNCTION("""COMPUTED_VALUE"""),"m")</f>
        <v>m</v>
      </c>
      <c r="M392" s="47" t="str">
        <f>IFERROR(__xludf.DUMMYFUNCTION("""COMPUTED_VALUE"""),"cbf600")</f>
        <v>cbf600</v>
      </c>
    </row>
    <row r="393">
      <c r="A393" s="47" t="str">
        <f>IFERROR(__xludf.DUMMYFUNCTION("""COMPUTED_VALUE"""),"Virtual Raw Sienna")</f>
        <v>Virtual Raw Sienna</v>
      </c>
      <c r="B393" s="47" t="str">
        <f>IFERROR(__xludf.DUMMYFUNCTION("""COMPUTED_VALUE"""),"Franca ")</f>
        <v>Franca </v>
      </c>
      <c r="C393" s="78" t="str">
        <f>IFERROR(__xludf.DUMMYFUNCTION("""COMPUTED_VALUE"""),"https://www.munzee.com/m/Franca/708/")</f>
        <v>https://www.munzee.com/m/Franca/708/</v>
      </c>
      <c r="D393" s="47"/>
      <c r="E393" s="47" t="b">
        <f>IFERROR(__xludf.DUMMYFUNCTION("""COMPUTED_VALUE"""),TRUE)</f>
        <v>1</v>
      </c>
      <c r="F393" s="83" t="str">
        <f>IFERROR(__xludf.DUMMYFUNCTION("""COMPUTED_VALUE"""),"")</f>
        <v/>
      </c>
      <c r="G393" s="47" t="str">
        <f>IFERROR(__xludf.DUMMYFUNCTION("""COMPUTED_VALUE"""),"")</f>
        <v/>
      </c>
      <c r="H393" s="47"/>
      <c r="I393" s="47">
        <f>IFERROR(__xludf.DUMMYFUNCTION("""COMPUTED_VALUE"""),2.0)</f>
        <v>2</v>
      </c>
      <c r="J393" s="47" t="str">
        <f>IFERROR(__xludf.DUMMYFUNCTION("""COMPUTED_VALUE"""),"https:")</f>
        <v>https:</v>
      </c>
      <c r="K393" s="78" t="str">
        <f>IFERROR(__xludf.DUMMYFUNCTION("""COMPUTED_VALUE"""),"www.munzee.com")</f>
        <v>www.munzee.com</v>
      </c>
      <c r="L393" s="47" t="str">
        <f>IFERROR(__xludf.DUMMYFUNCTION("""COMPUTED_VALUE"""),"m")</f>
        <v>m</v>
      </c>
      <c r="M393" s="47" t="str">
        <f>IFERROR(__xludf.DUMMYFUNCTION("""COMPUTED_VALUE"""),"Franca")</f>
        <v>Franca</v>
      </c>
    </row>
    <row r="394">
      <c r="A394" s="47" t="str">
        <f>IFERROR(__xludf.DUMMYFUNCTION("""COMPUTED_VALUE"""),"Virtual Brown")</f>
        <v>Virtual Brown</v>
      </c>
      <c r="B394" s="47" t="str">
        <f>IFERROR(__xludf.DUMMYFUNCTION("""COMPUTED_VALUE"""),"upapou")</f>
        <v>upapou</v>
      </c>
      <c r="C394" s="78" t="str">
        <f>IFERROR(__xludf.DUMMYFUNCTION("""COMPUTED_VALUE"""),"https://www.munzee.com/m/upapou/1009/")</f>
        <v>https://www.munzee.com/m/upapou/1009/</v>
      </c>
      <c r="D394" s="47"/>
      <c r="E394" s="47" t="b">
        <f>IFERROR(__xludf.DUMMYFUNCTION("""COMPUTED_VALUE"""),TRUE)</f>
        <v>1</v>
      </c>
      <c r="F394" s="83" t="str">
        <f>IFERROR(__xludf.DUMMYFUNCTION("""COMPUTED_VALUE"""),"")</f>
        <v/>
      </c>
      <c r="G394" s="47" t="str">
        <f>IFERROR(__xludf.DUMMYFUNCTION("""COMPUTED_VALUE"""),"")</f>
        <v/>
      </c>
      <c r="H394" s="47"/>
      <c r="I394" s="47">
        <f>IFERROR(__xludf.DUMMYFUNCTION("""COMPUTED_VALUE"""),2.0)</f>
        <v>2</v>
      </c>
      <c r="J394" s="47" t="str">
        <f>IFERROR(__xludf.DUMMYFUNCTION("""COMPUTED_VALUE"""),"https:")</f>
        <v>https:</v>
      </c>
      <c r="K394" s="78" t="str">
        <f>IFERROR(__xludf.DUMMYFUNCTION("""COMPUTED_VALUE"""),"www.munzee.com")</f>
        <v>www.munzee.com</v>
      </c>
      <c r="L394" s="47" t="str">
        <f>IFERROR(__xludf.DUMMYFUNCTION("""COMPUTED_VALUE"""),"m")</f>
        <v>m</v>
      </c>
      <c r="M394" s="47" t="str">
        <f>IFERROR(__xludf.DUMMYFUNCTION("""COMPUTED_VALUE"""),"upapou")</f>
        <v>upapou</v>
      </c>
    </row>
    <row r="395">
      <c r="A395" s="47" t="str">
        <f>IFERROR(__xludf.DUMMYFUNCTION("""COMPUTED_VALUE"""),"Virtual Brown")</f>
        <v>Virtual Brown</v>
      </c>
      <c r="B395" s="47" t="str">
        <f>IFERROR(__xludf.DUMMYFUNCTION("""COMPUTED_VALUE"""),"MunziMeg")</f>
        <v>MunziMeg</v>
      </c>
      <c r="C395" s="78" t="str">
        <f>IFERROR(__xludf.DUMMYFUNCTION("""COMPUTED_VALUE"""),"https://www.munzee.com/m/MunziMeg/4472/")</f>
        <v>https://www.munzee.com/m/MunziMeg/4472/</v>
      </c>
      <c r="D395" s="47"/>
      <c r="E395" s="47" t="b">
        <f>IFERROR(__xludf.DUMMYFUNCTION("""COMPUTED_VALUE"""),TRUE)</f>
        <v>1</v>
      </c>
      <c r="F395" s="83" t="str">
        <f>IFERROR(__xludf.DUMMYFUNCTION("""COMPUTED_VALUE"""),"")</f>
        <v/>
      </c>
      <c r="G395" s="47" t="str">
        <f>IFERROR(__xludf.DUMMYFUNCTION("""COMPUTED_VALUE"""),"")</f>
        <v/>
      </c>
      <c r="H395" s="47"/>
      <c r="I395" s="47">
        <f>IFERROR(__xludf.DUMMYFUNCTION("""COMPUTED_VALUE"""),2.0)</f>
        <v>2</v>
      </c>
      <c r="J395" s="47" t="str">
        <f>IFERROR(__xludf.DUMMYFUNCTION("""COMPUTED_VALUE"""),"https:")</f>
        <v>https:</v>
      </c>
      <c r="K395" s="78" t="str">
        <f>IFERROR(__xludf.DUMMYFUNCTION("""COMPUTED_VALUE"""),"www.munzee.com")</f>
        <v>www.munzee.com</v>
      </c>
      <c r="L395" s="47" t="str">
        <f>IFERROR(__xludf.DUMMYFUNCTION("""COMPUTED_VALUE"""),"m")</f>
        <v>m</v>
      </c>
      <c r="M395" s="47" t="str">
        <f>IFERROR(__xludf.DUMMYFUNCTION("""COMPUTED_VALUE"""),"MunziMeg")</f>
        <v>MunziMeg</v>
      </c>
    </row>
    <row r="396">
      <c r="A396" s="47" t="str">
        <f>IFERROR(__xludf.DUMMYFUNCTION("""COMPUTED_VALUE"""),"Virtual Brown")</f>
        <v>Virtual Brown</v>
      </c>
      <c r="B396" s="47" t="str">
        <f>IFERROR(__xludf.DUMMYFUNCTION("""COMPUTED_VALUE"""),"all0123")</f>
        <v>all0123</v>
      </c>
      <c r="C396" s="78" t="str">
        <f>IFERROR(__xludf.DUMMYFUNCTION("""COMPUTED_VALUE"""),"https://www.munzee.com/m/all0123/3940/")</f>
        <v>https://www.munzee.com/m/all0123/3940/</v>
      </c>
      <c r="D396" s="47"/>
      <c r="E396" s="47" t="b">
        <f>IFERROR(__xludf.DUMMYFUNCTION("""COMPUTED_VALUE"""),TRUE)</f>
        <v>1</v>
      </c>
      <c r="F396" s="83" t="str">
        <f>IFERROR(__xludf.DUMMYFUNCTION("""COMPUTED_VALUE"""),"")</f>
        <v/>
      </c>
      <c r="G396" s="47" t="str">
        <f>IFERROR(__xludf.DUMMYFUNCTION("""COMPUTED_VALUE"""),"")</f>
        <v/>
      </c>
      <c r="H396" s="47"/>
      <c r="I396" s="47">
        <f>IFERROR(__xludf.DUMMYFUNCTION("""COMPUTED_VALUE"""),2.0)</f>
        <v>2</v>
      </c>
      <c r="J396" s="47" t="str">
        <f>IFERROR(__xludf.DUMMYFUNCTION("""COMPUTED_VALUE"""),"https:")</f>
        <v>https:</v>
      </c>
      <c r="K396" s="78" t="str">
        <f>IFERROR(__xludf.DUMMYFUNCTION("""COMPUTED_VALUE"""),"www.munzee.com")</f>
        <v>www.munzee.com</v>
      </c>
      <c r="L396" s="47" t="str">
        <f>IFERROR(__xludf.DUMMYFUNCTION("""COMPUTED_VALUE"""),"m")</f>
        <v>m</v>
      </c>
      <c r="M396" s="47" t="str">
        <f>IFERROR(__xludf.DUMMYFUNCTION("""COMPUTED_VALUE"""),"all0123")</f>
        <v>all0123</v>
      </c>
    </row>
    <row r="397">
      <c r="A397" s="47" t="str">
        <f>IFERROR(__xludf.DUMMYFUNCTION("""COMPUTED_VALUE"""),"Virtual Brown")</f>
        <v>Virtual Brown</v>
      </c>
      <c r="B397" s="47" t="str">
        <f>IFERROR(__xludf.DUMMYFUNCTION("""COMPUTED_VALUE"""),"WiseOldWizard")</f>
        <v>WiseOldWizard</v>
      </c>
      <c r="C397" s="78" t="str">
        <f>IFERROR(__xludf.DUMMYFUNCTION("""COMPUTED_VALUE"""),"https://www.munzee.com/m/WiseOldWizard/3979/")</f>
        <v>https://www.munzee.com/m/WiseOldWizard/3979/</v>
      </c>
      <c r="D397" s="47"/>
      <c r="E397" s="47" t="b">
        <f>IFERROR(__xludf.DUMMYFUNCTION("""COMPUTED_VALUE"""),TRUE)</f>
        <v>1</v>
      </c>
      <c r="F397" s="83" t="str">
        <f>IFERROR(__xludf.DUMMYFUNCTION("""COMPUTED_VALUE"""),"")</f>
        <v/>
      </c>
      <c r="G397" s="47" t="str">
        <f>IFERROR(__xludf.DUMMYFUNCTION("""COMPUTED_VALUE"""),"")</f>
        <v/>
      </c>
      <c r="H397" s="47"/>
      <c r="I397" s="47">
        <f>IFERROR(__xludf.DUMMYFUNCTION("""COMPUTED_VALUE"""),2.0)</f>
        <v>2</v>
      </c>
      <c r="J397" s="47" t="str">
        <f>IFERROR(__xludf.DUMMYFUNCTION("""COMPUTED_VALUE"""),"https:")</f>
        <v>https:</v>
      </c>
      <c r="K397" s="78" t="str">
        <f>IFERROR(__xludf.DUMMYFUNCTION("""COMPUTED_VALUE"""),"www.munzee.com")</f>
        <v>www.munzee.com</v>
      </c>
      <c r="L397" s="47" t="str">
        <f>IFERROR(__xludf.DUMMYFUNCTION("""COMPUTED_VALUE"""),"m")</f>
        <v>m</v>
      </c>
      <c r="M397" s="47" t="str">
        <f>IFERROR(__xludf.DUMMYFUNCTION("""COMPUTED_VALUE"""),"WiseOldWizard")</f>
        <v>WiseOldWizard</v>
      </c>
    </row>
    <row r="398">
      <c r="A398" s="47" t="str">
        <f>IFERROR(__xludf.DUMMYFUNCTION("""COMPUTED_VALUE"""),"Virtual Brown")</f>
        <v>Virtual Brown</v>
      </c>
      <c r="B398" s="47" t="str">
        <f>IFERROR(__xludf.DUMMYFUNCTION("""COMPUTED_VALUE"""),"Anetzet")</f>
        <v>Anetzet</v>
      </c>
      <c r="C398" s="78" t="str">
        <f>IFERROR(__xludf.DUMMYFUNCTION("""COMPUTED_VALUE"""),"https://www.munzee.com/m/Anetzet/2771/")</f>
        <v>https://www.munzee.com/m/Anetzet/2771/</v>
      </c>
      <c r="D398" s="47"/>
      <c r="E398" s="47" t="b">
        <f>IFERROR(__xludf.DUMMYFUNCTION("""COMPUTED_VALUE"""),TRUE)</f>
        <v>1</v>
      </c>
      <c r="F398" s="83" t="str">
        <f>IFERROR(__xludf.DUMMYFUNCTION("""COMPUTED_VALUE"""),"")</f>
        <v/>
      </c>
      <c r="G398" s="47" t="str">
        <f>IFERROR(__xludf.DUMMYFUNCTION("""COMPUTED_VALUE"""),"")</f>
        <v/>
      </c>
      <c r="H398" s="47"/>
      <c r="I398" s="47">
        <f>IFERROR(__xludf.DUMMYFUNCTION("""COMPUTED_VALUE"""),2.0)</f>
        <v>2</v>
      </c>
      <c r="J398" s="47" t="str">
        <f>IFERROR(__xludf.DUMMYFUNCTION("""COMPUTED_VALUE"""),"https:")</f>
        <v>https:</v>
      </c>
      <c r="K398" s="78" t="str">
        <f>IFERROR(__xludf.DUMMYFUNCTION("""COMPUTED_VALUE"""),"www.munzee.com")</f>
        <v>www.munzee.com</v>
      </c>
      <c r="L398" s="47" t="str">
        <f>IFERROR(__xludf.DUMMYFUNCTION("""COMPUTED_VALUE"""),"m")</f>
        <v>m</v>
      </c>
      <c r="M398" s="47" t="str">
        <f>IFERROR(__xludf.DUMMYFUNCTION("""COMPUTED_VALUE"""),"Anetzet")</f>
        <v>Anetzet</v>
      </c>
    </row>
    <row r="399">
      <c r="A399" s="47" t="str">
        <f>IFERROR(__xludf.DUMMYFUNCTION("""COMPUTED_VALUE"""),"Virtual Brown")</f>
        <v>Virtual Brown</v>
      </c>
      <c r="B399" s="47" t="str">
        <f>IFERROR(__xludf.DUMMYFUNCTION("""COMPUTED_VALUE"""),"Rholierhoek")</f>
        <v>Rholierhoek</v>
      </c>
      <c r="C399" s="78" t="str">
        <f>IFERROR(__xludf.DUMMYFUNCTION("""COMPUTED_VALUE"""),"https://www.munzee.com/m/rholierhoek/973")</f>
        <v>https://www.munzee.com/m/rholierhoek/973</v>
      </c>
      <c r="D399" s="47"/>
      <c r="E399" s="47" t="b">
        <f>IFERROR(__xludf.DUMMYFUNCTION("""COMPUTED_VALUE"""),TRUE)</f>
        <v>1</v>
      </c>
      <c r="F399" s="83" t="str">
        <f>IFERROR(__xludf.DUMMYFUNCTION("""COMPUTED_VALUE"""),"")</f>
        <v/>
      </c>
      <c r="G399" s="47" t="str">
        <f>IFERROR(__xludf.DUMMYFUNCTION("""COMPUTED_VALUE"""),"")</f>
        <v/>
      </c>
      <c r="H399" s="47"/>
      <c r="I399" s="47">
        <f>IFERROR(__xludf.DUMMYFUNCTION("""COMPUTED_VALUE"""),2.0)</f>
        <v>2</v>
      </c>
      <c r="J399" s="47" t="str">
        <f>IFERROR(__xludf.DUMMYFUNCTION("""COMPUTED_VALUE"""),"https:")</f>
        <v>https:</v>
      </c>
      <c r="K399" s="78" t="str">
        <f>IFERROR(__xludf.DUMMYFUNCTION("""COMPUTED_VALUE"""),"www.munzee.com")</f>
        <v>www.munzee.com</v>
      </c>
      <c r="L399" s="47" t="str">
        <f>IFERROR(__xludf.DUMMYFUNCTION("""COMPUTED_VALUE"""),"m")</f>
        <v>m</v>
      </c>
      <c r="M399" s="47" t="str">
        <f>IFERROR(__xludf.DUMMYFUNCTION("""COMPUTED_VALUE"""),"rholierhoek")</f>
        <v>rholierhoek</v>
      </c>
    </row>
    <row r="400">
      <c r="A400" s="47" t="str">
        <f>IFERROR(__xludf.DUMMYFUNCTION("""COMPUTED_VALUE"""),"Virtual Brown")</f>
        <v>Virtual Brown</v>
      </c>
      <c r="B400" s="47" t="str">
        <f>IFERROR(__xludf.DUMMYFUNCTION("""COMPUTED_VALUE"""),"TheFatCats")</f>
        <v>TheFatCats</v>
      </c>
      <c r="C400" s="78" t="str">
        <f>IFERROR(__xludf.DUMMYFUNCTION("""COMPUTED_VALUE"""),"https://www.munzee.com/m/TheFatCats/3604/")</f>
        <v>https://www.munzee.com/m/TheFatCats/3604/</v>
      </c>
      <c r="D400" s="47"/>
      <c r="E400" s="47" t="b">
        <f>IFERROR(__xludf.DUMMYFUNCTION("""COMPUTED_VALUE"""),TRUE)</f>
        <v>1</v>
      </c>
      <c r="F400" s="83" t="str">
        <f>IFERROR(__xludf.DUMMYFUNCTION("""COMPUTED_VALUE"""),"")</f>
        <v/>
      </c>
      <c r="G400" s="47" t="str">
        <f>IFERROR(__xludf.DUMMYFUNCTION("""COMPUTED_VALUE"""),"")</f>
        <v/>
      </c>
      <c r="H400" s="47"/>
      <c r="I400" s="47">
        <f>IFERROR(__xludf.DUMMYFUNCTION("""COMPUTED_VALUE"""),2.0)</f>
        <v>2</v>
      </c>
      <c r="J400" s="47" t="str">
        <f>IFERROR(__xludf.DUMMYFUNCTION("""COMPUTED_VALUE"""),"https:")</f>
        <v>https:</v>
      </c>
      <c r="K400" s="78" t="str">
        <f>IFERROR(__xludf.DUMMYFUNCTION("""COMPUTED_VALUE"""),"www.munzee.com")</f>
        <v>www.munzee.com</v>
      </c>
      <c r="L400" s="47" t="str">
        <f>IFERROR(__xludf.DUMMYFUNCTION("""COMPUTED_VALUE"""),"m")</f>
        <v>m</v>
      </c>
      <c r="M400" s="47" t="str">
        <f>IFERROR(__xludf.DUMMYFUNCTION("""COMPUTED_VALUE"""),"TheFatCats")</f>
        <v>TheFatCats</v>
      </c>
    </row>
    <row r="401">
      <c r="A401" s="47" t="str">
        <f>IFERROR(__xludf.DUMMYFUNCTION("""COMPUTED_VALUE"""),"Virtual Raw Sienna")</f>
        <v>Virtual Raw Sienna</v>
      </c>
      <c r="B401" s="47" t="str">
        <f>IFERROR(__xludf.DUMMYFUNCTION("""COMPUTED_VALUE"""),"ArchieRuby")</f>
        <v>ArchieRuby</v>
      </c>
      <c r="C401" s="78" t="str">
        <f>IFERROR(__xludf.DUMMYFUNCTION("""COMPUTED_VALUE"""),"https://www.munzee.com/m/ArchieRuby/545/")</f>
        <v>https://www.munzee.com/m/ArchieRuby/545/</v>
      </c>
      <c r="D401" s="47"/>
      <c r="E401" s="47" t="b">
        <f>IFERROR(__xludf.DUMMYFUNCTION("""COMPUTED_VALUE"""),TRUE)</f>
        <v>1</v>
      </c>
      <c r="F401" s="83" t="str">
        <f>IFERROR(__xludf.DUMMYFUNCTION("""COMPUTED_VALUE"""),"")</f>
        <v/>
      </c>
      <c r="G401" s="47" t="str">
        <f>IFERROR(__xludf.DUMMYFUNCTION("""COMPUTED_VALUE"""),"")</f>
        <v/>
      </c>
      <c r="H401" s="47"/>
      <c r="I401" s="47">
        <f>IFERROR(__xludf.DUMMYFUNCTION("""COMPUTED_VALUE"""),2.0)</f>
        <v>2</v>
      </c>
      <c r="J401" s="47" t="str">
        <f>IFERROR(__xludf.DUMMYFUNCTION("""COMPUTED_VALUE"""),"https:")</f>
        <v>https:</v>
      </c>
      <c r="K401" s="78" t="str">
        <f>IFERROR(__xludf.DUMMYFUNCTION("""COMPUTED_VALUE"""),"www.munzee.com")</f>
        <v>www.munzee.com</v>
      </c>
      <c r="L401" s="47" t="str">
        <f>IFERROR(__xludf.DUMMYFUNCTION("""COMPUTED_VALUE"""),"m")</f>
        <v>m</v>
      </c>
      <c r="M401" s="47" t="str">
        <f>IFERROR(__xludf.DUMMYFUNCTION("""COMPUTED_VALUE"""),"ArchieRuby")</f>
        <v>ArchieRuby</v>
      </c>
    </row>
    <row r="402">
      <c r="A402" s="47" t="str">
        <f>IFERROR(__xludf.DUMMYFUNCTION("""COMPUTED_VALUE"""),"Virtual Brown")</f>
        <v>Virtual Brown</v>
      </c>
      <c r="B402" s="47" t="str">
        <f>IFERROR(__xludf.DUMMYFUNCTION("""COMPUTED_VALUE"""),"123xilef")</f>
        <v>123xilef</v>
      </c>
      <c r="C402" s="78" t="str">
        <f>IFERROR(__xludf.DUMMYFUNCTION("""COMPUTED_VALUE"""),"https://www.munzee.com/m/123xilef/6884/")</f>
        <v>https://www.munzee.com/m/123xilef/6884/</v>
      </c>
      <c r="D402" s="47"/>
      <c r="E402" s="47" t="b">
        <f>IFERROR(__xludf.DUMMYFUNCTION("""COMPUTED_VALUE"""),TRUE)</f>
        <v>1</v>
      </c>
      <c r="F402" s="83"/>
      <c r="G402" s="47" t="str">
        <f>IFERROR(__xludf.DUMMYFUNCTION("""COMPUTED_VALUE"""),"")</f>
        <v/>
      </c>
      <c r="H402" s="47"/>
      <c r="I402" s="47">
        <f>IFERROR(__xludf.DUMMYFUNCTION("""COMPUTED_VALUE"""),2.0)</f>
        <v>2</v>
      </c>
      <c r="J402" s="47" t="str">
        <f>IFERROR(__xludf.DUMMYFUNCTION("""COMPUTED_VALUE"""),"https:")</f>
        <v>https:</v>
      </c>
      <c r="K402" s="78" t="str">
        <f>IFERROR(__xludf.DUMMYFUNCTION("""COMPUTED_VALUE"""),"www.munzee.com")</f>
        <v>www.munzee.com</v>
      </c>
      <c r="L402" s="47" t="str">
        <f>IFERROR(__xludf.DUMMYFUNCTION("""COMPUTED_VALUE"""),"m")</f>
        <v>m</v>
      </c>
      <c r="M402" s="47" t="str">
        <f>IFERROR(__xludf.DUMMYFUNCTION("""COMPUTED_VALUE"""),"123xilef")</f>
        <v>123xilef</v>
      </c>
    </row>
    <row r="403">
      <c r="A403" s="47" t="str">
        <f>IFERROR(__xludf.DUMMYFUNCTION("""COMPUTED_VALUE"""),"Virtual Brown")</f>
        <v>Virtual Brown</v>
      </c>
      <c r="B403" s="47" t="str">
        <f>IFERROR(__xludf.DUMMYFUNCTION("""COMPUTED_VALUE"""),"Rholierhoek")</f>
        <v>Rholierhoek</v>
      </c>
      <c r="C403" s="78" t="str">
        <f>IFERROR(__xludf.DUMMYFUNCTION("""COMPUTED_VALUE"""),"https://www.munzee.com/m/rholierhoek/986/")</f>
        <v>https://www.munzee.com/m/rholierhoek/986/</v>
      </c>
      <c r="D403" s="47"/>
      <c r="E403" s="47" t="b">
        <f>IFERROR(__xludf.DUMMYFUNCTION("""COMPUTED_VALUE"""),TRUE)</f>
        <v>1</v>
      </c>
      <c r="F403" s="83" t="str">
        <f>IFERROR(__xludf.DUMMYFUNCTION("""COMPUTED_VALUE"""),"")</f>
        <v/>
      </c>
      <c r="G403" s="47" t="str">
        <f>IFERROR(__xludf.DUMMYFUNCTION("""COMPUTED_VALUE"""),"")</f>
        <v/>
      </c>
      <c r="H403" s="47"/>
      <c r="I403" s="47">
        <f>IFERROR(__xludf.DUMMYFUNCTION("""COMPUTED_VALUE"""),2.0)</f>
        <v>2</v>
      </c>
      <c r="J403" s="47" t="str">
        <f>IFERROR(__xludf.DUMMYFUNCTION("""COMPUTED_VALUE"""),"#REF!")</f>
        <v>#REF!</v>
      </c>
      <c r="K403" s="47"/>
      <c r="L403" s="47"/>
      <c r="M403" s="47"/>
    </row>
    <row r="404">
      <c r="A404" s="47" t="str">
        <f>IFERROR(__xludf.DUMMYFUNCTION("""COMPUTED_VALUE"""),"Virtual Raw Sienna")</f>
        <v>Virtual Raw Sienna</v>
      </c>
      <c r="B404" s="47" t="str">
        <f>IFERROR(__xludf.DUMMYFUNCTION("""COMPUTED_VALUE"""),"IggiePiggie")</f>
        <v>IggiePiggie</v>
      </c>
      <c r="C404" s="78" t="str">
        <f>IFERROR(__xludf.DUMMYFUNCTION("""COMPUTED_VALUE"""),"https://www.munzee.com/m/IggiePiggie/1850/")</f>
        <v>https://www.munzee.com/m/IggiePiggie/1850/</v>
      </c>
      <c r="D404" s="47"/>
      <c r="E404" s="47" t="b">
        <f>IFERROR(__xludf.DUMMYFUNCTION("""COMPUTED_VALUE"""),TRUE)</f>
        <v>1</v>
      </c>
      <c r="F404" s="83" t="str">
        <f>IFERROR(__xludf.DUMMYFUNCTION("""COMPUTED_VALUE"""),"")</f>
        <v/>
      </c>
      <c r="G404" s="47" t="str">
        <f>IFERROR(__xludf.DUMMYFUNCTION("""COMPUTED_VALUE"""),"")</f>
        <v/>
      </c>
      <c r="H404" s="47"/>
      <c r="I404" s="47">
        <f>IFERROR(__xludf.DUMMYFUNCTION("""COMPUTED_VALUE"""),2.0)</f>
        <v>2</v>
      </c>
      <c r="J404" s="47" t="str">
        <f>IFERROR(__xludf.DUMMYFUNCTION("""COMPUTED_VALUE"""),"https:")</f>
        <v>https:</v>
      </c>
      <c r="K404" s="78" t="str">
        <f>IFERROR(__xludf.DUMMYFUNCTION("""COMPUTED_VALUE"""),"www.munzee.com")</f>
        <v>www.munzee.com</v>
      </c>
      <c r="L404" s="47" t="str">
        <f>IFERROR(__xludf.DUMMYFUNCTION("""COMPUTED_VALUE"""),"m")</f>
        <v>m</v>
      </c>
      <c r="M404" s="47" t="str">
        <f>IFERROR(__xludf.DUMMYFUNCTION("""COMPUTED_VALUE"""),"IggiePiggie")</f>
        <v>IggiePiggie</v>
      </c>
    </row>
    <row r="405">
      <c r="A405" s="47" t="str">
        <f>IFERROR(__xludf.DUMMYFUNCTION("""COMPUTED_VALUE"""),"Virtual Brown")</f>
        <v>Virtual Brown</v>
      </c>
      <c r="B405" s="47" t="str">
        <f>IFERROR(__xludf.DUMMYFUNCTION("""COMPUTED_VALUE"""),"TheFrog")</f>
        <v>TheFrog</v>
      </c>
      <c r="C405" s="78" t="str">
        <f>IFERROR(__xludf.DUMMYFUNCTION("""COMPUTED_VALUE"""),"https://www.munzee.com/m/TheFrog/4204/")</f>
        <v>https://www.munzee.com/m/TheFrog/4204/</v>
      </c>
      <c r="D405" s="47"/>
      <c r="E405" s="47" t="b">
        <f>IFERROR(__xludf.DUMMYFUNCTION("""COMPUTED_VALUE"""),TRUE)</f>
        <v>1</v>
      </c>
      <c r="F405" s="83" t="str">
        <f>IFERROR(__xludf.DUMMYFUNCTION("""COMPUTED_VALUE"""),"")</f>
        <v/>
      </c>
      <c r="G405" s="47" t="str">
        <f>IFERROR(__xludf.DUMMYFUNCTION("""COMPUTED_VALUE"""),"")</f>
        <v/>
      </c>
      <c r="H405" s="47"/>
      <c r="I405" s="47">
        <f>IFERROR(__xludf.DUMMYFUNCTION("""COMPUTED_VALUE"""),2.0)</f>
        <v>2</v>
      </c>
      <c r="J405" s="47" t="str">
        <f>IFERROR(__xludf.DUMMYFUNCTION("""COMPUTED_VALUE"""),"https:")</f>
        <v>https:</v>
      </c>
      <c r="K405" s="78" t="str">
        <f>IFERROR(__xludf.DUMMYFUNCTION("""COMPUTED_VALUE"""),"www.munzee.com")</f>
        <v>www.munzee.com</v>
      </c>
      <c r="L405" s="47" t="str">
        <f>IFERROR(__xludf.DUMMYFUNCTION("""COMPUTED_VALUE"""),"m")</f>
        <v>m</v>
      </c>
      <c r="M405" s="47" t="str">
        <f>IFERROR(__xludf.DUMMYFUNCTION("""COMPUTED_VALUE"""),"rholierhoek")</f>
        <v>rholierhoek</v>
      </c>
    </row>
    <row r="406">
      <c r="A406" s="47" t="str">
        <f>IFERROR(__xludf.DUMMYFUNCTION("""COMPUTED_VALUE"""),"Virtual Brown")</f>
        <v>Virtual Brown</v>
      </c>
      <c r="B406" s="47" t="str">
        <f>IFERROR(__xludf.DUMMYFUNCTION("""COMPUTED_VALUE"""),"123xilef")</f>
        <v>123xilef</v>
      </c>
      <c r="C406" s="78" t="str">
        <f>IFERROR(__xludf.DUMMYFUNCTION("""COMPUTED_VALUE"""),"https://www.munzee.com/m/123xilef/7019/")</f>
        <v>https://www.munzee.com/m/123xilef/7019/</v>
      </c>
      <c r="D406" s="47"/>
      <c r="E406" s="47" t="b">
        <f>IFERROR(__xludf.DUMMYFUNCTION("""COMPUTED_VALUE"""),TRUE)</f>
        <v>1</v>
      </c>
      <c r="F406" s="83" t="str">
        <f>IFERROR(__xludf.DUMMYFUNCTION("""COMPUTED_VALUE"""),"")</f>
        <v/>
      </c>
      <c r="G406" s="47" t="str">
        <f>IFERROR(__xludf.DUMMYFUNCTION("""COMPUTED_VALUE"""),"")</f>
        <v/>
      </c>
      <c r="H406" s="47"/>
      <c r="I406" s="47">
        <f>IFERROR(__xludf.DUMMYFUNCTION("""COMPUTED_VALUE"""),2.0)</f>
        <v>2</v>
      </c>
      <c r="J406" s="47" t="str">
        <f>IFERROR(__xludf.DUMMYFUNCTION("""COMPUTED_VALUE"""),"https:")</f>
        <v>https:</v>
      </c>
      <c r="K406" s="78" t="str">
        <f>IFERROR(__xludf.DUMMYFUNCTION("""COMPUTED_VALUE"""),"www.munzee.com")</f>
        <v>www.munzee.com</v>
      </c>
      <c r="L406" s="47" t="str">
        <f>IFERROR(__xludf.DUMMYFUNCTION("""COMPUTED_VALUE"""),"m")</f>
        <v>m</v>
      </c>
      <c r="M406" s="47" t="str">
        <f>IFERROR(__xludf.DUMMYFUNCTION("""COMPUTED_VALUE"""),"123xilef")</f>
        <v>123xilef</v>
      </c>
    </row>
    <row r="407">
      <c r="A407" s="47" t="str">
        <f>IFERROR(__xludf.DUMMYFUNCTION("""COMPUTED_VALUE"""),"Virtual Raw Sienna")</f>
        <v>Virtual Raw Sienna</v>
      </c>
      <c r="B407" s="47" t="str">
        <f>IFERROR(__xludf.DUMMYFUNCTION("""COMPUTED_VALUE"""),"BrotherWilliam")</f>
        <v>BrotherWilliam</v>
      </c>
      <c r="C407" s="78" t="str">
        <f>IFERROR(__xludf.DUMMYFUNCTION("""COMPUTED_VALUE"""),"https://www.munzee.com/m/BrotherWilliam/4072/")</f>
        <v>https://www.munzee.com/m/BrotherWilliam/4072/</v>
      </c>
      <c r="D407" s="47"/>
      <c r="E407" s="47" t="b">
        <f>IFERROR(__xludf.DUMMYFUNCTION("""COMPUTED_VALUE"""),TRUE)</f>
        <v>1</v>
      </c>
      <c r="F407" s="83" t="str">
        <f>IFERROR(__xludf.DUMMYFUNCTION("""COMPUTED_VALUE"""),"")</f>
        <v/>
      </c>
      <c r="G407" s="47" t="str">
        <f>IFERROR(__xludf.DUMMYFUNCTION("""COMPUTED_VALUE"""),"")</f>
        <v/>
      </c>
      <c r="H407" s="47"/>
      <c r="I407" s="47">
        <f>IFERROR(__xludf.DUMMYFUNCTION("""COMPUTED_VALUE"""),2.0)</f>
        <v>2</v>
      </c>
      <c r="J407" s="47" t="str">
        <f>IFERROR(__xludf.DUMMYFUNCTION("""COMPUTED_VALUE"""),"https:")</f>
        <v>https:</v>
      </c>
      <c r="K407" s="78" t="str">
        <f>IFERROR(__xludf.DUMMYFUNCTION("""COMPUTED_VALUE"""),"www.munzee.com")</f>
        <v>www.munzee.com</v>
      </c>
      <c r="L407" s="47" t="str">
        <f>IFERROR(__xludf.DUMMYFUNCTION("""COMPUTED_VALUE"""),"m")</f>
        <v>m</v>
      </c>
      <c r="M407" s="47" t="str">
        <f>IFERROR(__xludf.DUMMYFUNCTION("""COMPUTED_VALUE"""),"BrotherWilliam")</f>
        <v>BrotherWilliam</v>
      </c>
    </row>
    <row r="408">
      <c r="A408" s="47" t="str">
        <f>IFERROR(__xludf.DUMMYFUNCTION("""COMPUTED_VALUE"""),"Virtual Brown")</f>
        <v>Virtual Brown</v>
      </c>
      <c r="B408" s="47" t="str">
        <f>IFERROR(__xludf.DUMMYFUNCTION("""COMPUTED_VALUE"""),"Aniara")</f>
        <v>Aniara</v>
      </c>
      <c r="C408" s="78" t="str">
        <f>IFERROR(__xludf.DUMMYFUNCTION("""COMPUTED_VALUE"""),"https://www.munzee.com/m/Aniara/6620/")</f>
        <v>https://www.munzee.com/m/Aniara/6620/</v>
      </c>
      <c r="D408" s="84">
        <f>IFERROR(__xludf.DUMMYFUNCTION("""COMPUTED_VALUE"""),43959.0)</f>
        <v>43959</v>
      </c>
      <c r="E408" s="47" t="b">
        <f>IFERROR(__xludf.DUMMYFUNCTION("""COMPUTED_VALUE"""),TRUE)</f>
        <v>1</v>
      </c>
      <c r="F408" s="83" t="str">
        <f>IFERROR(__xludf.DUMMYFUNCTION("""COMPUTED_VALUE"""),"")</f>
        <v/>
      </c>
      <c r="G408" s="47" t="str">
        <f>IFERROR(__xludf.DUMMYFUNCTION("""COMPUTED_VALUE"""),"")</f>
        <v/>
      </c>
      <c r="H408" s="47"/>
      <c r="I408" s="47">
        <f>IFERROR(__xludf.DUMMYFUNCTION("""COMPUTED_VALUE"""),2.0)</f>
        <v>2</v>
      </c>
      <c r="J408" s="47" t="str">
        <f>IFERROR(__xludf.DUMMYFUNCTION("""COMPUTED_VALUE"""),"https:")</f>
        <v>https:</v>
      </c>
      <c r="K408" s="78" t="str">
        <f>IFERROR(__xludf.DUMMYFUNCTION("""COMPUTED_VALUE"""),"www.munzee.com")</f>
        <v>www.munzee.com</v>
      </c>
      <c r="L408" s="47" t="str">
        <f>IFERROR(__xludf.DUMMYFUNCTION("""COMPUTED_VALUE"""),"m")</f>
        <v>m</v>
      </c>
      <c r="M408" s="47" t="str">
        <f>IFERROR(__xludf.DUMMYFUNCTION("""COMPUTED_VALUE"""),"Aniara")</f>
        <v>Aniara</v>
      </c>
    </row>
    <row r="409">
      <c r="A409" s="47" t="str">
        <f>IFERROR(__xludf.DUMMYFUNCTION("""COMPUTED_VALUE"""),"Virtual Brown")</f>
        <v>Virtual Brown</v>
      </c>
      <c r="B409" s="47" t="str">
        <f>IFERROR(__xludf.DUMMYFUNCTION("""COMPUTED_VALUE"""),"artofmunzeeing")</f>
        <v>artofmunzeeing</v>
      </c>
      <c r="C409" s="78" t="str">
        <f>IFERROR(__xludf.DUMMYFUNCTION("""COMPUTED_VALUE"""),"https://www.munzee.com/m/artofmunzeeing/3829/")</f>
        <v>https://www.munzee.com/m/artofmunzeeing/3829/</v>
      </c>
      <c r="D409" s="47"/>
      <c r="E409" s="47" t="b">
        <f>IFERROR(__xludf.DUMMYFUNCTION("""COMPUTED_VALUE"""),TRUE)</f>
        <v>1</v>
      </c>
      <c r="F409" s="83" t="str">
        <f>IFERROR(__xludf.DUMMYFUNCTION("""COMPUTED_VALUE"""),"")</f>
        <v/>
      </c>
      <c r="G409" s="47" t="str">
        <f>IFERROR(__xludf.DUMMYFUNCTION("""COMPUTED_VALUE"""),"")</f>
        <v/>
      </c>
      <c r="H409" s="47"/>
      <c r="I409" s="47">
        <f>IFERROR(__xludf.DUMMYFUNCTION("""COMPUTED_VALUE"""),2.0)</f>
        <v>2</v>
      </c>
      <c r="J409" s="47" t="str">
        <f>IFERROR(__xludf.DUMMYFUNCTION("""COMPUTED_VALUE"""),"https:")</f>
        <v>https:</v>
      </c>
      <c r="K409" s="78" t="str">
        <f>IFERROR(__xludf.DUMMYFUNCTION("""COMPUTED_VALUE"""),"www.munzee.com")</f>
        <v>www.munzee.com</v>
      </c>
      <c r="L409" s="47" t="str">
        <f>IFERROR(__xludf.DUMMYFUNCTION("""COMPUTED_VALUE"""),"m")</f>
        <v>m</v>
      </c>
      <c r="M409" s="47" t="str">
        <f>IFERROR(__xludf.DUMMYFUNCTION("""COMPUTED_VALUE"""),"artofmunzeeing")</f>
        <v>artofmunzeeing</v>
      </c>
    </row>
    <row r="410">
      <c r="A410" s="47" t="str">
        <f>IFERROR(__xludf.DUMMYFUNCTION("""COMPUTED_VALUE"""),"Virtual Brown")</f>
        <v>Virtual Brown</v>
      </c>
      <c r="B410" s="47" t="str">
        <f>IFERROR(__xludf.DUMMYFUNCTION("""COMPUTED_VALUE"""),"Wangotango")</f>
        <v>Wangotango</v>
      </c>
      <c r="C410" s="78" t="str">
        <f>IFERROR(__xludf.DUMMYFUNCTION("""COMPUTED_VALUE"""),"https://www.munzee.com/m/Wangotango/1247")</f>
        <v>https://www.munzee.com/m/Wangotango/1247</v>
      </c>
      <c r="D410" s="47"/>
      <c r="E410" s="47" t="b">
        <f>IFERROR(__xludf.DUMMYFUNCTION("""COMPUTED_VALUE"""),TRUE)</f>
        <v>1</v>
      </c>
      <c r="F410" s="83" t="str">
        <f>IFERROR(__xludf.DUMMYFUNCTION("""COMPUTED_VALUE"""),"")</f>
        <v/>
      </c>
      <c r="G410" s="47" t="str">
        <f>IFERROR(__xludf.DUMMYFUNCTION("""COMPUTED_VALUE"""),"")</f>
        <v/>
      </c>
      <c r="H410" s="47"/>
      <c r="I410" s="47">
        <f>IFERROR(__xludf.DUMMYFUNCTION("""COMPUTED_VALUE"""),2.0)</f>
        <v>2</v>
      </c>
      <c r="J410" s="47" t="str">
        <f>IFERROR(__xludf.DUMMYFUNCTION("""COMPUTED_VALUE"""),"https:")</f>
        <v>https:</v>
      </c>
      <c r="K410" s="78" t="str">
        <f>IFERROR(__xludf.DUMMYFUNCTION("""COMPUTED_VALUE"""),"www.munzee.com")</f>
        <v>www.munzee.com</v>
      </c>
      <c r="L410" s="47" t="str">
        <f>IFERROR(__xludf.DUMMYFUNCTION("""COMPUTED_VALUE"""),"m")</f>
        <v>m</v>
      </c>
      <c r="M410" s="47" t="str">
        <f>IFERROR(__xludf.DUMMYFUNCTION("""COMPUTED_VALUE"""),"Wangotango")</f>
        <v>Wangotango</v>
      </c>
    </row>
    <row r="411">
      <c r="A411" s="47" t="str">
        <f>IFERROR(__xludf.DUMMYFUNCTION("""COMPUTED_VALUE"""),"Virtual Brown")</f>
        <v>Virtual Brown</v>
      </c>
      <c r="B411" s="47" t="str">
        <f>IFERROR(__xludf.DUMMYFUNCTION("""COMPUTED_VALUE"""),"TheFatCats")</f>
        <v>TheFatCats</v>
      </c>
      <c r="C411" s="78" t="str">
        <f>IFERROR(__xludf.DUMMYFUNCTION("""COMPUTED_VALUE"""),"https://www.munzee.com/m/TheFatCats/3632/")</f>
        <v>https://www.munzee.com/m/TheFatCats/3632/</v>
      </c>
      <c r="D411" s="47"/>
      <c r="E411" s="47" t="b">
        <f>IFERROR(__xludf.DUMMYFUNCTION("""COMPUTED_VALUE"""),TRUE)</f>
        <v>1</v>
      </c>
      <c r="F411" s="83" t="str">
        <f>IFERROR(__xludf.DUMMYFUNCTION("""COMPUTED_VALUE"""),"")</f>
        <v/>
      </c>
      <c r="G411" s="47" t="str">
        <f>IFERROR(__xludf.DUMMYFUNCTION("""COMPUTED_VALUE"""),"")</f>
        <v/>
      </c>
      <c r="H411" s="47"/>
      <c r="I411" s="47">
        <f>IFERROR(__xludf.DUMMYFUNCTION("""COMPUTED_VALUE"""),2.0)</f>
        <v>2</v>
      </c>
      <c r="J411" s="47" t="str">
        <f>IFERROR(__xludf.DUMMYFUNCTION("""COMPUTED_VALUE"""),"https:")</f>
        <v>https:</v>
      </c>
      <c r="K411" s="78" t="str">
        <f>IFERROR(__xludf.DUMMYFUNCTION("""COMPUTED_VALUE"""),"www.munzee.com")</f>
        <v>www.munzee.com</v>
      </c>
      <c r="L411" s="47" t="str">
        <f>IFERROR(__xludf.DUMMYFUNCTION("""COMPUTED_VALUE"""),"m")</f>
        <v>m</v>
      </c>
      <c r="M411" s="47" t="str">
        <f>IFERROR(__xludf.DUMMYFUNCTION("""COMPUTED_VALUE"""),"TheFatCats")</f>
        <v>TheFatCats</v>
      </c>
    </row>
    <row r="412">
      <c r="A412" s="47" t="str">
        <f>IFERROR(__xludf.DUMMYFUNCTION("""COMPUTED_VALUE"""),"Virtual Brown")</f>
        <v>Virtual Brown</v>
      </c>
      <c r="B412" s="47" t="str">
        <f>IFERROR(__xludf.DUMMYFUNCTION("""COMPUTED_VALUE"""),"artofmunzeeing")</f>
        <v>artofmunzeeing</v>
      </c>
      <c r="C412" s="78" t="str">
        <f>IFERROR(__xludf.DUMMYFUNCTION("""COMPUTED_VALUE"""),"https://www.munzee.com/m/artofmunzeeing/3830/")</f>
        <v>https://www.munzee.com/m/artofmunzeeing/3830/</v>
      </c>
      <c r="D412" s="47"/>
      <c r="E412" s="47" t="b">
        <f>IFERROR(__xludf.DUMMYFUNCTION("""COMPUTED_VALUE"""),TRUE)</f>
        <v>1</v>
      </c>
      <c r="F412" s="83" t="str">
        <f>IFERROR(__xludf.DUMMYFUNCTION("""COMPUTED_VALUE"""),"")</f>
        <v/>
      </c>
      <c r="G412" s="47" t="str">
        <f>IFERROR(__xludf.DUMMYFUNCTION("""COMPUTED_VALUE"""),"")</f>
        <v/>
      </c>
      <c r="H412" s="47"/>
      <c r="I412" s="47">
        <f>IFERROR(__xludf.DUMMYFUNCTION("""COMPUTED_VALUE"""),2.0)</f>
        <v>2</v>
      </c>
      <c r="J412" s="47" t="str">
        <f>IFERROR(__xludf.DUMMYFUNCTION("""COMPUTED_VALUE"""),"https:")</f>
        <v>https:</v>
      </c>
      <c r="K412" s="78" t="str">
        <f>IFERROR(__xludf.DUMMYFUNCTION("""COMPUTED_VALUE"""),"www.munzee.com")</f>
        <v>www.munzee.com</v>
      </c>
      <c r="L412" s="47" t="str">
        <f>IFERROR(__xludf.DUMMYFUNCTION("""COMPUTED_VALUE"""),"m")</f>
        <v>m</v>
      </c>
      <c r="M412" s="47" t="str">
        <f>IFERROR(__xludf.DUMMYFUNCTION("""COMPUTED_VALUE"""),"artofmunzeeing")</f>
        <v>artofmunzeeing</v>
      </c>
    </row>
    <row r="413">
      <c r="A413" s="47" t="str">
        <f>IFERROR(__xludf.DUMMYFUNCTION("""COMPUTED_VALUE"""),"Virtual Brown")</f>
        <v>Virtual Brown</v>
      </c>
      <c r="B413" s="47" t="str">
        <f>IFERROR(__xludf.DUMMYFUNCTION("""COMPUTED_VALUE"""),"Franca")</f>
        <v>Franca</v>
      </c>
      <c r="C413" s="78" t="str">
        <f>IFERROR(__xludf.DUMMYFUNCTION("""COMPUTED_VALUE"""),"https://www.munzee.com/m/Franca/703/")</f>
        <v>https://www.munzee.com/m/Franca/703/</v>
      </c>
      <c r="D413" s="47"/>
      <c r="E413" s="47" t="b">
        <f>IFERROR(__xludf.DUMMYFUNCTION("""COMPUTED_VALUE"""),TRUE)</f>
        <v>1</v>
      </c>
      <c r="F413" s="83" t="str">
        <f>IFERROR(__xludf.DUMMYFUNCTION("""COMPUTED_VALUE"""),"")</f>
        <v/>
      </c>
      <c r="G413" s="47" t="str">
        <f>IFERROR(__xludf.DUMMYFUNCTION("""COMPUTED_VALUE"""),"")</f>
        <v/>
      </c>
      <c r="H413" s="47"/>
      <c r="I413" s="47">
        <f>IFERROR(__xludf.DUMMYFUNCTION("""COMPUTED_VALUE"""),2.0)</f>
        <v>2</v>
      </c>
      <c r="J413" s="47" t="str">
        <f>IFERROR(__xludf.DUMMYFUNCTION("""COMPUTED_VALUE"""),"https:")</f>
        <v>https:</v>
      </c>
      <c r="K413" s="78" t="str">
        <f>IFERROR(__xludf.DUMMYFUNCTION("""COMPUTED_VALUE"""),"www.munzee.com")</f>
        <v>www.munzee.com</v>
      </c>
      <c r="L413" s="47" t="str">
        <f>IFERROR(__xludf.DUMMYFUNCTION("""COMPUTED_VALUE"""),"m")</f>
        <v>m</v>
      </c>
      <c r="M413" s="47" t="str">
        <f>IFERROR(__xludf.DUMMYFUNCTION("""COMPUTED_VALUE"""),"Franca")</f>
        <v>Franca</v>
      </c>
    </row>
    <row r="414">
      <c r="A414" s="47" t="str">
        <f>IFERROR(__xludf.DUMMYFUNCTION("""COMPUTED_VALUE"""),"Virtual Raw Sienna")</f>
        <v>Virtual Raw Sienna</v>
      </c>
      <c r="B414" s="47" t="str">
        <f>IFERROR(__xludf.DUMMYFUNCTION("""COMPUTED_VALUE"""),"Anetzet ")</f>
        <v>Anetzet </v>
      </c>
      <c r="C414" s="78" t="str">
        <f>IFERROR(__xludf.DUMMYFUNCTION("""COMPUTED_VALUE"""),"https://www.munzee.com/m/Anetzet/2877/")</f>
        <v>https://www.munzee.com/m/Anetzet/2877/</v>
      </c>
      <c r="D414" s="47"/>
      <c r="E414" s="47" t="b">
        <f>IFERROR(__xludf.DUMMYFUNCTION("""COMPUTED_VALUE"""),TRUE)</f>
        <v>1</v>
      </c>
      <c r="F414" s="83" t="str">
        <f>IFERROR(__xludf.DUMMYFUNCTION("""COMPUTED_VALUE"""),"")</f>
        <v/>
      </c>
      <c r="G414" s="47" t="str">
        <f>IFERROR(__xludf.DUMMYFUNCTION("""COMPUTED_VALUE"""),"")</f>
        <v/>
      </c>
      <c r="H414" s="47"/>
      <c r="I414" s="47">
        <f>IFERROR(__xludf.DUMMYFUNCTION("""COMPUTED_VALUE"""),2.0)</f>
        <v>2</v>
      </c>
      <c r="J414" s="47" t="str">
        <f>IFERROR(__xludf.DUMMYFUNCTION("""COMPUTED_VALUE"""),"https:")</f>
        <v>https:</v>
      </c>
      <c r="K414" s="78" t="str">
        <f>IFERROR(__xludf.DUMMYFUNCTION("""COMPUTED_VALUE"""),"www.munzee.com")</f>
        <v>www.munzee.com</v>
      </c>
      <c r="L414" s="47" t="str">
        <f>IFERROR(__xludf.DUMMYFUNCTION("""COMPUTED_VALUE"""),"m")</f>
        <v>m</v>
      </c>
      <c r="M414" s="47" t="str">
        <f>IFERROR(__xludf.DUMMYFUNCTION("""COMPUTED_VALUE"""),"Anetzet")</f>
        <v>Anetzet</v>
      </c>
    </row>
    <row r="415">
      <c r="A415" s="47" t="str">
        <f>IFERROR(__xludf.DUMMYFUNCTION("""COMPUTED_VALUE"""),"Virtual Raw Sienna")</f>
        <v>Virtual Raw Sienna</v>
      </c>
      <c r="B415" s="47" t="str">
        <f>IFERROR(__xludf.DUMMYFUNCTION("""COMPUTED_VALUE"""),"MunziMeg")</f>
        <v>MunziMeg</v>
      </c>
      <c r="C415" s="78" t="str">
        <f>IFERROR(__xludf.DUMMYFUNCTION("""COMPUTED_VALUE"""),"https://www.munzee.com/m/MunziMeg/4448/")</f>
        <v>https://www.munzee.com/m/MunziMeg/4448/</v>
      </c>
      <c r="D415" s="47"/>
      <c r="E415" s="47" t="b">
        <f>IFERROR(__xludf.DUMMYFUNCTION("""COMPUTED_VALUE"""),TRUE)</f>
        <v>1</v>
      </c>
      <c r="F415" s="83" t="str">
        <f>IFERROR(__xludf.DUMMYFUNCTION("""COMPUTED_VALUE"""),"")</f>
        <v/>
      </c>
      <c r="G415" s="47" t="str">
        <f>IFERROR(__xludf.DUMMYFUNCTION("""COMPUTED_VALUE"""),"")</f>
        <v/>
      </c>
      <c r="H415" s="47"/>
      <c r="I415" s="47">
        <f>IFERROR(__xludf.DUMMYFUNCTION("""COMPUTED_VALUE"""),2.0)</f>
        <v>2</v>
      </c>
      <c r="J415" s="47" t="str">
        <f>IFERROR(__xludf.DUMMYFUNCTION("""COMPUTED_VALUE"""),"https:")</f>
        <v>https:</v>
      </c>
      <c r="K415" s="78" t="str">
        <f>IFERROR(__xludf.DUMMYFUNCTION("""COMPUTED_VALUE"""),"www.munzee.com")</f>
        <v>www.munzee.com</v>
      </c>
      <c r="L415" s="47" t="str">
        <f>IFERROR(__xludf.DUMMYFUNCTION("""COMPUTED_VALUE"""),"m")</f>
        <v>m</v>
      </c>
      <c r="M415" s="47" t="str">
        <f>IFERROR(__xludf.DUMMYFUNCTION("""COMPUTED_VALUE"""),"MunziMeg")</f>
        <v>MunziMeg</v>
      </c>
    </row>
    <row r="416">
      <c r="A416" s="47" t="str">
        <f>IFERROR(__xludf.DUMMYFUNCTION("""COMPUTED_VALUE"""),"Virtual Brown")</f>
        <v>Virtual Brown</v>
      </c>
      <c r="B416" s="47" t="str">
        <f>IFERROR(__xludf.DUMMYFUNCTION("""COMPUTED_VALUE"""),"OdinsFiRe")</f>
        <v>OdinsFiRe</v>
      </c>
      <c r="C416" s="78" t="str">
        <f>IFERROR(__xludf.DUMMYFUNCTION("""COMPUTED_VALUE"""),"https://www.munzee.com/m/OdinsFiRe/1535")</f>
        <v>https://www.munzee.com/m/OdinsFiRe/1535</v>
      </c>
      <c r="D416" s="84">
        <f>IFERROR(__xludf.DUMMYFUNCTION("""COMPUTED_VALUE"""),44020.0)</f>
        <v>44020</v>
      </c>
      <c r="E416" s="47" t="b">
        <f>IFERROR(__xludf.DUMMYFUNCTION("""COMPUTED_VALUE"""),TRUE)</f>
        <v>1</v>
      </c>
      <c r="F416" s="83" t="str">
        <f>IFERROR(__xludf.DUMMYFUNCTION("""COMPUTED_VALUE"""),"")</f>
        <v/>
      </c>
      <c r="G416" s="47" t="str">
        <f>IFERROR(__xludf.DUMMYFUNCTION("""COMPUTED_VALUE"""),"")</f>
        <v/>
      </c>
      <c r="H416" s="47"/>
      <c r="I416" s="47">
        <f>IFERROR(__xludf.DUMMYFUNCTION("""COMPUTED_VALUE"""),2.0)</f>
        <v>2</v>
      </c>
      <c r="J416" s="47" t="str">
        <f>IFERROR(__xludf.DUMMYFUNCTION("""COMPUTED_VALUE"""),"https:")</f>
        <v>https:</v>
      </c>
      <c r="K416" s="78" t="str">
        <f>IFERROR(__xludf.DUMMYFUNCTION("""COMPUTED_VALUE"""),"www.munzee.com")</f>
        <v>www.munzee.com</v>
      </c>
      <c r="L416" s="47" t="str">
        <f>IFERROR(__xludf.DUMMYFUNCTION("""COMPUTED_VALUE"""),"m")</f>
        <v>m</v>
      </c>
      <c r="M416" s="47" t="str">
        <f>IFERROR(__xludf.DUMMYFUNCTION("""COMPUTED_VALUE"""),"OdinsFiRe")</f>
        <v>OdinsFiRe</v>
      </c>
    </row>
    <row r="417">
      <c r="A417" s="47" t="str">
        <f>IFERROR(__xludf.DUMMYFUNCTION("""COMPUTED_VALUE"""),"Virtual Brown")</f>
        <v>Virtual Brown</v>
      </c>
      <c r="B417" s="47" t="str">
        <f>IFERROR(__xludf.DUMMYFUNCTION("""COMPUTED_VALUE"""),"Belladivadee")</f>
        <v>Belladivadee</v>
      </c>
      <c r="C417" s="78" t="str">
        <f>IFERROR(__xludf.DUMMYFUNCTION("""COMPUTED_VALUE"""),"https://www.munzee.com/m/belladivadee/3101/")</f>
        <v>https://www.munzee.com/m/belladivadee/3101/</v>
      </c>
      <c r="D417" s="47"/>
      <c r="E417" s="47" t="b">
        <f>IFERROR(__xludf.DUMMYFUNCTION("""COMPUTED_VALUE"""),TRUE)</f>
        <v>1</v>
      </c>
      <c r="F417" s="83" t="str">
        <f>IFERROR(__xludf.DUMMYFUNCTION("""COMPUTED_VALUE"""),"")</f>
        <v/>
      </c>
      <c r="G417" s="47" t="str">
        <f>IFERROR(__xludf.DUMMYFUNCTION("""COMPUTED_VALUE"""),"")</f>
        <v/>
      </c>
      <c r="H417" s="47"/>
      <c r="I417" s="47">
        <f>IFERROR(__xludf.DUMMYFUNCTION("""COMPUTED_VALUE"""),2.0)</f>
        <v>2</v>
      </c>
      <c r="J417" s="47" t="str">
        <f>IFERROR(__xludf.DUMMYFUNCTION("""COMPUTED_VALUE"""),"https:")</f>
        <v>https:</v>
      </c>
      <c r="K417" s="78" t="str">
        <f>IFERROR(__xludf.DUMMYFUNCTION("""COMPUTED_VALUE"""),"www.munzee.com")</f>
        <v>www.munzee.com</v>
      </c>
      <c r="L417" s="47" t="str">
        <f>IFERROR(__xludf.DUMMYFUNCTION("""COMPUTED_VALUE"""),"m")</f>
        <v>m</v>
      </c>
      <c r="M417" s="47" t="str">
        <f>IFERROR(__xludf.DUMMYFUNCTION("""COMPUTED_VALUE"""),"belladivadee")</f>
        <v>belladivadee</v>
      </c>
    </row>
    <row r="418">
      <c r="A418" s="47" t="str">
        <f>IFERROR(__xludf.DUMMYFUNCTION("""COMPUTED_VALUE"""),"Virtual Brown")</f>
        <v>Virtual Brown</v>
      </c>
      <c r="B418" s="47" t="str">
        <f>IFERROR(__xludf.DUMMYFUNCTION("""COMPUTED_VALUE"""),"sverlaan")</f>
        <v>sverlaan</v>
      </c>
      <c r="C418" s="78" t="str">
        <f>IFERROR(__xludf.DUMMYFUNCTION("""COMPUTED_VALUE"""),"https://www.munzee.com/m/sverlaan/4202/")</f>
        <v>https://www.munzee.com/m/sverlaan/4202/</v>
      </c>
      <c r="D418" s="81"/>
      <c r="E418" s="47" t="b">
        <f>IFERROR(__xludf.DUMMYFUNCTION("""COMPUTED_VALUE"""),TRUE)</f>
        <v>1</v>
      </c>
      <c r="F418" s="83" t="str">
        <f>IFERROR(__xludf.DUMMYFUNCTION("""COMPUTED_VALUE"""),"")</f>
        <v/>
      </c>
      <c r="G418" s="47" t="str">
        <f>IFERROR(__xludf.DUMMYFUNCTION("""COMPUTED_VALUE"""),"")</f>
        <v/>
      </c>
      <c r="H418" s="47"/>
      <c r="I418" s="47">
        <f>IFERROR(__xludf.DUMMYFUNCTION("""COMPUTED_VALUE"""),2.0)</f>
        <v>2</v>
      </c>
      <c r="J418" s="47" t="str">
        <f>IFERROR(__xludf.DUMMYFUNCTION("""COMPUTED_VALUE"""),"https:")</f>
        <v>https:</v>
      </c>
      <c r="K418" s="78" t="str">
        <f>IFERROR(__xludf.DUMMYFUNCTION("""COMPUTED_VALUE"""),"www.munzee.com")</f>
        <v>www.munzee.com</v>
      </c>
      <c r="L418" s="47" t="str">
        <f>IFERROR(__xludf.DUMMYFUNCTION("""COMPUTED_VALUE"""),"m")</f>
        <v>m</v>
      </c>
      <c r="M418" s="47" t="str">
        <f>IFERROR(__xludf.DUMMYFUNCTION("""COMPUTED_VALUE"""),"sverlaan")</f>
        <v>sverlaan</v>
      </c>
    </row>
    <row r="419">
      <c r="A419" s="47" t="str">
        <f>IFERROR(__xludf.DUMMYFUNCTION("""COMPUTED_VALUE"""),"Virtual Raw Sienna")</f>
        <v>Virtual Raw Sienna</v>
      </c>
      <c r="B419" s="47" t="str">
        <f>IFERROR(__xludf.DUMMYFUNCTION("""COMPUTED_VALUE"""),"pawpatrolthomas")</f>
        <v>pawpatrolthomas</v>
      </c>
      <c r="C419" s="78" t="str">
        <f>IFERROR(__xludf.DUMMYFUNCTION("""COMPUTED_VALUE"""),"https://www.munzee.com/m/PawPatrolThomas/2288/")</f>
        <v>https://www.munzee.com/m/PawPatrolThomas/2288/</v>
      </c>
      <c r="D419" s="81"/>
      <c r="E419" s="47" t="b">
        <f>IFERROR(__xludf.DUMMYFUNCTION("""COMPUTED_VALUE"""),TRUE)</f>
        <v>1</v>
      </c>
      <c r="F419" s="83" t="str">
        <f>IFERROR(__xludf.DUMMYFUNCTION("""COMPUTED_VALUE"""),"")</f>
        <v/>
      </c>
      <c r="G419" s="47" t="str">
        <f>IFERROR(__xludf.DUMMYFUNCTION("""COMPUTED_VALUE"""),"")</f>
        <v/>
      </c>
      <c r="H419" s="47"/>
      <c r="I419" s="47">
        <f>IFERROR(__xludf.DUMMYFUNCTION("""COMPUTED_VALUE"""),2.0)</f>
        <v>2</v>
      </c>
      <c r="J419" s="47" t="str">
        <f>IFERROR(__xludf.DUMMYFUNCTION("""COMPUTED_VALUE"""),"https:")</f>
        <v>https:</v>
      </c>
      <c r="K419" s="78" t="str">
        <f>IFERROR(__xludf.DUMMYFUNCTION("""COMPUTED_VALUE"""),"www.munzee.com")</f>
        <v>www.munzee.com</v>
      </c>
      <c r="L419" s="47" t="str">
        <f>IFERROR(__xludf.DUMMYFUNCTION("""COMPUTED_VALUE"""),"m")</f>
        <v>m</v>
      </c>
      <c r="M419" s="47" t="str">
        <f>IFERROR(__xludf.DUMMYFUNCTION("""COMPUTED_VALUE"""),"PawPatrolThomas")</f>
        <v>PawPatrolThomas</v>
      </c>
    </row>
    <row r="420">
      <c r="A420" s="47" t="str">
        <f>IFERROR(__xludf.DUMMYFUNCTION("""COMPUTED_VALUE"""),"Virtual Raw Sienna")</f>
        <v>Virtual Raw Sienna</v>
      </c>
      <c r="B420" s="47" t="str">
        <f>IFERROR(__xludf.DUMMYFUNCTION("""COMPUTED_VALUE"""),"emilep68")</f>
        <v>emilep68</v>
      </c>
      <c r="C420" s="78" t="str">
        <f>IFERROR(__xludf.DUMMYFUNCTION("""COMPUTED_VALUE"""),"https://www.munzee.com/m/EmileP68/2989/")</f>
        <v>https://www.munzee.com/m/EmileP68/2989/</v>
      </c>
      <c r="D420" s="82">
        <f>IFERROR(__xludf.DUMMYFUNCTION("""COMPUTED_VALUE"""),44046.0)</f>
        <v>44046</v>
      </c>
      <c r="E420" s="47" t="b">
        <f>IFERROR(__xludf.DUMMYFUNCTION("""COMPUTED_VALUE"""),TRUE)</f>
        <v>1</v>
      </c>
      <c r="F420" s="83" t="str">
        <f>IFERROR(__xludf.DUMMYFUNCTION("""COMPUTED_VALUE"""),"")</f>
        <v/>
      </c>
      <c r="G420" s="47" t="str">
        <f>IFERROR(__xludf.DUMMYFUNCTION("""COMPUTED_VALUE"""),"")</f>
        <v/>
      </c>
      <c r="H420" s="47"/>
      <c r="I420" s="47">
        <f>IFERROR(__xludf.DUMMYFUNCTION("""COMPUTED_VALUE"""),2.0)</f>
        <v>2</v>
      </c>
      <c r="J420" s="47" t="str">
        <f>IFERROR(__xludf.DUMMYFUNCTION("""COMPUTED_VALUE"""),"https:")</f>
        <v>https:</v>
      </c>
      <c r="K420" s="78" t="str">
        <f>IFERROR(__xludf.DUMMYFUNCTION("""COMPUTED_VALUE"""),"www.munzee.com")</f>
        <v>www.munzee.com</v>
      </c>
      <c r="L420" s="47" t="str">
        <f>IFERROR(__xludf.DUMMYFUNCTION("""COMPUTED_VALUE"""),"m")</f>
        <v>m</v>
      </c>
      <c r="M420" s="47" t="str">
        <f>IFERROR(__xludf.DUMMYFUNCTION("""COMPUTED_VALUE"""),"EmileP68")</f>
        <v>EmileP68</v>
      </c>
    </row>
    <row r="421">
      <c r="A421" s="47" t="str">
        <f>IFERROR(__xludf.DUMMYFUNCTION("""COMPUTED_VALUE"""),"Virtual Brown")</f>
        <v>Virtual Brown</v>
      </c>
      <c r="B421" s="47" t="str">
        <f>IFERROR(__xludf.DUMMYFUNCTION("""COMPUTED_VALUE"""),"fsafranek")</f>
        <v>fsafranek</v>
      </c>
      <c r="C421" s="78" t="str">
        <f>IFERROR(__xludf.DUMMYFUNCTION("""COMPUTED_VALUE"""),"https://www.munzee.com/m/fsafranek/4130/")</f>
        <v>https://www.munzee.com/m/fsafranek/4130/</v>
      </c>
      <c r="D421" s="47"/>
      <c r="E421" s="47" t="b">
        <f>IFERROR(__xludf.DUMMYFUNCTION("""COMPUTED_VALUE"""),TRUE)</f>
        <v>1</v>
      </c>
      <c r="F421" s="83" t="str">
        <f>IFERROR(__xludf.DUMMYFUNCTION("""COMPUTED_VALUE"""),"")</f>
        <v/>
      </c>
      <c r="G421" s="47" t="str">
        <f>IFERROR(__xludf.DUMMYFUNCTION("""COMPUTED_VALUE"""),"")</f>
        <v/>
      </c>
      <c r="H421" s="47"/>
      <c r="I421" s="47">
        <f>IFERROR(__xludf.DUMMYFUNCTION("""COMPUTED_VALUE"""),2.0)</f>
        <v>2</v>
      </c>
      <c r="J421" s="47" t="str">
        <f>IFERROR(__xludf.DUMMYFUNCTION("""COMPUTED_VALUE"""),"https:")</f>
        <v>https:</v>
      </c>
      <c r="K421" s="78" t="str">
        <f>IFERROR(__xludf.DUMMYFUNCTION("""COMPUTED_VALUE"""),"www.munzee.com")</f>
        <v>www.munzee.com</v>
      </c>
      <c r="L421" s="47" t="str">
        <f>IFERROR(__xludf.DUMMYFUNCTION("""COMPUTED_VALUE"""),"m")</f>
        <v>m</v>
      </c>
      <c r="M421" s="47" t="str">
        <f>IFERROR(__xludf.DUMMYFUNCTION("""COMPUTED_VALUE"""),"fsafranek")</f>
        <v>fsafranek</v>
      </c>
    </row>
    <row r="422">
      <c r="A422" s="47" t="str">
        <f>IFERROR(__xludf.DUMMYFUNCTION("""COMPUTED_VALUE"""),"Virtual Brown")</f>
        <v>Virtual Brown</v>
      </c>
      <c r="B422" s="47" t="str">
        <f>IFERROR(__xludf.DUMMYFUNCTION("""COMPUTED_VALUE"""),"MadDogLady")</f>
        <v>MadDogLady</v>
      </c>
      <c r="C422" s="78" t="str">
        <f>IFERROR(__xludf.DUMMYFUNCTION("""COMPUTED_VALUE"""),"https://www.munzee.com/m/MadDogLady/2236/")</f>
        <v>https://www.munzee.com/m/MadDogLady/2236/</v>
      </c>
      <c r="D422" s="47"/>
      <c r="E422" s="47" t="b">
        <f>IFERROR(__xludf.DUMMYFUNCTION("""COMPUTED_VALUE"""),TRUE)</f>
        <v>1</v>
      </c>
      <c r="F422" s="83" t="str">
        <f>IFERROR(__xludf.DUMMYFUNCTION("""COMPUTED_VALUE"""),"")</f>
        <v/>
      </c>
      <c r="G422" s="47" t="str">
        <f>IFERROR(__xludf.DUMMYFUNCTION("""COMPUTED_VALUE"""),"")</f>
        <v/>
      </c>
      <c r="H422" s="47"/>
      <c r="I422" s="47">
        <f>IFERROR(__xludf.DUMMYFUNCTION("""COMPUTED_VALUE"""),2.0)</f>
        <v>2</v>
      </c>
      <c r="J422" s="47" t="str">
        <f>IFERROR(__xludf.DUMMYFUNCTION("""COMPUTED_VALUE"""),"https:")</f>
        <v>https:</v>
      </c>
      <c r="K422" s="78" t="str">
        <f>IFERROR(__xludf.DUMMYFUNCTION("""COMPUTED_VALUE"""),"www.munzee.com")</f>
        <v>www.munzee.com</v>
      </c>
      <c r="L422" s="47" t="str">
        <f>IFERROR(__xludf.DUMMYFUNCTION("""COMPUTED_VALUE"""),"m")</f>
        <v>m</v>
      </c>
      <c r="M422" s="47" t="str">
        <f>IFERROR(__xludf.DUMMYFUNCTION("""COMPUTED_VALUE"""),"MadDogLady")</f>
        <v>MadDogLady</v>
      </c>
    </row>
    <row r="423">
      <c r="A423" s="47" t="str">
        <f>IFERROR(__xludf.DUMMYFUNCTION("""COMPUTED_VALUE"""),"Virtual Brown")</f>
        <v>Virtual Brown</v>
      </c>
      <c r="B423" s="47" t="str">
        <f>IFERROR(__xludf.DUMMYFUNCTION("""COMPUTED_VALUE"""),"Sinister")</f>
        <v>Sinister</v>
      </c>
      <c r="C423" s="78" t="str">
        <f>IFERROR(__xludf.DUMMYFUNCTION("""COMPUTED_VALUE"""),"https://www.munzee.com/m/Sinister/2259/")</f>
        <v>https://www.munzee.com/m/Sinister/2259/</v>
      </c>
      <c r="D423" s="47"/>
      <c r="E423" s="47" t="b">
        <f>IFERROR(__xludf.DUMMYFUNCTION("""COMPUTED_VALUE"""),TRUE)</f>
        <v>1</v>
      </c>
      <c r="F423" s="83" t="str">
        <f>IFERROR(__xludf.DUMMYFUNCTION("""COMPUTED_VALUE"""),"")</f>
        <v/>
      </c>
      <c r="G423" s="47" t="str">
        <f>IFERROR(__xludf.DUMMYFUNCTION("""COMPUTED_VALUE"""),"")</f>
        <v/>
      </c>
      <c r="H423" s="47"/>
      <c r="I423" s="47">
        <f>IFERROR(__xludf.DUMMYFUNCTION("""COMPUTED_VALUE"""),2.0)</f>
        <v>2</v>
      </c>
      <c r="J423" s="47" t="str">
        <f>IFERROR(__xludf.DUMMYFUNCTION("""COMPUTED_VALUE"""),"https:")</f>
        <v>https:</v>
      </c>
      <c r="K423" s="78" t="str">
        <f>IFERROR(__xludf.DUMMYFUNCTION("""COMPUTED_VALUE"""),"www.munzee.com")</f>
        <v>www.munzee.com</v>
      </c>
      <c r="L423" s="47" t="str">
        <f>IFERROR(__xludf.DUMMYFUNCTION("""COMPUTED_VALUE"""),"m")</f>
        <v>m</v>
      </c>
      <c r="M423" s="47" t="str">
        <f>IFERROR(__xludf.DUMMYFUNCTION("""COMPUTED_VALUE"""),"Sinister")</f>
        <v>Sinister</v>
      </c>
    </row>
    <row r="424">
      <c r="A424" s="47" t="str">
        <f>IFERROR(__xludf.DUMMYFUNCTION("""COMPUTED_VALUE"""),"Virtual Raw Sienna")</f>
        <v>Virtual Raw Sienna</v>
      </c>
      <c r="B424" s="47" t="str">
        <f>IFERROR(__xludf.DUMMYFUNCTION("""COMPUTED_VALUE"""),"drazoria")</f>
        <v>drazoria</v>
      </c>
      <c r="C424" s="78" t="str">
        <f>IFERROR(__xludf.DUMMYFUNCTION("""COMPUTED_VALUE"""),"https://www.munzee.com/m/Drazoria/753")</f>
        <v>https://www.munzee.com/m/Drazoria/753</v>
      </c>
      <c r="D424" s="47"/>
      <c r="E424" s="47" t="b">
        <f>IFERROR(__xludf.DUMMYFUNCTION("""COMPUTED_VALUE"""),TRUE)</f>
        <v>1</v>
      </c>
      <c r="F424" s="83" t="str">
        <f>IFERROR(__xludf.DUMMYFUNCTION("""COMPUTED_VALUE"""),"")</f>
        <v/>
      </c>
      <c r="G424" s="47" t="str">
        <f>IFERROR(__xludf.DUMMYFUNCTION("""COMPUTED_VALUE"""),"")</f>
        <v/>
      </c>
      <c r="H424" s="47"/>
      <c r="I424" s="47">
        <f>IFERROR(__xludf.DUMMYFUNCTION("""COMPUTED_VALUE"""),2.0)</f>
        <v>2</v>
      </c>
      <c r="J424" s="47" t="str">
        <f>IFERROR(__xludf.DUMMYFUNCTION("""COMPUTED_VALUE"""),"https:")</f>
        <v>https:</v>
      </c>
      <c r="K424" s="78" t="str">
        <f>IFERROR(__xludf.DUMMYFUNCTION("""COMPUTED_VALUE"""),"www.munzee.com")</f>
        <v>www.munzee.com</v>
      </c>
      <c r="L424" s="47" t="str">
        <f>IFERROR(__xludf.DUMMYFUNCTION("""COMPUTED_VALUE"""),"m")</f>
        <v>m</v>
      </c>
      <c r="M424" s="47" t="str">
        <f>IFERROR(__xludf.DUMMYFUNCTION("""COMPUTED_VALUE"""),"Drazoria")</f>
        <v>Drazoria</v>
      </c>
    </row>
    <row r="425">
      <c r="A425" s="47" t="str">
        <f>IFERROR(__xludf.DUMMYFUNCTION("""COMPUTED_VALUE"""),"Virtual Brown")</f>
        <v>Virtual Brown</v>
      </c>
      <c r="B425" s="47" t="str">
        <f>IFERROR(__xludf.DUMMYFUNCTION("""COMPUTED_VALUE"""),"tinake1309")</f>
        <v>tinake1309</v>
      </c>
      <c r="C425" s="78" t="str">
        <f>IFERROR(__xludf.DUMMYFUNCTION("""COMPUTED_VALUE"""),"https://www.munzee.com/m/Tinake1309/750")</f>
        <v>https://www.munzee.com/m/Tinake1309/750</v>
      </c>
      <c r="D425" s="47"/>
      <c r="E425" s="47" t="b">
        <f>IFERROR(__xludf.DUMMYFUNCTION("""COMPUTED_VALUE"""),TRUE)</f>
        <v>1</v>
      </c>
      <c r="F425" s="83" t="str">
        <f>IFERROR(__xludf.DUMMYFUNCTION("""COMPUTED_VALUE"""),"")</f>
        <v/>
      </c>
      <c r="G425" s="47" t="str">
        <f>IFERROR(__xludf.DUMMYFUNCTION("""COMPUTED_VALUE"""),"")</f>
        <v/>
      </c>
      <c r="H425" s="47"/>
      <c r="I425" s="47">
        <f>IFERROR(__xludf.DUMMYFUNCTION("""COMPUTED_VALUE"""),2.0)</f>
        <v>2</v>
      </c>
      <c r="J425" s="47" t="str">
        <f>IFERROR(__xludf.DUMMYFUNCTION("""COMPUTED_VALUE"""),"https:")</f>
        <v>https:</v>
      </c>
      <c r="K425" s="78" t="str">
        <f>IFERROR(__xludf.DUMMYFUNCTION("""COMPUTED_VALUE"""),"www.munzee.com")</f>
        <v>www.munzee.com</v>
      </c>
      <c r="L425" s="47" t="str">
        <f>IFERROR(__xludf.DUMMYFUNCTION("""COMPUTED_VALUE"""),"m")</f>
        <v>m</v>
      </c>
      <c r="M425" s="47" t="str">
        <f>IFERROR(__xludf.DUMMYFUNCTION("""COMPUTED_VALUE"""),"Tinake1309")</f>
        <v>Tinake1309</v>
      </c>
    </row>
    <row r="426">
      <c r="A426" s="47" t="str">
        <f>IFERROR(__xludf.DUMMYFUNCTION("""COMPUTED_VALUE"""),"Virtual Brown")</f>
        <v>Virtual Brown</v>
      </c>
      <c r="B426" s="47" t="str">
        <f>IFERROR(__xludf.DUMMYFUNCTION("""COMPUTED_VALUE"""),"berg14")</f>
        <v>berg14</v>
      </c>
      <c r="C426" s="78" t="str">
        <f>IFERROR(__xludf.DUMMYFUNCTION("""COMPUTED_VALUE"""),"https://www.munzee.com/m/Berg14/579/")</f>
        <v>https://www.munzee.com/m/Berg14/579/</v>
      </c>
      <c r="D426" s="47"/>
      <c r="E426" s="47" t="b">
        <f>IFERROR(__xludf.DUMMYFUNCTION("""COMPUTED_VALUE"""),TRUE)</f>
        <v>1</v>
      </c>
      <c r="F426" s="83" t="str">
        <f>IFERROR(__xludf.DUMMYFUNCTION("""COMPUTED_VALUE"""),"")</f>
        <v/>
      </c>
      <c r="G426" s="47" t="str">
        <f>IFERROR(__xludf.DUMMYFUNCTION("""COMPUTED_VALUE"""),"")</f>
        <v/>
      </c>
      <c r="H426" s="47"/>
      <c r="I426" s="47">
        <f>IFERROR(__xludf.DUMMYFUNCTION("""COMPUTED_VALUE"""),2.0)</f>
        <v>2</v>
      </c>
      <c r="J426" s="47" t="str">
        <f>IFERROR(__xludf.DUMMYFUNCTION("""COMPUTED_VALUE"""),"https:")</f>
        <v>https:</v>
      </c>
      <c r="K426" s="78" t="str">
        <f>IFERROR(__xludf.DUMMYFUNCTION("""COMPUTED_VALUE"""),"www.munzee.com")</f>
        <v>www.munzee.com</v>
      </c>
      <c r="L426" s="47" t="str">
        <f>IFERROR(__xludf.DUMMYFUNCTION("""COMPUTED_VALUE"""),"m")</f>
        <v>m</v>
      </c>
      <c r="M426" s="47" t="str">
        <f>IFERROR(__xludf.DUMMYFUNCTION("""COMPUTED_VALUE"""),"Berg14")</f>
        <v>Berg14</v>
      </c>
    </row>
    <row r="427">
      <c r="A427" s="47" t="str">
        <f>IFERROR(__xludf.DUMMYFUNCTION("""COMPUTED_VALUE"""),"Virtual Brown")</f>
        <v>Virtual Brown</v>
      </c>
      <c r="B427" s="47" t="str">
        <f>IFERROR(__xludf.DUMMYFUNCTION("""COMPUTED_VALUE"""),"niks13")</f>
        <v>niks13</v>
      </c>
      <c r="C427" s="78" t="str">
        <f>IFERROR(__xludf.DUMMYFUNCTION("""COMPUTED_VALUE"""),"https://www.munzee.com/m/Niks13/555/")</f>
        <v>https://www.munzee.com/m/Niks13/555/</v>
      </c>
      <c r="D427" s="47"/>
      <c r="E427" s="47" t="b">
        <f>IFERROR(__xludf.DUMMYFUNCTION("""COMPUTED_VALUE"""),TRUE)</f>
        <v>1</v>
      </c>
      <c r="F427" s="83" t="str">
        <f>IFERROR(__xludf.DUMMYFUNCTION("""COMPUTED_VALUE"""),"")</f>
        <v/>
      </c>
      <c r="G427" s="47" t="str">
        <f>IFERROR(__xludf.DUMMYFUNCTION("""COMPUTED_VALUE"""),"")</f>
        <v/>
      </c>
      <c r="H427" s="47"/>
      <c r="I427" s="47">
        <f>IFERROR(__xludf.DUMMYFUNCTION("""COMPUTED_VALUE"""),2.0)</f>
        <v>2</v>
      </c>
      <c r="J427" s="47" t="str">
        <f>IFERROR(__xludf.DUMMYFUNCTION("""COMPUTED_VALUE"""),"https:")</f>
        <v>https:</v>
      </c>
      <c r="K427" s="78" t="str">
        <f>IFERROR(__xludf.DUMMYFUNCTION("""COMPUTED_VALUE"""),"www.munzee.com")</f>
        <v>www.munzee.com</v>
      </c>
      <c r="L427" s="47" t="str">
        <f>IFERROR(__xludf.DUMMYFUNCTION("""COMPUTED_VALUE"""),"m")</f>
        <v>m</v>
      </c>
      <c r="M427" s="47" t="str">
        <f>IFERROR(__xludf.DUMMYFUNCTION("""COMPUTED_VALUE"""),"Niks13")</f>
        <v>Niks13</v>
      </c>
    </row>
    <row r="428">
      <c r="A428" s="47" t="str">
        <f>IFERROR(__xludf.DUMMYFUNCTION("""COMPUTED_VALUE"""),"Virtual Brown")</f>
        <v>Virtual Brown</v>
      </c>
      <c r="B428" s="47" t="str">
        <f>IFERROR(__xludf.DUMMYFUNCTION("""COMPUTED_VALUE"""),"babyw")</f>
        <v>babyw</v>
      </c>
      <c r="C428" s="78" t="str">
        <f>IFERROR(__xludf.DUMMYFUNCTION("""COMPUTED_VALUE"""),"https://www.munzee.com/m/babyw/3105/")</f>
        <v>https://www.munzee.com/m/babyw/3105/</v>
      </c>
      <c r="D428" s="47"/>
      <c r="E428" s="47" t="b">
        <f>IFERROR(__xludf.DUMMYFUNCTION("""COMPUTED_VALUE"""),TRUE)</f>
        <v>1</v>
      </c>
      <c r="F428" s="83" t="str">
        <f>IFERROR(__xludf.DUMMYFUNCTION("""COMPUTED_VALUE"""),"")</f>
        <v/>
      </c>
      <c r="G428" s="47" t="str">
        <f>IFERROR(__xludf.DUMMYFUNCTION("""COMPUTED_VALUE"""),"")</f>
        <v/>
      </c>
      <c r="H428" s="47"/>
      <c r="I428" s="47">
        <f>IFERROR(__xludf.DUMMYFUNCTION("""COMPUTED_VALUE"""),2.0)</f>
        <v>2</v>
      </c>
      <c r="J428" s="47" t="str">
        <f>IFERROR(__xludf.DUMMYFUNCTION("""COMPUTED_VALUE"""),"https:")</f>
        <v>https:</v>
      </c>
      <c r="K428" s="78" t="str">
        <f>IFERROR(__xludf.DUMMYFUNCTION("""COMPUTED_VALUE"""),"www.munzee.com")</f>
        <v>www.munzee.com</v>
      </c>
      <c r="L428" s="47" t="str">
        <f>IFERROR(__xludf.DUMMYFUNCTION("""COMPUTED_VALUE"""),"m")</f>
        <v>m</v>
      </c>
      <c r="M428" s="47" t="str">
        <f>IFERROR(__xludf.DUMMYFUNCTION("""COMPUTED_VALUE"""),"babyw")</f>
        <v>babyw</v>
      </c>
    </row>
    <row r="429">
      <c r="A429" s="47" t="str">
        <f>IFERROR(__xludf.DUMMYFUNCTION("""COMPUTED_VALUE"""),"Virtual Brown")</f>
        <v>Virtual Brown</v>
      </c>
      <c r="B429" s="47" t="str">
        <f>IFERROR(__xludf.DUMMYFUNCTION("""COMPUTED_VALUE"""),"lison55")</f>
        <v>lison55</v>
      </c>
      <c r="C429" s="78" t="str">
        <f>IFERROR(__xludf.DUMMYFUNCTION("""COMPUTED_VALUE"""),"https://www.munzee.com/m/lison55/5344/")</f>
        <v>https://www.munzee.com/m/lison55/5344/</v>
      </c>
      <c r="D429" s="47"/>
      <c r="E429" s="47" t="b">
        <f>IFERROR(__xludf.DUMMYFUNCTION("""COMPUTED_VALUE"""),TRUE)</f>
        <v>1</v>
      </c>
      <c r="F429" s="83" t="str">
        <f>IFERROR(__xludf.DUMMYFUNCTION("""COMPUTED_VALUE"""),"")</f>
        <v/>
      </c>
      <c r="G429" s="47" t="str">
        <f>IFERROR(__xludf.DUMMYFUNCTION("""COMPUTED_VALUE"""),"")</f>
        <v/>
      </c>
      <c r="H429" s="47"/>
      <c r="I429" s="47">
        <f>IFERROR(__xludf.DUMMYFUNCTION("""COMPUTED_VALUE"""),2.0)</f>
        <v>2</v>
      </c>
      <c r="J429" s="47" t="str">
        <f>IFERROR(__xludf.DUMMYFUNCTION("""COMPUTED_VALUE"""),"https:")</f>
        <v>https:</v>
      </c>
      <c r="K429" s="78" t="str">
        <f>IFERROR(__xludf.DUMMYFUNCTION("""COMPUTED_VALUE"""),"www.munzee.com")</f>
        <v>www.munzee.com</v>
      </c>
      <c r="L429" s="47" t="str">
        <f>IFERROR(__xludf.DUMMYFUNCTION("""COMPUTED_VALUE"""),"m")</f>
        <v>m</v>
      </c>
      <c r="M429" s="47" t="str">
        <f>IFERROR(__xludf.DUMMYFUNCTION("""COMPUTED_VALUE"""),"lison55")</f>
        <v>lison55</v>
      </c>
    </row>
    <row r="430">
      <c r="A430" s="47" t="str">
        <f>IFERROR(__xludf.DUMMYFUNCTION("""COMPUTED_VALUE"""),"Virtual Brown")</f>
        <v>Virtual Brown</v>
      </c>
      <c r="B430" s="47" t="str">
        <f>IFERROR(__xludf.DUMMYFUNCTION("""COMPUTED_VALUE"""),"J1Huisman")</f>
        <v>J1Huisman</v>
      </c>
      <c r="C430" s="78" t="str">
        <f>IFERROR(__xludf.DUMMYFUNCTION("""COMPUTED_VALUE"""),"https://www.munzee.com/m/J1Huisman/11301/")</f>
        <v>https://www.munzee.com/m/J1Huisman/11301/</v>
      </c>
      <c r="D430" s="47"/>
      <c r="E430" s="47" t="b">
        <f>IFERROR(__xludf.DUMMYFUNCTION("""COMPUTED_VALUE"""),TRUE)</f>
        <v>1</v>
      </c>
      <c r="F430" s="83" t="str">
        <f>IFERROR(__xludf.DUMMYFUNCTION("""COMPUTED_VALUE"""),"")</f>
        <v/>
      </c>
      <c r="G430" s="47" t="str">
        <f>IFERROR(__xludf.DUMMYFUNCTION("""COMPUTED_VALUE"""),"")</f>
        <v/>
      </c>
      <c r="H430" s="47"/>
      <c r="I430" s="47">
        <f>IFERROR(__xludf.DUMMYFUNCTION("""COMPUTED_VALUE"""),2.0)</f>
        <v>2</v>
      </c>
      <c r="J430" s="47" t="str">
        <f>IFERROR(__xludf.DUMMYFUNCTION("""COMPUTED_VALUE"""),"https:")</f>
        <v>https:</v>
      </c>
      <c r="K430" s="78" t="str">
        <f>IFERROR(__xludf.DUMMYFUNCTION("""COMPUTED_VALUE"""),"www.munzee.com")</f>
        <v>www.munzee.com</v>
      </c>
      <c r="L430" s="47" t="str">
        <f>IFERROR(__xludf.DUMMYFUNCTION("""COMPUTED_VALUE"""),"m")</f>
        <v>m</v>
      </c>
      <c r="M430" s="47" t="str">
        <f>IFERROR(__xludf.DUMMYFUNCTION("""COMPUTED_VALUE"""),"J1Huisman")</f>
        <v>J1Huisman</v>
      </c>
    </row>
    <row r="431">
      <c r="A431" s="47" t="str">
        <f>IFERROR(__xludf.DUMMYFUNCTION("""COMPUTED_VALUE"""),"Virtual Brown")</f>
        <v>Virtual Brown</v>
      </c>
      <c r="B431" s="47" t="str">
        <f>IFERROR(__xludf.DUMMYFUNCTION("""COMPUTED_VALUE"""),"Pinkeltje")</f>
        <v>Pinkeltje</v>
      </c>
      <c r="C431" s="78" t="str">
        <f>IFERROR(__xludf.DUMMYFUNCTION("""COMPUTED_VALUE"""),"https://www.munzee.com/m/Pinkeltje/1209/")</f>
        <v>https://www.munzee.com/m/Pinkeltje/1209/</v>
      </c>
      <c r="D431" s="47"/>
      <c r="E431" s="47" t="b">
        <f>IFERROR(__xludf.DUMMYFUNCTION("""COMPUTED_VALUE"""),TRUE)</f>
        <v>1</v>
      </c>
      <c r="F431" s="83" t="str">
        <f>IFERROR(__xludf.DUMMYFUNCTION("""COMPUTED_VALUE"""),"")</f>
        <v/>
      </c>
      <c r="G431" s="47" t="str">
        <f>IFERROR(__xludf.DUMMYFUNCTION("""COMPUTED_VALUE"""),"")</f>
        <v/>
      </c>
      <c r="H431" s="47"/>
      <c r="I431" s="47">
        <f>IFERROR(__xludf.DUMMYFUNCTION("""COMPUTED_VALUE"""),2.0)</f>
        <v>2</v>
      </c>
      <c r="J431" s="47" t="str">
        <f>IFERROR(__xludf.DUMMYFUNCTION("""COMPUTED_VALUE"""),"https:")</f>
        <v>https:</v>
      </c>
      <c r="K431" s="78" t="str">
        <f>IFERROR(__xludf.DUMMYFUNCTION("""COMPUTED_VALUE"""),"www.munzee.com")</f>
        <v>www.munzee.com</v>
      </c>
      <c r="L431" s="47" t="str">
        <f>IFERROR(__xludf.DUMMYFUNCTION("""COMPUTED_VALUE"""),"m")</f>
        <v>m</v>
      </c>
      <c r="M431" s="47" t="str">
        <f>IFERROR(__xludf.DUMMYFUNCTION("""COMPUTED_VALUE"""),"Pinkeltje")</f>
        <v>Pinkeltje</v>
      </c>
    </row>
    <row r="432">
      <c r="A432" s="47" t="str">
        <f>IFERROR(__xludf.DUMMYFUNCTION("""COMPUTED_VALUE"""),"Virtual Brown")</f>
        <v>Virtual Brown</v>
      </c>
      <c r="B432" s="47" t="str">
        <f>IFERROR(__xludf.DUMMYFUNCTION("""COMPUTED_VALUE"""),"FromTheTardis")</f>
        <v>FromTheTardis</v>
      </c>
      <c r="C432" s="78" t="str">
        <f>IFERROR(__xludf.DUMMYFUNCTION("""COMPUTED_VALUE"""),"https://www.munzee.com/m/FromTheTardis/1386/")</f>
        <v>https://www.munzee.com/m/FromTheTardis/1386/</v>
      </c>
      <c r="D432" s="47"/>
      <c r="E432" s="47" t="b">
        <f>IFERROR(__xludf.DUMMYFUNCTION("""COMPUTED_VALUE"""),TRUE)</f>
        <v>1</v>
      </c>
      <c r="F432" s="83" t="str">
        <f>IFERROR(__xludf.DUMMYFUNCTION("""COMPUTED_VALUE"""),"")</f>
        <v/>
      </c>
      <c r="G432" s="47" t="str">
        <f>IFERROR(__xludf.DUMMYFUNCTION("""COMPUTED_VALUE"""),"")</f>
        <v/>
      </c>
      <c r="H432" s="47"/>
      <c r="I432" s="47">
        <f>IFERROR(__xludf.DUMMYFUNCTION("""COMPUTED_VALUE"""),2.0)</f>
        <v>2</v>
      </c>
      <c r="J432" s="47" t="str">
        <f>IFERROR(__xludf.DUMMYFUNCTION("""COMPUTED_VALUE"""),"https:")</f>
        <v>https:</v>
      </c>
      <c r="K432" s="78" t="str">
        <f>IFERROR(__xludf.DUMMYFUNCTION("""COMPUTED_VALUE"""),"www.munzee.com")</f>
        <v>www.munzee.com</v>
      </c>
      <c r="L432" s="47" t="str">
        <f>IFERROR(__xludf.DUMMYFUNCTION("""COMPUTED_VALUE"""),"m")</f>
        <v>m</v>
      </c>
      <c r="M432" s="47" t="str">
        <f>IFERROR(__xludf.DUMMYFUNCTION("""COMPUTED_VALUE"""),"FromTheTardis")</f>
        <v>FromTheTardis</v>
      </c>
    </row>
    <row r="433">
      <c r="A433" s="47" t="str">
        <f>IFERROR(__xludf.DUMMYFUNCTION("""COMPUTED_VALUE"""),"Virtual Brown")</f>
        <v>Virtual Brown</v>
      </c>
      <c r="B433" s="47" t="str">
        <f>IFERROR(__xludf.DUMMYFUNCTION("""COMPUTED_VALUE"""),"lanyasummer")</f>
        <v>lanyasummer</v>
      </c>
      <c r="C433" s="78" t="str">
        <f>IFERROR(__xludf.DUMMYFUNCTION("""COMPUTED_VALUE"""),"https://www.munzee.com/m/Lanyasummer/4385/")</f>
        <v>https://www.munzee.com/m/Lanyasummer/4385/</v>
      </c>
      <c r="D433" s="47"/>
      <c r="E433" s="47" t="b">
        <f>IFERROR(__xludf.DUMMYFUNCTION("""COMPUTED_VALUE"""),TRUE)</f>
        <v>1</v>
      </c>
      <c r="F433" s="83" t="str">
        <f>IFERROR(__xludf.DUMMYFUNCTION("""COMPUTED_VALUE"""),"")</f>
        <v/>
      </c>
      <c r="G433" s="47" t="str">
        <f>IFERROR(__xludf.DUMMYFUNCTION("""COMPUTED_VALUE"""),"")</f>
        <v/>
      </c>
      <c r="H433" s="47"/>
      <c r="I433" s="47">
        <f>IFERROR(__xludf.DUMMYFUNCTION("""COMPUTED_VALUE"""),2.0)</f>
        <v>2</v>
      </c>
      <c r="J433" s="47" t="str">
        <f>IFERROR(__xludf.DUMMYFUNCTION("""COMPUTED_VALUE"""),"https:")</f>
        <v>https:</v>
      </c>
      <c r="K433" s="78" t="str">
        <f>IFERROR(__xludf.DUMMYFUNCTION("""COMPUTED_VALUE"""),"www.munzee.com")</f>
        <v>www.munzee.com</v>
      </c>
      <c r="L433" s="47" t="str">
        <f>IFERROR(__xludf.DUMMYFUNCTION("""COMPUTED_VALUE"""),"m")</f>
        <v>m</v>
      </c>
      <c r="M433" s="47" t="str">
        <f>IFERROR(__xludf.DUMMYFUNCTION("""COMPUTED_VALUE"""),"Lanyasummer")</f>
        <v>Lanyasummer</v>
      </c>
    </row>
    <row r="434">
      <c r="A434" s="47" t="str">
        <f>IFERROR(__xludf.DUMMYFUNCTION("""COMPUTED_VALUE"""),"Virtual Brown")</f>
        <v>Virtual Brown</v>
      </c>
      <c r="B434" s="47" t="str">
        <f>IFERROR(__xludf.DUMMYFUNCTION("""COMPUTED_VALUE"""),"xrayneex")</f>
        <v>xrayneex</v>
      </c>
      <c r="C434" s="78" t="str">
        <f>IFERROR(__xludf.DUMMYFUNCTION("""COMPUTED_VALUE"""),"https://www.munzee.com/m/xrayneex/1414/")</f>
        <v>https://www.munzee.com/m/xrayneex/1414/</v>
      </c>
      <c r="D434" s="47"/>
      <c r="E434" s="47" t="b">
        <f>IFERROR(__xludf.DUMMYFUNCTION("""COMPUTED_VALUE"""),TRUE)</f>
        <v>1</v>
      </c>
      <c r="F434" s="83" t="str">
        <f>IFERROR(__xludf.DUMMYFUNCTION("""COMPUTED_VALUE"""),"")</f>
        <v/>
      </c>
      <c r="G434" s="47" t="str">
        <f>IFERROR(__xludf.DUMMYFUNCTION("""COMPUTED_VALUE"""),"")</f>
        <v/>
      </c>
      <c r="H434" s="47"/>
      <c r="I434" s="47">
        <f>IFERROR(__xludf.DUMMYFUNCTION("""COMPUTED_VALUE"""),2.0)</f>
        <v>2</v>
      </c>
      <c r="J434" s="47" t="str">
        <f>IFERROR(__xludf.DUMMYFUNCTION("""COMPUTED_VALUE"""),"https:")</f>
        <v>https:</v>
      </c>
      <c r="K434" s="78" t="str">
        <f>IFERROR(__xludf.DUMMYFUNCTION("""COMPUTED_VALUE"""),"www.munzee.com")</f>
        <v>www.munzee.com</v>
      </c>
      <c r="L434" s="47" t="str">
        <f>IFERROR(__xludf.DUMMYFUNCTION("""COMPUTED_VALUE"""),"m")</f>
        <v>m</v>
      </c>
      <c r="M434" s="47" t="str">
        <f>IFERROR(__xludf.DUMMYFUNCTION("""COMPUTED_VALUE"""),"xrayneex")</f>
        <v>xrayneex</v>
      </c>
    </row>
    <row r="435">
      <c r="A435" s="47" t="str">
        <f>IFERROR(__xludf.DUMMYFUNCTION("""COMPUTED_VALUE"""),"Virtual Brown")</f>
        <v>Virtual Brown</v>
      </c>
      <c r="B435" s="47" t="str">
        <f>IFERROR(__xludf.DUMMYFUNCTION("""COMPUTED_VALUE"""),"jacksparrow")</f>
        <v>jacksparrow</v>
      </c>
      <c r="C435" s="78" t="str">
        <f>IFERROR(__xludf.DUMMYFUNCTION("""COMPUTED_VALUE"""),"https://www.munzee.com/m/JackSparrow/19747")</f>
        <v>https://www.munzee.com/m/JackSparrow/19747</v>
      </c>
      <c r="D435" s="47"/>
      <c r="E435" s="47" t="b">
        <f>IFERROR(__xludf.DUMMYFUNCTION("""COMPUTED_VALUE"""),TRUE)</f>
        <v>1</v>
      </c>
      <c r="F435" s="83" t="str">
        <f>IFERROR(__xludf.DUMMYFUNCTION("""COMPUTED_VALUE"""),"")</f>
        <v/>
      </c>
      <c r="G435" s="47" t="str">
        <f>IFERROR(__xludf.DUMMYFUNCTION("""COMPUTED_VALUE"""),"")</f>
        <v/>
      </c>
      <c r="H435" s="47"/>
      <c r="I435" s="47">
        <f>IFERROR(__xludf.DUMMYFUNCTION("""COMPUTED_VALUE"""),2.0)</f>
        <v>2</v>
      </c>
      <c r="J435" s="47" t="str">
        <f>IFERROR(__xludf.DUMMYFUNCTION("""COMPUTED_VALUE"""),"https:")</f>
        <v>https:</v>
      </c>
      <c r="K435" s="78" t="str">
        <f>IFERROR(__xludf.DUMMYFUNCTION("""COMPUTED_VALUE"""),"www.munzee.com")</f>
        <v>www.munzee.com</v>
      </c>
      <c r="L435" s="47" t="str">
        <f>IFERROR(__xludf.DUMMYFUNCTION("""COMPUTED_VALUE"""),"m")</f>
        <v>m</v>
      </c>
      <c r="M435" s="47" t="str">
        <f>IFERROR(__xludf.DUMMYFUNCTION("""COMPUTED_VALUE"""),"JackSparrow")</f>
        <v>JackSparrow</v>
      </c>
    </row>
    <row r="436">
      <c r="A436" s="47" t="str">
        <f>IFERROR(__xludf.DUMMYFUNCTION("""COMPUTED_VALUE"""),"Virtual Raw Sienna")</f>
        <v>Virtual Raw Sienna</v>
      </c>
      <c r="B436" s="47" t="str">
        <f>IFERROR(__xludf.DUMMYFUNCTION("""COMPUTED_VALUE"""),"IggiePiggie")</f>
        <v>IggiePiggie</v>
      </c>
      <c r="C436" s="78" t="str">
        <f>IFERROR(__xludf.DUMMYFUNCTION("""COMPUTED_VALUE"""),"https://www.munzee.com/m/IggiePiggie/1858/")</f>
        <v>https://www.munzee.com/m/IggiePiggie/1858/</v>
      </c>
      <c r="D436" s="47"/>
      <c r="E436" s="47" t="b">
        <f>IFERROR(__xludf.DUMMYFUNCTION("""COMPUTED_VALUE"""),TRUE)</f>
        <v>1</v>
      </c>
      <c r="F436" s="83" t="str">
        <f>IFERROR(__xludf.DUMMYFUNCTION("""COMPUTED_VALUE"""),"")</f>
        <v/>
      </c>
      <c r="G436" s="47" t="str">
        <f>IFERROR(__xludf.DUMMYFUNCTION("""COMPUTED_VALUE"""),"")</f>
        <v/>
      </c>
      <c r="H436" s="47"/>
      <c r="I436" s="47">
        <f>IFERROR(__xludf.DUMMYFUNCTION("""COMPUTED_VALUE"""),2.0)</f>
        <v>2</v>
      </c>
      <c r="J436" s="47" t="str">
        <f>IFERROR(__xludf.DUMMYFUNCTION("""COMPUTED_VALUE"""),"https:")</f>
        <v>https:</v>
      </c>
      <c r="K436" s="78" t="str">
        <f>IFERROR(__xludf.DUMMYFUNCTION("""COMPUTED_VALUE"""),"www.munzee.com")</f>
        <v>www.munzee.com</v>
      </c>
      <c r="L436" s="47" t="str">
        <f>IFERROR(__xludf.DUMMYFUNCTION("""COMPUTED_VALUE"""),"m")</f>
        <v>m</v>
      </c>
      <c r="M436" s="47" t="str">
        <f>IFERROR(__xludf.DUMMYFUNCTION("""COMPUTED_VALUE"""),"IggiePiggie")</f>
        <v>IggiePiggie</v>
      </c>
    </row>
    <row r="437">
      <c r="A437" s="47" t="str">
        <f>IFERROR(__xludf.DUMMYFUNCTION("""COMPUTED_VALUE"""),"Virtual Brown")</f>
        <v>Virtual Brown</v>
      </c>
      <c r="B437" s="47" t="str">
        <f>IFERROR(__xludf.DUMMYFUNCTION("""COMPUTED_VALUE"""),"upapou")</f>
        <v>upapou</v>
      </c>
      <c r="C437" s="78" t="str">
        <f>IFERROR(__xludf.DUMMYFUNCTION("""COMPUTED_VALUE"""),"https://www.munzee.com/m/upapou/987/")</f>
        <v>https://www.munzee.com/m/upapou/987/</v>
      </c>
      <c r="D437" s="47"/>
      <c r="E437" s="47" t="b">
        <f>IFERROR(__xludf.DUMMYFUNCTION("""COMPUTED_VALUE"""),TRUE)</f>
        <v>1</v>
      </c>
      <c r="F437" s="83" t="str">
        <f>IFERROR(__xludf.DUMMYFUNCTION("""COMPUTED_VALUE"""),"")</f>
        <v/>
      </c>
      <c r="G437" s="47" t="str">
        <f>IFERROR(__xludf.DUMMYFUNCTION("""COMPUTED_VALUE"""),"")</f>
        <v/>
      </c>
      <c r="H437" s="47"/>
      <c r="I437" s="47">
        <f>IFERROR(__xludf.DUMMYFUNCTION("""COMPUTED_VALUE"""),2.0)</f>
        <v>2</v>
      </c>
      <c r="J437" s="47" t="str">
        <f>IFERROR(__xludf.DUMMYFUNCTION("""COMPUTED_VALUE"""),"https:")</f>
        <v>https:</v>
      </c>
      <c r="K437" s="78" t="str">
        <f>IFERROR(__xludf.DUMMYFUNCTION("""COMPUTED_VALUE"""),"www.munzee.com")</f>
        <v>www.munzee.com</v>
      </c>
      <c r="L437" s="47" t="str">
        <f>IFERROR(__xludf.DUMMYFUNCTION("""COMPUTED_VALUE"""),"m")</f>
        <v>m</v>
      </c>
      <c r="M437" s="47" t="str">
        <f>IFERROR(__xludf.DUMMYFUNCTION("""COMPUTED_VALUE"""),"upapou")</f>
        <v>upapou</v>
      </c>
    </row>
    <row r="438">
      <c r="A438" s="47" t="str">
        <f>IFERROR(__xludf.DUMMYFUNCTION("""COMPUTED_VALUE"""),"Virtual Brown")</f>
        <v>Virtual Brown</v>
      </c>
      <c r="B438" s="47" t="str">
        <f>IFERROR(__xludf.DUMMYFUNCTION("""COMPUTED_VALUE"""),"TheFatCats")</f>
        <v>TheFatCats</v>
      </c>
      <c r="C438" s="78" t="str">
        <f>IFERROR(__xludf.DUMMYFUNCTION("""COMPUTED_VALUE"""),"https://www.munzee.com/m/TheFatCats/3562/")</f>
        <v>https://www.munzee.com/m/TheFatCats/3562/</v>
      </c>
      <c r="D438" s="47"/>
      <c r="E438" s="47" t="b">
        <f>IFERROR(__xludf.DUMMYFUNCTION("""COMPUTED_VALUE"""),TRUE)</f>
        <v>1</v>
      </c>
      <c r="F438" s="83" t="str">
        <f>IFERROR(__xludf.DUMMYFUNCTION("""COMPUTED_VALUE"""),"")</f>
        <v/>
      </c>
      <c r="G438" s="47" t="str">
        <f>IFERROR(__xludf.DUMMYFUNCTION("""COMPUTED_VALUE"""),"")</f>
        <v/>
      </c>
      <c r="H438" s="47"/>
      <c r="I438" s="47">
        <f>IFERROR(__xludf.DUMMYFUNCTION("""COMPUTED_VALUE"""),2.0)</f>
        <v>2</v>
      </c>
      <c r="J438" s="47" t="str">
        <f>IFERROR(__xludf.DUMMYFUNCTION("""COMPUTED_VALUE"""),"https:")</f>
        <v>https:</v>
      </c>
      <c r="K438" s="78" t="str">
        <f>IFERROR(__xludf.DUMMYFUNCTION("""COMPUTED_VALUE"""),"www.munzee.com")</f>
        <v>www.munzee.com</v>
      </c>
      <c r="L438" s="47" t="str">
        <f>IFERROR(__xludf.DUMMYFUNCTION("""COMPUTED_VALUE"""),"m")</f>
        <v>m</v>
      </c>
      <c r="M438" s="47" t="str">
        <f>IFERROR(__xludf.DUMMYFUNCTION("""COMPUTED_VALUE"""),"TheFatCats")</f>
        <v>TheFatCats</v>
      </c>
    </row>
    <row r="439">
      <c r="A439" s="47" t="str">
        <f>IFERROR(__xludf.DUMMYFUNCTION("""COMPUTED_VALUE"""),"Virtual Brown")</f>
        <v>Virtual Brown</v>
      </c>
      <c r="B439" s="47" t="str">
        <f>IFERROR(__xludf.DUMMYFUNCTION("""COMPUTED_VALUE"""),"123xilef")</f>
        <v>123xilef</v>
      </c>
      <c r="C439" s="78" t="str">
        <f>IFERROR(__xludf.DUMMYFUNCTION("""COMPUTED_VALUE"""),"https://www.munzee.com/m/123xilef/6918/")</f>
        <v>https://www.munzee.com/m/123xilef/6918/</v>
      </c>
      <c r="D439" s="47"/>
      <c r="E439" s="47" t="b">
        <f>IFERROR(__xludf.DUMMYFUNCTION("""COMPUTED_VALUE"""),TRUE)</f>
        <v>1</v>
      </c>
      <c r="F439" s="83" t="str">
        <f>IFERROR(__xludf.DUMMYFUNCTION("""COMPUTED_VALUE"""),"")</f>
        <v/>
      </c>
      <c r="G439" s="47" t="str">
        <f>IFERROR(__xludf.DUMMYFUNCTION("""COMPUTED_VALUE"""),"")</f>
        <v/>
      </c>
      <c r="H439" s="47"/>
      <c r="I439" s="47">
        <f>IFERROR(__xludf.DUMMYFUNCTION("""COMPUTED_VALUE"""),2.0)</f>
        <v>2</v>
      </c>
      <c r="J439" s="47" t="str">
        <f>IFERROR(__xludf.DUMMYFUNCTION("""COMPUTED_VALUE"""),"https:")</f>
        <v>https:</v>
      </c>
      <c r="K439" s="78" t="str">
        <f>IFERROR(__xludf.DUMMYFUNCTION("""COMPUTED_VALUE"""),"www.munzee.com")</f>
        <v>www.munzee.com</v>
      </c>
      <c r="L439" s="47" t="str">
        <f>IFERROR(__xludf.DUMMYFUNCTION("""COMPUTED_VALUE"""),"m")</f>
        <v>m</v>
      </c>
      <c r="M439" s="47" t="str">
        <f>IFERROR(__xludf.DUMMYFUNCTION("""COMPUTED_VALUE"""),"123xilef")</f>
        <v>123xilef</v>
      </c>
    </row>
    <row r="440">
      <c r="A440" s="47" t="str">
        <f>IFERROR(__xludf.DUMMYFUNCTION("""COMPUTED_VALUE"""),"Virtual Raw Sienna")</f>
        <v>Virtual Raw Sienna</v>
      </c>
      <c r="B440" s="47" t="str">
        <f>IFERROR(__xludf.DUMMYFUNCTION("""COMPUTED_VALUE"""),"Aniara")</f>
        <v>Aniara</v>
      </c>
      <c r="C440" s="78" t="str">
        <f>IFERROR(__xludf.DUMMYFUNCTION("""COMPUTED_VALUE"""),"https://www.munzee.com/m/Aniara/6614/")</f>
        <v>https://www.munzee.com/m/Aniara/6614/</v>
      </c>
      <c r="D440" s="84">
        <f>IFERROR(__xludf.DUMMYFUNCTION("""COMPUTED_VALUE"""),43959.0)</f>
        <v>43959</v>
      </c>
      <c r="E440" s="47" t="b">
        <f>IFERROR(__xludf.DUMMYFUNCTION("""COMPUTED_VALUE"""),TRUE)</f>
        <v>1</v>
      </c>
      <c r="F440" s="83" t="str">
        <f>IFERROR(__xludf.DUMMYFUNCTION("""COMPUTED_VALUE"""),"")</f>
        <v/>
      </c>
      <c r="G440" s="47" t="str">
        <f>IFERROR(__xludf.DUMMYFUNCTION("""COMPUTED_VALUE"""),"")</f>
        <v/>
      </c>
      <c r="H440" s="47"/>
      <c r="I440" s="47">
        <f>IFERROR(__xludf.DUMMYFUNCTION("""COMPUTED_VALUE"""),2.0)</f>
        <v>2</v>
      </c>
      <c r="J440" s="47" t="str">
        <f>IFERROR(__xludf.DUMMYFUNCTION("""COMPUTED_VALUE"""),"https:")</f>
        <v>https:</v>
      </c>
      <c r="K440" s="78" t="str">
        <f>IFERROR(__xludf.DUMMYFUNCTION("""COMPUTED_VALUE"""),"www.munzee.com")</f>
        <v>www.munzee.com</v>
      </c>
      <c r="L440" s="47" t="str">
        <f>IFERROR(__xludf.DUMMYFUNCTION("""COMPUTED_VALUE"""),"m")</f>
        <v>m</v>
      </c>
      <c r="M440" s="47" t="str">
        <f>IFERROR(__xludf.DUMMYFUNCTION("""COMPUTED_VALUE"""),"Aniara")</f>
        <v>Aniara</v>
      </c>
    </row>
    <row r="441">
      <c r="A441" s="47" t="str">
        <f>IFERROR(__xludf.DUMMYFUNCTION("""COMPUTED_VALUE"""),"Virtual Brown")</f>
        <v>Virtual Brown</v>
      </c>
      <c r="B441" s="47" t="str">
        <f>IFERROR(__xludf.DUMMYFUNCTION("""COMPUTED_VALUE"""),"TheFatCats")</f>
        <v>TheFatCats</v>
      </c>
      <c r="C441" s="78" t="str">
        <f>IFERROR(__xludf.DUMMYFUNCTION("""COMPUTED_VALUE"""),"https://www.munzee.com/m/TheFatCats/3572/")</f>
        <v>https://www.munzee.com/m/TheFatCats/3572/</v>
      </c>
      <c r="D441" s="47"/>
      <c r="E441" s="47" t="b">
        <f>IFERROR(__xludf.DUMMYFUNCTION("""COMPUTED_VALUE"""),TRUE)</f>
        <v>1</v>
      </c>
      <c r="F441" s="83" t="str">
        <f>IFERROR(__xludf.DUMMYFUNCTION("""COMPUTED_VALUE"""),"")</f>
        <v/>
      </c>
      <c r="G441" s="47" t="str">
        <f>IFERROR(__xludf.DUMMYFUNCTION("""COMPUTED_VALUE"""),"")</f>
        <v/>
      </c>
      <c r="H441" s="47"/>
      <c r="I441" s="47">
        <f>IFERROR(__xludf.DUMMYFUNCTION("""COMPUTED_VALUE"""),2.0)</f>
        <v>2</v>
      </c>
      <c r="J441" s="47" t="str">
        <f>IFERROR(__xludf.DUMMYFUNCTION("""COMPUTED_VALUE"""),"https:")</f>
        <v>https:</v>
      </c>
      <c r="K441" s="78" t="str">
        <f>IFERROR(__xludf.DUMMYFUNCTION("""COMPUTED_VALUE"""),"www.munzee.com")</f>
        <v>www.munzee.com</v>
      </c>
      <c r="L441" s="47" t="str">
        <f>IFERROR(__xludf.DUMMYFUNCTION("""COMPUTED_VALUE"""),"m")</f>
        <v>m</v>
      </c>
      <c r="M441" s="47" t="str">
        <f>IFERROR(__xludf.DUMMYFUNCTION("""COMPUTED_VALUE"""),"TheFatCats")</f>
        <v>TheFatCats</v>
      </c>
    </row>
    <row r="442">
      <c r="A442" s="47" t="str">
        <f>IFERROR(__xludf.DUMMYFUNCTION("""COMPUTED_VALUE"""),"Virtual Brown")</f>
        <v>Virtual Brown</v>
      </c>
      <c r="B442" s="47" t="str">
        <f>IFERROR(__xludf.DUMMYFUNCTION("""COMPUTED_VALUE"""),"Franca")</f>
        <v>Franca</v>
      </c>
      <c r="C442" s="78" t="str">
        <f>IFERROR(__xludf.DUMMYFUNCTION("""COMPUTED_VALUE"""),"https://www.munzee.com/m/Franca/545/")</f>
        <v>https://www.munzee.com/m/Franca/545/</v>
      </c>
      <c r="D442" s="47"/>
      <c r="E442" s="47" t="b">
        <f>IFERROR(__xludf.DUMMYFUNCTION("""COMPUTED_VALUE"""),TRUE)</f>
        <v>1</v>
      </c>
      <c r="F442" s="83" t="str">
        <f>IFERROR(__xludf.DUMMYFUNCTION("""COMPUTED_VALUE"""),"")</f>
        <v/>
      </c>
      <c r="G442" s="47" t="str">
        <f>IFERROR(__xludf.DUMMYFUNCTION("""COMPUTED_VALUE"""),"")</f>
        <v/>
      </c>
      <c r="H442" s="47"/>
      <c r="I442" s="47">
        <f>IFERROR(__xludf.DUMMYFUNCTION("""COMPUTED_VALUE"""),2.0)</f>
        <v>2</v>
      </c>
      <c r="J442" s="47" t="str">
        <f>IFERROR(__xludf.DUMMYFUNCTION("""COMPUTED_VALUE"""),"https:")</f>
        <v>https:</v>
      </c>
      <c r="K442" s="78" t="str">
        <f>IFERROR(__xludf.DUMMYFUNCTION("""COMPUTED_VALUE"""),"www.munzee.com")</f>
        <v>www.munzee.com</v>
      </c>
      <c r="L442" s="47" t="str">
        <f>IFERROR(__xludf.DUMMYFUNCTION("""COMPUTED_VALUE"""),"m")</f>
        <v>m</v>
      </c>
      <c r="M442" s="47" t="str">
        <f>IFERROR(__xludf.DUMMYFUNCTION("""COMPUTED_VALUE"""),"Franca")</f>
        <v>Franca</v>
      </c>
    </row>
    <row r="443">
      <c r="A443" s="47" t="str">
        <f>IFERROR(__xludf.DUMMYFUNCTION("""COMPUTED_VALUE"""),"Virtual Raw Sienna")</f>
        <v>Virtual Raw Sienna</v>
      </c>
      <c r="B443" s="47" t="str">
        <f>IFERROR(__xludf.DUMMYFUNCTION("""COMPUTED_VALUE"""),"barefootguru")</f>
        <v>barefootguru</v>
      </c>
      <c r="C443" s="78" t="str">
        <f>IFERROR(__xludf.DUMMYFUNCTION("""COMPUTED_VALUE"""),"https://www.munzee.com/m/barefootguru/3132/")</f>
        <v>https://www.munzee.com/m/barefootguru/3132/</v>
      </c>
      <c r="D443" s="47"/>
      <c r="E443" s="47" t="b">
        <f>IFERROR(__xludf.DUMMYFUNCTION("""COMPUTED_VALUE"""),TRUE)</f>
        <v>1</v>
      </c>
      <c r="F443" s="83" t="str">
        <f>IFERROR(__xludf.DUMMYFUNCTION("""COMPUTED_VALUE"""),"")</f>
        <v/>
      </c>
      <c r="G443" s="47" t="str">
        <f>IFERROR(__xludf.DUMMYFUNCTION("""COMPUTED_VALUE"""),"")</f>
        <v/>
      </c>
      <c r="H443" s="47"/>
      <c r="I443" s="47">
        <f>IFERROR(__xludf.DUMMYFUNCTION("""COMPUTED_VALUE"""),2.0)</f>
        <v>2</v>
      </c>
      <c r="J443" s="47" t="str">
        <f>IFERROR(__xludf.DUMMYFUNCTION("""COMPUTED_VALUE"""),"https:")</f>
        <v>https:</v>
      </c>
      <c r="K443" s="78" t="str">
        <f>IFERROR(__xludf.DUMMYFUNCTION("""COMPUTED_VALUE"""),"www.munzee.com")</f>
        <v>www.munzee.com</v>
      </c>
      <c r="L443" s="47" t="str">
        <f>IFERROR(__xludf.DUMMYFUNCTION("""COMPUTED_VALUE"""),"m")</f>
        <v>m</v>
      </c>
      <c r="M443" s="47" t="str">
        <f>IFERROR(__xludf.DUMMYFUNCTION("""COMPUTED_VALUE"""),"barefootguru")</f>
        <v>barefootguru</v>
      </c>
    </row>
    <row r="444">
      <c r="A444" s="47" t="str">
        <f>IFERROR(__xludf.DUMMYFUNCTION("""COMPUTED_VALUE"""),"Virtual Brown")</f>
        <v>Virtual Brown</v>
      </c>
      <c r="B444" s="47" t="str">
        <f>IFERROR(__xludf.DUMMYFUNCTION("""COMPUTED_VALUE"""),"cbf600")</f>
        <v>cbf600</v>
      </c>
      <c r="C444" s="78" t="str">
        <f>IFERROR(__xludf.DUMMYFUNCTION("""COMPUTED_VALUE"""),"https://www.munzee.com/m/cbf600/2405/")</f>
        <v>https://www.munzee.com/m/cbf600/2405/</v>
      </c>
      <c r="D444" s="47"/>
      <c r="E444" s="47" t="b">
        <f>IFERROR(__xludf.DUMMYFUNCTION("""COMPUTED_VALUE"""),TRUE)</f>
        <v>1</v>
      </c>
      <c r="F444" s="83" t="str">
        <f>IFERROR(__xludf.DUMMYFUNCTION("""COMPUTED_VALUE"""),"")</f>
        <v/>
      </c>
      <c r="G444" s="47" t="str">
        <f>IFERROR(__xludf.DUMMYFUNCTION("""COMPUTED_VALUE"""),"")</f>
        <v/>
      </c>
      <c r="H444" s="47"/>
      <c r="I444" s="47">
        <f>IFERROR(__xludf.DUMMYFUNCTION("""COMPUTED_VALUE"""),2.0)</f>
        <v>2</v>
      </c>
      <c r="J444" s="47" t="str">
        <f>IFERROR(__xludf.DUMMYFUNCTION("""COMPUTED_VALUE"""),"https:")</f>
        <v>https:</v>
      </c>
      <c r="K444" s="78" t="str">
        <f>IFERROR(__xludf.DUMMYFUNCTION("""COMPUTED_VALUE"""),"www.munzee.com")</f>
        <v>www.munzee.com</v>
      </c>
      <c r="L444" s="47" t="str">
        <f>IFERROR(__xludf.DUMMYFUNCTION("""COMPUTED_VALUE"""),"m")</f>
        <v>m</v>
      </c>
      <c r="M444" s="47" t="str">
        <f>IFERROR(__xludf.DUMMYFUNCTION("""COMPUTED_VALUE"""),"cbf600")</f>
        <v>cbf600</v>
      </c>
    </row>
    <row r="445">
      <c r="A445" s="47" t="str">
        <f>IFERROR(__xludf.DUMMYFUNCTION("""COMPUTED_VALUE"""),"Virtual Raw Sienna")</f>
        <v>Virtual Raw Sienna</v>
      </c>
      <c r="B445" s="47" t="str">
        <f>IFERROR(__xludf.DUMMYFUNCTION("""COMPUTED_VALUE"""),"BrotherWilliam")</f>
        <v>BrotherWilliam</v>
      </c>
      <c r="C445" s="78" t="str">
        <f>IFERROR(__xludf.DUMMYFUNCTION("""COMPUTED_VALUE"""),"https://www.munzee.com/m/BrotherWilliam/3939/")</f>
        <v>https://www.munzee.com/m/BrotherWilliam/3939/</v>
      </c>
      <c r="D445" s="47"/>
      <c r="E445" s="47" t="b">
        <f>IFERROR(__xludf.DUMMYFUNCTION("""COMPUTED_VALUE"""),TRUE)</f>
        <v>1</v>
      </c>
      <c r="F445" s="83" t="str">
        <f>IFERROR(__xludf.DUMMYFUNCTION("""COMPUTED_VALUE"""),"")</f>
        <v/>
      </c>
      <c r="G445" s="47" t="str">
        <f>IFERROR(__xludf.DUMMYFUNCTION("""COMPUTED_VALUE"""),"")</f>
        <v/>
      </c>
      <c r="H445" s="47"/>
      <c r="I445" s="47">
        <f>IFERROR(__xludf.DUMMYFUNCTION("""COMPUTED_VALUE"""),2.0)</f>
        <v>2</v>
      </c>
      <c r="J445" s="47" t="str">
        <f>IFERROR(__xludf.DUMMYFUNCTION("""COMPUTED_VALUE"""),"https:")</f>
        <v>https:</v>
      </c>
      <c r="K445" s="78" t="str">
        <f>IFERROR(__xludf.DUMMYFUNCTION("""COMPUTED_VALUE"""),"www.munzee.com")</f>
        <v>www.munzee.com</v>
      </c>
      <c r="L445" s="47" t="str">
        <f>IFERROR(__xludf.DUMMYFUNCTION("""COMPUTED_VALUE"""),"m")</f>
        <v>m</v>
      </c>
      <c r="M445" s="47" t="str">
        <f>IFERROR(__xludf.DUMMYFUNCTION("""COMPUTED_VALUE"""),"BrotherWilliam")</f>
        <v>BrotherWilliam</v>
      </c>
    </row>
    <row r="446">
      <c r="A446" s="47" t="str">
        <f>IFERROR(__xludf.DUMMYFUNCTION("""COMPUTED_VALUE"""),"Virtual Brown")</f>
        <v>Virtual Brown</v>
      </c>
      <c r="B446" s="47" t="str">
        <f>IFERROR(__xludf.DUMMYFUNCTION("""COMPUTED_VALUE"""),"ArtofEco")</f>
        <v>ArtofEco</v>
      </c>
      <c r="C446" s="78" t="str">
        <f>IFERROR(__xludf.DUMMYFUNCTION("""COMPUTED_VALUE"""),"https://www.munzee.com/m/ArtofEco/2959/")</f>
        <v>https://www.munzee.com/m/ArtofEco/2959/</v>
      </c>
      <c r="D446" s="47"/>
      <c r="E446" s="47" t="b">
        <f>IFERROR(__xludf.DUMMYFUNCTION("""COMPUTED_VALUE"""),TRUE)</f>
        <v>1</v>
      </c>
      <c r="F446" s="83" t="str">
        <f>IFERROR(__xludf.DUMMYFUNCTION("""COMPUTED_VALUE"""),"")</f>
        <v/>
      </c>
      <c r="G446" s="47" t="str">
        <f>IFERROR(__xludf.DUMMYFUNCTION("""COMPUTED_VALUE"""),"")</f>
        <v/>
      </c>
      <c r="H446" s="47"/>
      <c r="I446" s="47">
        <f>IFERROR(__xludf.DUMMYFUNCTION("""COMPUTED_VALUE"""),2.0)</f>
        <v>2</v>
      </c>
      <c r="J446" s="47" t="str">
        <f>IFERROR(__xludf.DUMMYFUNCTION("""COMPUTED_VALUE"""),"https:")</f>
        <v>https:</v>
      </c>
      <c r="K446" s="78" t="str">
        <f>IFERROR(__xludf.DUMMYFUNCTION("""COMPUTED_VALUE"""),"www.munzee.com")</f>
        <v>www.munzee.com</v>
      </c>
      <c r="L446" s="47" t="str">
        <f>IFERROR(__xludf.DUMMYFUNCTION("""COMPUTED_VALUE"""),"m")</f>
        <v>m</v>
      </c>
      <c r="M446" s="47" t="str">
        <f>IFERROR(__xludf.DUMMYFUNCTION("""COMPUTED_VALUE"""),"ArtofEco")</f>
        <v>ArtofEco</v>
      </c>
    </row>
    <row r="447">
      <c r="A447" s="47" t="str">
        <f>IFERROR(__xludf.DUMMYFUNCTION("""COMPUTED_VALUE"""),"Virtual Brown")</f>
        <v>Virtual Brown</v>
      </c>
      <c r="B447" s="47" t="str">
        <f>IFERROR(__xludf.DUMMYFUNCTION("""COMPUTED_VALUE"""),"MadDogLady")</f>
        <v>MadDogLady</v>
      </c>
      <c r="C447" s="78" t="str">
        <f>IFERROR(__xludf.DUMMYFUNCTION("""COMPUTED_VALUE"""),"https://www.munzee.com/m/MadDogLady/2222/")</f>
        <v>https://www.munzee.com/m/MadDogLady/2222/</v>
      </c>
      <c r="D447" s="47"/>
      <c r="E447" s="47" t="b">
        <f>IFERROR(__xludf.DUMMYFUNCTION("""COMPUTED_VALUE"""),TRUE)</f>
        <v>1</v>
      </c>
      <c r="F447" s="83" t="str">
        <f>IFERROR(__xludf.DUMMYFUNCTION("""COMPUTED_VALUE"""),"")</f>
        <v/>
      </c>
      <c r="G447" s="47" t="str">
        <f>IFERROR(__xludf.DUMMYFUNCTION("""COMPUTED_VALUE"""),"")</f>
        <v/>
      </c>
      <c r="H447" s="47"/>
      <c r="I447" s="47">
        <f>IFERROR(__xludf.DUMMYFUNCTION("""COMPUTED_VALUE"""),2.0)</f>
        <v>2</v>
      </c>
      <c r="J447" s="47" t="str">
        <f>IFERROR(__xludf.DUMMYFUNCTION("""COMPUTED_VALUE"""),"https:")</f>
        <v>https:</v>
      </c>
      <c r="K447" s="78" t="str">
        <f>IFERROR(__xludf.DUMMYFUNCTION("""COMPUTED_VALUE"""),"www.munzee.com")</f>
        <v>www.munzee.com</v>
      </c>
      <c r="L447" s="47" t="str">
        <f>IFERROR(__xludf.DUMMYFUNCTION("""COMPUTED_VALUE"""),"m")</f>
        <v>m</v>
      </c>
      <c r="M447" s="47" t="str">
        <f>IFERROR(__xludf.DUMMYFUNCTION("""COMPUTED_VALUE"""),"MadDogLady")</f>
        <v>MadDogLady</v>
      </c>
    </row>
    <row r="448">
      <c r="A448" s="47" t="str">
        <f>IFERROR(__xludf.DUMMYFUNCTION("""COMPUTED_VALUE"""),"Virtual Brown")</f>
        <v>Virtual Brown</v>
      </c>
      <c r="B448" s="47" t="str">
        <f>IFERROR(__xludf.DUMMYFUNCTION("""COMPUTED_VALUE"""),"Sinister")</f>
        <v>Sinister</v>
      </c>
      <c r="C448" s="78" t="str">
        <f>IFERROR(__xludf.DUMMYFUNCTION("""COMPUTED_VALUE"""),"https://www.munzee.com/m/Sinister/2248/")</f>
        <v>https://www.munzee.com/m/Sinister/2248/</v>
      </c>
      <c r="D448" s="47"/>
      <c r="E448" s="47" t="b">
        <f>IFERROR(__xludf.DUMMYFUNCTION("""COMPUTED_VALUE"""),TRUE)</f>
        <v>1</v>
      </c>
      <c r="F448" s="83" t="str">
        <f>IFERROR(__xludf.DUMMYFUNCTION("""COMPUTED_VALUE"""),"")</f>
        <v/>
      </c>
      <c r="G448" s="47" t="str">
        <f>IFERROR(__xludf.DUMMYFUNCTION("""COMPUTED_VALUE"""),"")</f>
        <v/>
      </c>
      <c r="H448" s="47"/>
      <c r="I448" s="47">
        <f>IFERROR(__xludf.DUMMYFUNCTION("""COMPUTED_VALUE"""),2.0)</f>
        <v>2</v>
      </c>
      <c r="J448" s="47" t="str">
        <f>IFERROR(__xludf.DUMMYFUNCTION("""COMPUTED_VALUE"""),"https:")</f>
        <v>https:</v>
      </c>
      <c r="K448" s="78" t="str">
        <f>IFERROR(__xludf.DUMMYFUNCTION("""COMPUTED_VALUE"""),"www.munzee.com")</f>
        <v>www.munzee.com</v>
      </c>
      <c r="L448" s="47" t="str">
        <f>IFERROR(__xludf.DUMMYFUNCTION("""COMPUTED_VALUE"""),"m")</f>
        <v>m</v>
      </c>
      <c r="M448" s="47" t="str">
        <f>IFERROR(__xludf.DUMMYFUNCTION("""COMPUTED_VALUE"""),"Sinister")</f>
        <v>Sinister</v>
      </c>
    </row>
    <row r="449">
      <c r="A449" s="47" t="str">
        <f>IFERROR(__xludf.DUMMYFUNCTION("""COMPUTED_VALUE"""),"Virtual Brown")</f>
        <v>Virtual Brown</v>
      </c>
      <c r="B449" s="47" t="str">
        <f>IFERROR(__xludf.DUMMYFUNCTION("""COMPUTED_VALUE"""),"MunziMeg")</f>
        <v>MunziMeg</v>
      </c>
      <c r="C449" s="78" t="str">
        <f>IFERROR(__xludf.DUMMYFUNCTION("""COMPUTED_VALUE"""),"https://www.munzee.com/m/MunziMeg/4452/")</f>
        <v>https://www.munzee.com/m/MunziMeg/4452/</v>
      </c>
      <c r="D449" s="47"/>
      <c r="E449" s="47" t="b">
        <f>IFERROR(__xludf.DUMMYFUNCTION("""COMPUTED_VALUE"""),TRUE)</f>
        <v>1</v>
      </c>
      <c r="F449" s="83" t="str">
        <f>IFERROR(__xludf.DUMMYFUNCTION("""COMPUTED_VALUE"""),"")</f>
        <v/>
      </c>
      <c r="G449" s="47" t="str">
        <f>IFERROR(__xludf.DUMMYFUNCTION("""COMPUTED_VALUE"""),"")</f>
        <v/>
      </c>
      <c r="H449" s="47"/>
      <c r="I449" s="47">
        <f>IFERROR(__xludf.DUMMYFUNCTION("""COMPUTED_VALUE"""),2.0)</f>
        <v>2</v>
      </c>
      <c r="J449" s="47" t="str">
        <f>IFERROR(__xludf.DUMMYFUNCTION("""COMPUTED_VALUE"""),"https:")</f>
        <v>https:</v>
      </c>
      <c r="K449" s="78" t="str">
        <f>IFERROR(__xludf.DUMMYFUNCTION("""COMPUTED_VALUE"""),"www.munzee.com")</f>
        <v>www.munzee.com</v>
      </c>
      <c r="L449" s="47" t="str">
        <f>IFERROR(__xludf.DUMMYFUNCTION("""COMPUTED_VALUE"""),"m")</f>
        <v>m</v>
      </c>
      <c r="M449" s="47" t="str">
        <f>IFERROR(__xludf.DUMMYFUNCTION("""COMPUTED_VALUE"""),"MunziMeg")</f>
        <v>MunziMeg</v>
      </c>
    </row>
    <row r="450">
      <c r="A450" s="47" t="str">
        <f>IFERROR(__xludf.DUMMYFUNCTION("""COMPUTED_VALUE"""),"Virtual Brown")</f>
        <v>Virtual Brown</v>
      </c>
      <c r="B450" s="47" t="str">
        <f>IFERROR(__xludf.DUMMYFUNCTION("""COMPUTED_VALUE"""),"artofmunzeeing")</f>
        <v>artofmunzeeing</v>
      </c>
      <c r="C450" s="78" t="str">
        <f>IFERROR(__xludf.DUMMYFUNCTION("""COMPUTED_VALUE"""),"https://www.munzee.com/m/artofmunzeeing/3820/")</f>
        <v>https://www.munzee.com/m/artofmunzeeing/3820/</v>
      </c>
      <c r="D450" s="47"/>
      <c r="E450" s="47" t="b">
        <f>IFERROR(__xludf.DUMMYFUNCTION("""COMPUTED_VALUE"""),TRUE)</f>
        <v>1</v>
      </c>
      <c r="F450" s="83" t="str">
        <f>IFERROR(__xludf.DUMMYFUNCTION("""COMPUTED_VALUE"""),"")</f>
        <v/>
      </c>
      <c r="G450" s="47" t="str">
        <f>IFERROR(__xludf.DUMMYFUNCTION("""COMPUTED_VALUE"""),"")</f>
        <v/>
      </c>
      <c r="H450" s="47"/>
      <c r="I450" s="47">
        <f>IFERROR(__xludf.DUMMYFUNCTION("""COMPUTED_VALUE"""),2.0)</f>
        <v>2</v>
      </c>
      <c r="J450" s="47" t="str">
        <f>IFERROR(__xludf.DUMMYFUNCTION("""COMPUTED_VALUE"""),"https:")</f>
        <v>https:</v>
      </c>
      <c r="K450" s="78" t="str">
        <f>IFERROR(__xludf.DUMMYFUNCTION("""COMPUTED_VALUE"""),"www.munzee.com")</f>
        <v>www.munzee.com</v>
      </c>
      <c r="L450" s="47" t="str">
        <f>IFERROR(__xludf.DUMMYFUNCTION("""COMPUTED_VALUE"""),"m")</f>
        <v>m</v>
      </c>
      <c r="M450" s="47" t="str">
        <f>IFERROR(__xludf.DUMMYFUNCTION("""COMPUTED_VALUE"""),"artofmunzeeing")</f>
        <v>artofmunzeeing</v>
      </c>
    </row>
    <row r="451">
      <c r="A451" s="47" t="str">
        <f>IFERROR(__xludf.DUMMYFUNCTION("""COMPUTED_VALUE"""),"Virtual Brown")</f>
        <v>Virtual Brown</v>
      </c>
      <c r="B451" s="47" t="str">
        <f>IFERROR(__xludf.DUMMYFUNCTION("""COMPUTED_VALUE"""),"MunziMeg")</f>
        <v>MunziMeg</v>
      </c>
      <c r="C451" s="78" t="str">
        <f>IFERROR(__xludf.DUMMYFUNCTION("""COMPUTED_VALUE"""),"https://www.munzee.com/m/MunziMeg/4460/")</f>
        <v>https://www.munzee.com/m/MunziMeg/4460/</v>
      </c>
      <c r="D451" s="47"/>
      <c r="E451" s="47" t="b">
        <f>IFERROR(__xludf.DUMMYFUNCTION("""COMPUTED_VALUE"""),TRUE)</f>
        <v>1</v>
      </c>
      <c r="F451" s="83" t="str">
        <f>IFERROR(__xludf.DUMMYFUNCTION("""COMPUTED_VALUE"""),"")</f>
        <v/>
      </c>
      <c r="G451" s="47" t="str">
        <f>IFERROR(__xludf.DUMMYFUNCTION("""COMPUTED_VALUE"""),"")</f>
        <v/>
      </c>
      <c r="H451" s="47"/>
      <c r="I451" s="47">
        <f>IFERROR(__xludf.DUMMYFUNCTION("""COMPUTED_VALUE"""),2.0)</f>
        <v>2</v>
      </c>
      <c r="J451" s="47" t="str">
        <f>IFERROR(__xludf.DUMMYFUNCTION("""COMPUTED_VALUE"""),"https:")</f>
        <v>https:</v>
      </c>
      <c r="K451" s="78" t="str">
        <f>IFERROR(__xludf.DUMMYFUNCTION("""COMPUTED_VALUE"""),"www.munzee.com")</f>
        <v>www.munzee.com</v>
      </c>
      <c r="L451" s="47" t="str">
        <f>IFERROR(__xludf.DUMMYFUNCTION("""COMPUTED_VALUE"""),"m")</f>
        <v>m</v>
      </c>
      <c r="M451" s="47" t="str">
        <f>IFERROR(__xludf.DUMMYFUNCTION("""COMPUTED_VALUE"""),"MunziMeg")</f>
        <v>MunziMeg</v>
      </c>
    </row>
    <row r="452">
      <c r="A452" s="47" t="str">
        <f>IFERROR(__xludf.DUMMYFUNCTION("""COMPUTED_VALUE"""),"Virtual Brown")</f>
        <v>Virtual Brown</v>
      </c>
      <c r="B452" s="47" t="str">
        <f>IFERROR(__xludf.DUMMYFUNCTION("""COMPUTED_VALUE"""),"artofmunzeeing")</f>
        <v>artofmunzeeing</v>
      </c>
      <c r="C452" s="78" t="str">
        <f>IFERROR(__xludf.DUMMYFUNCTION("""COMPUTED_VALUE"""),"https://www.munzee.com/m/artofmunzeeing/3822/")</f>
        <v>https://www.munzee.com/m/artofmunzeeing/3822/</v>
      </c>
      <c r="D452" s="47"/>
      <c r="E452" s="47" t="b">
        <f>IFERROR(__xludf.DUMMYFUNCTION("""COMPUTED_VALUE"""),TRUE)</f>
        <v>1</v>
      </c>
      <c r="F452" s="83" t="str">
        <f>IFERROR(__xludf.DUMMYFUNCTION("""COMPUTED_VALUE"""),"")</f>
        <v/>
      </c>
      <c r="G452" s="47" t="str">
        <f>IFERROR(__xludf.DUMMYFUNCTION("""COMPUTED_VALUE"""),"")</f>
        <v/>
      </c>
      <c r="H452" s="47"/>
      <c r="I452" s="47">
        <f>IFERROR(__xludf.DUMMYFUNCTION("""COMPUTED_VALUE"""),2.0)</f>
        <v>2</v>
      </c>
      <c r="J452" s="47" t="str">
        <f>IFERROR(__xludf.DUMMYFUNCTION("""COMPUTED_VALUE"""),"https:")</f>
        <v>https:</v>
      </c>
      <c r="K452" s="78" t="str">
        <f>IFERROR(__xludf.DUMMYFUNCTION("""COMPUTED_VALUE"""),"www.munzee.com")</f>
        <v>www.munzee.com</v>
      </c>
      <c r="L452" s="47" t="str">
        <f>IFERROR(__xludf.DUMMYFUNCTION("""COMPUTED_VALUE"""),"m")</f>
        <v>m</v>
      </c>
      <c r="M452" s="47" t="str">
        <f>IFERROR(__xludf.DUMMYFUNCTION("""COMPUTED_VALUE"""),"artofmunzeeing")</f>
        <v>artofmunzeeing</v>
      </c>
    </row>
    <row r="453">
      <c r="A453" s="47" t="str">
        <f>IFERROR(__xludf.DUMMYFUNCTION("""COMPUTED_VALUE"""),"Virtual Raw Sienna")</f>
        <v>Virtual Raw Sienna</v>
      </c>
      <c r="B453" s="47" t="str">
        <f>IFERROR(__xludf.DUMMYFUNCTION("""COMPUTED_VALUE"""),"GroteSufferd")</f>
        <v>GroteSufferd</v>
      </c>
      <c r="C453" s="78" t="str">
        <f>IFERROR(__xludf.DUMMYFUNCTION("""COMPUTED_VALUE"""),"https://www.munzee.com/m/GroteSufferd/374")</f>
        <v>https://www.munzee.com/m/GroteSufferd/374</v>
      </c>
      <c r="D453" s="47"/>
      <c r="E453" s="47" t="b">
        <f>IFERROR(__xludf.DUMMYFUNCTION("""COMPUTED_VALUE"""),TRUE)</f>
        <v>1</v>
      </c>
      <c r="F453" s="83" t="str">
        <f>IFERROR(__xludf.DUMMYFUNCTION("""COMPUTED_VALUE"""),"")</f>
        <v/>
      </c>
      <c r="G453" s="47" t="str">
        <f>IFERROR(__xludf.DUMMYFUNCTION("""COMPUTED_VALUE"""),"")</f>
        <v/>
      </c>
      <c r="H453" s="47"/>
      <c r="I453" s="47">
        <f>IFERROR(__xludf.DUMMYFUNCTION("""COMPUTED_VALUE"""),2.0)</f>
        <v>2</v>
      </c>
      <c r="J453" s="47" t="str">
        <f>IFERROR(__xludf.DUMMYFUNCTION("""COMPUTED_VALUE"""),"https:")</f>
        <v>https:</v>
      </c>
      <c r="K453" s="78" t="str">
        <f>IFERROR(__xludf.DUMMYFUNCTION("""COMPUTED_VALUE"""),"www.munzee.com")</f>
        <v>www.munzee.com</v>
      </c>
      <c r="L453" s="47" t="str">
        <f>IFERROR(__xludf.DUMMYFUNCTION("""COMPUTED_VALUE"""),"m")</f>
        <v>m</v>
      </c>
      <c r="M453" s="47" t="str">
        <f>IFERROR(__xludf.DUMMYFUNCTION("""COMPUTED_VALUE"""),"GroteSufferd")</f>
        <v>GroteSufferd</v>
      </c>
    </row>
    <row r="454">
      <c r="A454" s="47" t="str">
        <f>IFERROR(__xludf.DUMMYFUNCTION("""COMPUTED_VALUE"""),"Virtual Brown")</f>
        <v>Virtual Brown</v>
      </c>
      <c r="B454" s="47" t="str">
        <f>IFERROR(__xludf.DUMMYFUNCTION("""COMPUTED_VALUE"""),"MunziMeg")</f>
        <v>MunziMeg</v>
      </c>
      <c r="C454" s="78" t="str">
        <f>IFERROR(__xludf.DUMMYFUNCTION("""COMPUTED_VALUE"""),"https://www.munzee.com/m/MunziMeg/4449/")</f>
        <v>https://www.munzee.com/m/MunziMeg/4449/</v>
      </c>
      <c r="D454" s="47"/>
      <c r="E454" s="47" t="b">
        <f>IFERROR(__xludf.DUMMYFUNCTION("""COMPUTED_VALUE"""),TRUE)</f>
        <v>1</v>
      </c>
      <c r="F454" s="83" t="str">
        <f>IFERROR(__xludf.DUMMYFUNCTION("""COMPUTED_VALUE"""),"")</f>
        <v/>
      </c>
      <c r="G454" s="47" t="str">
        <f>IFERROR(__xludf.DUMMYFUNCTION("""COMPUTED_VALUE"""),"")</f>
        <v/>
      </c>
      <c r="H454" s="47"/>
      <c r="I454" s="47">
        <f>IFERROR(__xludf.DUMMYFUNCTION("""COMPUTED_VALUE"""),2.0)</f>
        <v>2</v>
      </c>
      <c r="J454" s="47" t="str">
        <f>IFERROR(__xludf.DUMMYFUNCTION("""COMPUTED_VALUE"""),"https:")</f>
        <v>https:</v>
      </c>
      <c r="K454" s="78" t="str">
        <f>IFERROR(__xludf.DUMMYFUNCTION("""COMPUTED_VALUE"""),"www.munzee.com")</f>
        <v>www.munzee.com</v>
      </c>
      <c r="L454" s="47" t="str">
        <f>IFERROR(__xludf.DUMMYFUNCTION("""COMPUTED_VALUE"""),"m")</f>
        <v>m</v>
      </c>
      <c r="M454" s="47" t="str">
        <f>IFERROR(__xludf.DUMMYFUNCTION("""COMPUTED_VALUE"""),"MunziMeg")</f>
        <v>MunziMeg</v>
      </c>
    </row>
    <row r="455">
      <c r="A455" s="47" t="str">
        <f>IFERROR(__xludf.DUMMYFUNCTION("""COMPUTED_VALUE"""),"Virtual Brown")</f>
        <v>Virtual Brown</v>
      </c>
      <c r="B455" s="47" t="str">
        <f>IFERROR(__xludf.DUMMYFUNCTION("""COMPUTED_VALUE"""),"artofmunzeeing")</f>
        <v>artofmunzeeing</v>
      </c>
      <c r="C455" s="78" t="str">
        <f>IFERROR(__xludf.DUMMYFUNCTION("""COMPUTED_VALUE"""),"https://www.munzee.com/m/artofmunzeeing/3809/")</f>
        <v>https://www.munzee.com/m/artofmunzeeing/3809/</v>
      </c>
      <c r="D455" s="47"/>
      <c r="E455" s="47" t="b">
        <f>IFERROR(__xludf.DUMMYFUNCTION("""COMPUTED_VALUE"""),TRUE)</f>
        <v>1</v>
      </c>
      <c r="F455" s="83" t="str">
        <f>IFERROR(__xludf.DUMMYFUNCTION("""COMPUTED_VALUE"""),"")</f>
        <v/>
      </c>
      <c r="G455" s="47" t="str">
        <f>IFERROR(__xludf.DUMMYFUNCTION("""COMPUTED_VALUE"""),"")</f>
        <v/>
      </c>
      <c r="H455" s="47"/>
      <c r="I455" s="47">
        <f>IFERROR(__xludf.DUMMYFUNCTION("""COMPUTED_VALUE"""),2.0)</f>
        <v>2</v>
      </c>
      <c r="J455" s="47" t="str">
        <f>IFERROR(__xludf.DUMMYFUNCTION("""COMPUTED_VALUE"""),"https:")</f>
        <v>https:</v>
      </c>
      <c r="K455" s="78" t="str">
        <f>IFERROR(__xludf.DUMMYFUNCTION("""COMPUTED_VALUE"""),"www.munzee.com")</f>
        <v>www.munzee.com</v>
      </c>
      <c r="L455" s="47" t="str">
        <f>IFERROR(__xludf.DUMMYFUNCTION("""COMPUTED_VALUE"""),"m")</f>
        <v>m</v>
      </c>
      <c r="M455" s="47" t="str">
        <f>IFERROR(__xludf.DUMMYFUNCTION("""COMPUTED_VALUE"""),"artofmunzeeing")</f>
        <v>artofmunzeeing</v>
      </c>
    </row>
    <row r="456">
      <c r="A456" s="47" t="str">
        <f>IFERROR(__xludf.DUMMYFUNCTION("""COMPUTED_VALUE"""),"Virtual Raw Sienna")</f>
        <v>Virtual Raw Sienna</v>
      </c>
      <c r="B456" s="47" t="str">
        <f>IFERROR(__xludf.DUMMYFUNCTION("""COMPUTED_VALUE"""),"5Star")</f>
        <v>5Star</v>
      </c>
      <c r="C456" s="78" t="str">
        <f>IFERROR(__xludf.DUMMYFUNCTION("""COMPUTED_VALUE"""),"https://www.munzee.com/m/5Star/5761")</f>
        <v>https://www.munzee.com/m/5Star/5761</v>
      </c>
      <c r="D456" s="47"/>
      <c r="E456" s="47" t="b">
        <f>IFERROR(__xludf.DUMMYFUNCTION("""COMPUTED_VALUE"""),TRUE)</f>
        <v>1</v>
      </c>
      <c r="F456" s="83" t="str">
        <f>IFERROR(__xludf.DUMMYFUNCTION("""COMPUTED_VALUE"""),"")</f>
        <v/>
      </c>
      <c r="G456" s="47" t="str">
        <f>IFERROR(__xludf.DUMMYFUNCTION("""COMPUTED_VALUE"""),"")</f>
        <v/>
      </c>
      <c r="H456" s="47"/>
      <c r="I456" s="47">
        <f>IFERROR(__xludf.DUMMYFUNCTION("""COMPUTED_VALUE"""),2.0)</f>
        <v>2</v>
      </c>
      <c r="J456" s="47" t="str">
        <f>IFERROR(__xludf.DUMMYFUNCTION("""COMPUTED_VALUE"""),"https:")</f>
        <v>https:</v>
      </c>
      <c r="K456" s="78" t="str">
        <f>IFERROR(__xludf.DUMMYFUNCTION("""COMPUTED_VALUE"""),"www.munzee.com")</f>
        <v>www.munzee.com</v>
      </c>
      <c r="L456" s="47" t="str">
        <f>IFERROR(__xludf.DUMMYFUNCTION("""COMPUTED_VALUE"""),"m")</f>
        <v>m</v>
      </c>
      <c r="M456" s="47" t="str">
        <f>IFERROR(__xludf.DUMMYFUNCTION("""COMPUTED_VALUE"""),"5Star")</f>
        <v>5Star</v>
      </c>
    </row>
    <row r="457">
      <c r="A457" s="47" t="str">
        <f>IFERROR(__xludf.DUMMYFUNCTION("""COMPUTED_VALUE"""),"Virtual Brown")</f>
        <v>Virtual Brown</v>
      </c>
      <c r="B457" s="47" t="str">
        <f>IFERROR(__xludf.DUMMYFUNCTION("""COMPUTED_VALUE"""),"TheFrog")</f>
        <v>TheFrog</v>
      </c>
      <c r="C457" s="78" t="str">
        <f>IFERROR(__xludf.DUMMYFUNCTION("""COMPUTED_VALUE"""),"https://www.munzee.com/m/TheFrog/4239/")</f>
        <v>https://www.munzee.com/m/TheFrog/4239/</v>
      </c>
      <c r="D457" s="47"/>
      <c r="E457" s="47" t="b">
        <f>IFERROR(__xludf.DUMMYFUNCTION("""COMPUTED_VALUE"""),TRUE)</f>
        <v>1</v>
      </c>
      <c r="F457" s="83" t="str">
        <f>IFERROR(__xludf.DUMMYFUNCTION("""COMPUTED_VALUE"""),"")</f>
        <v/>
      </c>
      <c r="G457" s="47" t="str">
        <f>IFERROR(__xludf.DUMMYFUNCTION("""COMPUTED_VALUE"""),"")</f>
        <v/>
      </c>
      <c r="H457" s="47"/>
      <c r="I457" s="47">
        <f>IFERROR(__xludf.DUMMYFUNCTION("""COMPUTED_VALUE"""),2.0)</f>
        <v>2</v>
      </c>
      <c r="J457" s="47" t="str">
        <f>IFERROR(__xludf.DUMMYFUNCTION("""COMPUTED_VALUE"""),"https:")</f>
        <v>https:</v>
      </c>
      <c r="K457" s="78" t="str">
        <f>IFERROR(__xludf.DUMMYFUNCTION("""COMPUTED_VALUE"""),"www.munzee.com")</f>
        <v>www.munzee.com</v>
      </c>
      <c r="L457" s="47" t="str">
        <f>IFERROR(__xludf.DUMMYFUNCTION("""COMPUTED_VALUE"""),"m")</f>
        <v>m</v>
      </c>
      <c r="M457" s="47" t="str">
        <f>IFERROR(__xludf.DUMMYFUNCTION("""COMPUTED_VALUE"""),"TheFrog")</f>
        <v>TheFrog</v>
      </c>
    </row>
    <row r="458">
      <c r="A458" s="47" t="str">
        <f>IFERROR(__xludf.DUMMYFUNCTION("""COMPUTED_VALUE"""),"Virtual Brown")</f>
        <v>Virtual Brown</v>
      </c>
      <c r="B458" s="47" t="str">
        <f>IFERROR(__xludf.DUMMYFUNCTION("""COMPUTED_VALUE"""),"123xilef")</f>
        <v>123xilef</v>
      </c>
      <c r="C458" s="78" t="str">
        <f>IFERROR(__xludf.DUMMYFUNCTION("""COMPUTED_VALUE"""),"https://www.munzee.com/m/123xilef/7061/")</f>
        <v>https://www.munzee.com/m/123xilef/7061/</v>
      </c>
      <c r="D458" s="47"/>
      <c r="E458" s="47" t="b">
        <f>IFERROR(__xludf.DUMMYFUNCTION("""COMPUTED_VALUE"""),TRUE)</f>
        <v>1</v>
      </c>
      <c r="F458" s="83" t="str">
        <f>IFERROR(__xludf.DUMMYFUNCTION("""COMPUTED_VALUE"""),"")</f>
        <v/>
      </c>
      <c r="G458" s="47" t="str">
        <f>IFERROR(__xludf.DUMMYFUNCTION("""COMPUTED_VALUE"""),"")</f>
        <v/>
      </c>
      <c r="H458" s="47"/>
      <c r="I458" s="47">
        <f>IFERROR(__xludf.DUMMYFUNCTION("""COMPUTED_VALUE"""),2.0)</f>
        <v>2</v>
      </c>
      <c r="J458" s="47" t="str">
        <f>IFERROR(__xludf.DUMMYFUNCTION("""COMPUTED_VALUE"""),"https:")</f>
        <v>https:</v>
      </c>
      <c r="K458" s="78" t="str">
        <f>IFERROR(__xludf.DUMMYFUNCTION("""COMPUTED_VALUE"""),"www.munzee.com")</f>
        <v>www.munzee.com</v>
      </c>
      <c r="L458" s="47" t="str">
        <f>IFERROR(__xludf.DUMMYFUNCTION("""COMPUTED_VALUE"""),"m")</f>
        <v>m</v>
      </c>
      <c r="M458" s="47" t="str">
        <f>IFERROR(__xludf.DUMMYFUNCTION("""COMPUTED_VALUE"""),"123xilef")</f>
        <v>123xilef</v>
      </c>
    </row>
    <row r="459">
      <c r="A459" s="47" t="str">
        <f>IFERROR(__xludf.DUMMYFUNCTION("""COMPUTED_VALUE"""),"Virtual Raw Sienna")</f>
        <v>Virtual Raw Sienna</v>
      </c>
      <c r="B459" s="47" t="str">
        <f>IFERROR(__xludf.DUMMYFUNCTION("""COMPUTED_VALUE"""),"TheFatCats")</f>
        <v>TheFatCats</v>
      </c>
      <c r="C459" s="78" t="str">
        <f>IFERROR(__xludf.DUMMYFUNCTION("""COMPUTED_VALUE"""),"https://www.munzee.com/m/TheFatCats/3588/")</f>
        <v>https://www.munzee.com/m/TheFatCats/3588/</v>
      </c>
      <c r="D459" s="47"/>
      <c r="E459" s="47" t="b">
        <f>IFERROR(__xludf.DUMMYFUNCTION("""COMPUTED_VALUE"""),TRUE)</f>
        <v>1</v>
      </c>
      <c r="F459" s="83" t="str">
        <f>IFERROR(__xludf.DUMMYFUNCTION("""COMPUTED_VALUE"""),"")</f>
        <v/>
      </c>
      <c r="G459" s="47" t="str">
        <f>IFERROR(__xludf.DUMMYFUNCTION("""COMPUTED_VALUE"""),"")</f>
        <v/>
      </c>
      <c r="H459" s="47"/>
      <c r="I459" s="47">
        <f>IFERROR(__xludf.DUMMYFUNCTION("""COMPUTED_VALUE"""),2.0)</f>
        <v>2</v>
      </c>
      <c r="J459" s="47" t="str">
        <f>IFERROR(__xludf.DUMMYFUNCTION("""COMPUTED_VALUE"""),"https:")</f>
        <v>https:</v>
      </c>
      <c r="K459" s="78" t="str">
        <f>IFERROR(__xludf.DUMMYFUNCTION("""COMPUTED_VALUE"""),"www.munzee.com")</f>
        <v>www.munzee.com</v>
      </c>
      <c r="L459" s="47" t="str">
        <f>IFERROR(__xludf.DUMMYFUNCTION("""COMPUTED_VALUE"""),"m")</f>
        <v>m</v>
      </c>
      <c r="M459" s="47" t="str">
        <f>IFERROR(__xludf.DUMMYFUNCTION("""COMPUTED_VALUE"""),"TheFatCats")</f>
        <v>TheFatCats</v>
      </c>
    </row>
    <row r="460">
      <c r="A460" s="47" t="str">
        <f>IFERROR(__xludf.DUMMYFUNCTION("""COMPUTED_VALUE"""),"Virtual Brown")</f>
        <v>Virtual Brown</v>
      </c>
      <c r="B460" s="47" t="str">
        <f>IFERROR(__xludf.DUMMYFUNCTION("""COMPUTED_VALUE"""),"TheFrog")</f>
        <v>TheFrog</v>
      </c>
      <c r="C460" s="78" t="str">
        <f>IFERROR(__xludf.DUMMYFUNCTION("""COMPUTED_VALUE"""),"https://www.munzee.com/m/TheFrog/3436/")</f>
        <v>https://www.munzee.com/m/TheFrog/3436/</v>
      </c>
      <c r="D460" s="47"/>
      <c r="E460" s="47" t="b">
        <f>IFERROR(__xludf.DUMMYFUNCTION("""COMPUTED_VALUE"""),TRUE)</f>
        <v>1</v>
      </c>
      <c r="F460" s="83" t="str">
        <f>IFERROR(__xludf.DUMMYFUNCTION("""COMPUTED_VALUE"""),"")</f>
        <v/>
      </c>
      <c r="G460" s="47" t="str">
        <f>IFERROR(__xludf.DUMMYFUNCTION("""COMPUTED_VALUE"""),"")</f>
        <v/>
      </c>
      <c r="H460" s="47"/>
      <c r="I460" s="47">
        <f>IFERROR(__xludf.DUMMYFUNCTION("""COMPUTED_VALUE"""),2.0)</f>
        <v>2</v>
      </c>
      <c r="J460" s="47" t="str">
        <f>IFERROR(__xludf.DUMMYFUNCTION("""COMPUTED_VALUE"""),"https:")</f>
        <v>https:</v>
      </c>
      <c r="K460" s="78" t="str">
        <f>IFERROR(__xludf.DUMMYFUNCTION("""COMPUTED_VALUE"""),"www.munzee.com")</f>
        <v>www.munzee.com</v>
      </c>
      <c r="L460" s="47" t="str">
        <f>IFERROR(__xludf.DUMMYFUNCTION("""COMPUTED_VALUE"""),"m")</f>
        <v>m</v>
      </c>
      <c r="M460" s="47" t="str">
        <f>IFERROR(__xludf.DUMMYFUNCTION("""COMPUTED_VALUE"""),"TheFrog")</f>
        <v>TheFrog</v>
      </c>
    </row>
    <row r="461">
      <c r="A461" s="47" t="str">
        <f>IFERROR(__xludf.DUMMYFUNCTION("""COMPUTED_VALUE"""),"Virtual Brown")</f>
        <v>Virtual Brown</v>
      </c>
      <c r="B461" s="47" t="str">
        <f>IFERROR(__xludf.DUMMYFUNCTION("""COMPUTED_VALUE"""),"Anetzet ")</f>
        <v>Anetzet </v>
      </c>
      <c r="C461" s="78" t="str">
        <f>IFERROR(__xludf.DUMMYFUNCTION("""COMPUTED_VALUE"""),"https://www.munzee.com/m/Anetzet/2648/")</f>
        <v>https://www.munzee.com/m/Anetzet/2648/</v>
      </c>
      <c r="D461" s="47"/>
      <c r="E461" s="47" t="b">
        <f>IFERROR(__xludf.DUMMYFUNCTION("""COMPUTED_VALUE"""),TRUE)</f>
        <v>1</v>
      </c>
      <c r="F461" s="83" t="str">
        <f>IFERROR(__xludf.DUMMYFUNCTION("""COMPUTED_VALUE"""),"")</f>
        <v/>
      </c>
      <c r="G461" s="47" t="str">
        <f>IFERROR(__xludf.DUMMYFUNCTION("""COMPUTED_VALUE"""),"")</f>
        <v/>
      </c>
      <c r="H461" s="47"/>
      <c r="I461" s="47">
        <f>IFERROR(__xludf.DUMMYFUNCTION("""COMPUTED_VALUE"""),2.0)</f>
        <v>2</v>
      </c>
      <c r="J461" s="47" t="str">
        <f>IFERROR(__xludf.DUMMYFUNCTION("""COMPUTED_VALUE"""),"https:")</f>
        <v>https:</v>
      </c>
      <c r="K461" s="78" t="str">
        <f>IFERROR(__xludf.DUMMYFUNCTION("""COMPUTED_VALUE"""),"www.munzee.com")</f>
        <v>www.munzee.com</v>
      </c>
      <c r="L461" s="47" t="str">
        <f>IFERROR(__xludf.DUMMYFUNCTION("""COMPUTED_VALUE"""),"m")</f>
        <v>m</v>
      </c>
      <c r="M461" s="47" t="str">
        <f>IFERROR(__xludf.DUMMYFUNCTION("""COMPUTED_VALUE"""),"Anetzet")</f>
        <v>Anetzet</v>
      </c>
    </row>
    <row r="462">
      <c r="A462" s="47" t="str">
        <f>IFERROR(__xludf.DUMMYFUNCTION("""COMPUTED_VALUE"""),"Virtual Brown")</f>
        <v>Virtual Brown</v>
      </c>
      <c r="B462" s="47" t="str">
        <f>IFERROR(__xludf.DUMMYFUNCTION("""COMPUTED_VALUE"""),"TheFatCats")</f>
        <v>TheFatCats</v>
      </c>
      <c r="C462" s="78" t="str">
        <f>IFERROR(__xludf.DUMMYFUNCTION("""COMPUTED_VALUE"""),"https://www.munzee.com/m/TheFatCats/3601/")</f>
        <v>https://www.munzee.com/m/TheFatCats/3601/</v>
      </c>
      <c r="D462" s="47"/>
      <c r="E462" s="47" t="b">
        <f>IFERROR(__xludf.DUMMYFUNCTION("""COMPUTED_VALUE"""),TRUE)</f>
        <v>1</v>
      </c>
      <c r="F462" s="83" t="str">
        <f>IFERROR(__xludf.DUMMYFUNCTION("""COMPUTED_VALUE"""),"")</f>
        <v/>
      </c>
      <c r="G462" s="47" t="str">
        <f>IFERROR(__xludf.DUMMYFUNCTION("""COMPUTED_VALUE"""),"")</f>
        <v/>
      </c>
      <c r="H462" s="47"/>
      <c r="I462" s="47">
        <f>IFERROR(__xludf.DUMMYFUNCTION("""COMPUTED_VALUE"""),2.0)</f>
        <v>2</v>
      </c>
      <c r="J462" s="47" t="str">
        <f>IFERROR(__xludf.DUMMYFUNCTION("""COMPUTED_VALUE"""),"https:")</f>
        <v>https:</v>
      </c>
      <c r="K462" s="78" t="str">
        <f>IFERROR(__xludf.DUMMYFUNCTION("""COMPUTED_VALUE"""),"www.munzee.com")</f>
        <v>www.munzee.com</v>
      </c>
      <c r="L462" s="47" t="str">
        <f>IFERROR(__xludf.DUMMYFUNCTION("""COMPUTED_VALUE"""),"m")</f>
        <v>m</v>
      </c>
      <c r="M462" s="47" t="str">
        <f>IFERROR(__xludf.DUMMYFUNCTION("""COMPUTED_VALUE"""),"TheFatCats")</f>
        <v>TheFatCats</v>
      </c>
    </row>
    <row r="463">
      <c r="A463" s="47" t="str">
        <f>IFERROR(__xludf.DUMMYFUNCTION("""COMPUTED_VALUE"""),"Virtual Brown")</f>
        <v>Virtual Brown</v>
      </c>
      <c r="B463" s="47" t="str">
        <f>IFERROR(__xludf.DUMMYFUNCTION("""COMPUTED_VALUE"""),"Derlame ")</f>
        <v>Derlame </v>
      </c>
      <c r="C463" s="78" t="str">
        <f>IFERROR(__xludf.DUMMYFUNCTION("""COMPUTED_VALUE"""),"https://www.munzee.com/m/Derlame/12559/")</f>
        <v>https://www.munzee.com/m/Derlame/12559/</v>
      </c>
      <c r="D463" s="47"/>
      <c r="E463" s="47" t="b">
        <f>IFERROR(__xludf.DUMMYFUNCTION("""COMPUTED_VALUE"""),TRUE)</f>
        <v>1</v>
      </c>
      <c r="F463" s="83" t="str">
        <f>IFERROR(__xludf.DUMMYFUNCTION("""COMPUTED_VALUE"""),"")</f>
        <v/>
      </c>
      <c r="G463" s="47" t="str">
        <f>IFERROR(__xludf.DUMMYFUNCTION("""COMPUTED_VALUE"""),"")</f>
        <v/>
      </c>
      <c r="H463" s="47"/>
      <c r="I463" s="47">
        <f>IFERROR(__xludf.DUMMYFUNCTION("""COMPUTED_VALUE"""),2.0)</f>
        <v>2</v>
      </c>
      <c r="J463" s="47" t="str">
        <f>IFERROR(__xludf.DUMMYFUNCTION("""COMPUTED_VALUE"""),"https:")</f>
        <v>https:</v>
      </c>
      <c r="K463" s="78" t="str">
        <f>IFERROR(__xludf.DUMMYFUNCTION("""COMPUTED_VALUE"""),"www.munzee.com")</f>
        <v>www.munzee.com</v>
      </c>
      <c r="L463" s="47" t="str">
        <f>IFERROR(__xludf.DUMMYFUNCTION("""COMPUTED_VALUE"""),"m")</f>
        <v>m</v>
      </c>
      <c r="M463" s="47" t="str">
        <f>IFERROR(__xludf.DUMMYFUNCTION("""COMPUTED_VALUE"""),"Derlame")</f>
        <v>Derlame</v>
      </c>
    </row>
    <row r="464">
      <c r="A464" s="47" t="str">
        <f>IFERROR(__xludf.DUMMYFUNCTION("""COMPUTED_VALUE"""),"Virtual Brown")</f>
        <v>Virtual Brown</v>
      </c>
      <c r="B464" s="47" t="str">
        <f>IFERROR(__xludf.DUMMYFUNCTION("""COMPUTED_VALUE"""),"WiseOldWizard")</f>
        <v>WiseOldWizard</v>
      </c>
      <c r="C464" s="78" t="str">
        <f>IFERROR(__xludf.DUMMYFUNCTION("""COMPUTED_VALUE"""),"https://www.munzee.com/m/WiseOldWizard/3969/")</f>
        <v>https://www.munzee.com/m/WiseOldWizard/3969/</v>
      </c>
      <c r="D464" s="47"/>
      <c r="E464" s="47" t="b">
        <f>IFERROR(__xludf.DUMMYFUNCTION("""COMPUTED_VALUE"""),TRUE)</f>
        <v>1</v>
      </c>
      <c r="F464" s="83" t="str">
        <f>IFERROR(__xludf.DUMMYFUNCTION("""COMPUTED_VALUE"""),"")</f>
        <v/>
      </c>
      <c r="G464" s="47" t="str">
        <f>IFERROR(__xludf.DUMMYFUNCTION("""COMPUTED_VALUE"""),"")</f>
        <v/>
      </c>
      <c r="H464" s="47"/>
      <c r="I464" s="47">
        <f>IFERROR(__xludf.DUMMYFUNCTION("""COMPUTED_VALUE"""),2.0)</f>
        <v>2</v>
      </c>
      <c r="J464" s="47" t="str">
        <f>IFERROR(__xludf.DUMMYFUNCTION("""COMPUTED_VALUE"""),"https:")</f>
        <v>https:</v>
      </c>
      <c r="K464" s="78" t="str">
        <f>IFERROR(__xludf.DUMMYFUNCTION("""COMPUTED_VALUE"""),"www.munzee.com")</f>
        <v>www.munzee.com</v>
      </c>
      <c r="L464" s="47" t="str">
        <f>IFERROR(__xludf.DUMMYFUNCTION("""COMPUTED_VALUE"""),"m")</f>
        <v>m</v>
      </c>
      <c r="M464" s="47" t="str">
        <f>IFERROR(__xludf.DUMMYFUNCTION("""COMPUTED_VALUE"""),"WiseOldWizard")</f>
        <v>WiseOldWizard</v>
      </c>
    </row>
    <row r="465">
      <c r="A465" s="47" t="str">
        <f>IFERROR(__xludf.DUMMYFUNCTION("""COMPUTED_VALUE"""),"Virtual Brown")</f>
        <v>Virtual Brown</v>
      </c>
      <c r="B465" s="47" t="str">
        <f>IFERROR(__xludf.DUMMYFUNCTION("""COMPUTED_VALUE"""),"OdinsFiRe")</f>
        <v>OdinsFiRe</v>
      </c>
      <c r="C465" s="78" t="str">
        <f>IFERROR(__xludf.DUMMYFUNCTION("""COMPUTED_VALUE"""),"https://www.munzee.com/m/OdinsFiRe/1562/")</f>
        <v>https://www.munzee.com/m/OdinsFiRe/1562/</v>
      </c>
      <c r="D465" s="85">
        <f>IFERROR(__xludf.DUMMYFUNCTION("""COMPUTED_VALUE"""),44051.0)</f>
        <v>44051</v>
      </c>
      <c r="E465" s="47" t="b">
        <f>IFERROR(__xludf.DUMMYFUNCTION("""COMPUTED_VALUE"""),TRUE)</f>
        <v>1</v>
      </c>
      <c r="F465" s="83" t="str">
        <f>IFERROR(__xludf.DUMMYFUNCTION("""COMPUTED_VALUE"""),"")</f>
        <v/>
      </c>
      <c r="G465" s="47" t="str">
        <f>IFERROR(__xludf.DUMMYFUNCTION("""COMPUTED_VALUE"""),"")</f>
        <v/>
      </c>
      <c r="H465" s="47"/>
      <c r="I465" s="47">
        <f>IFERROR(__xludf.DUMMYFUNCTION("""COMPUTED_VALUE"""),2.0)</f>
        <v>2</v>
      </c>
      <c r="J465" s="47" t="str">
        <f>IFERROR(__xludf.DUMMYFUNCTION("""COMPUTED_VALUE"""),"https:")</f>
        <v>https:</v>
      </c>
      <c r="K465" s="78" t="str">
        <f>IFERROR(__xludf.DUMMYFUNCTION("""COMPUTED_VALUE"""),"www.munzee.com")</f>
        <v>www.munzee.com</v>
      </c>
      <c r="L465" s="47" t="str">
        <f>IFERROR(__xludf.DUMMYFUNCTION("""COMPUTED_VALUE"""),"m")</f>
        <v>m</v>
      </c>
      <c r="M465" s="47" t="str">
        <f>IFERROR(__xludf.DUMMYFUNCTION("""COMPUTED_VALUE"""),"OdinsFiRe")</f>
        <v>OdinsFiRe</v>
      </c>
    </row>
    <row r="466">
      <c r="A466" s="47" t="str">
        <f>IFERROR(__xludf.DUMMYFUNCTION("""COMPUTED_VALUE"""),"Virtual Raw Sienna")</f>
        <v>Virtual Raw Sienna</v>
      </c>
      <c r="B466" s="47" t="str">
        <f>IFERROR(__xludf.DUMMYFUNCTION("""COMPUTED_VALUE"""),"Wangotango")</f>
        <v>Wangotango</v>
      </c>
      <c r="C466" s="78" t="str">
        <f>IFERROR(__xludf.DUMMYFUNCTION("""COMPUTED_VALUE"""),"https://www.munzee.com/m/wangotango/1256")</f>
        <v>https://www.munzee.com/m/wangotango/1256</v>
      </c>
      <c r="D466" s="47"/>
      <c r="E466" s="47" t="b">
        <f>IFERROR(__xludf.DUMMYFUNCTION("""COMPUTED_VALUE"""),TRUE)</f>
        <v>1</v>
      </c>
      <c r="F466" s="83" t="str">
        <f>IFERROR(__xludf.DUMMYFUNCTION("""COMPUTED_VALUE"""),"")</f>
        <v/>
      </c>
      <c r="G466" s="47" t="str">
        <f>IFERROR(__xludf.DUMMYFUNCTION("""COMPUTED_VALUE"""),"")</f>
        <v/>
      </c>
      <c r="H466" s="47"/>
      <c r="I466" s="47">
        <f>IFERROR(__xludf.DUMMYFUNCTION("""COMPUTED_VALUE"""),2.0)</f>
        <v>2</v>
      </c>
      <c r="J466" s="47" t="str">
        <f>IFERROR(__xludf.DUMMYFUNCTION("""COMPUTED_VALUE"""),"https:")</f>
        <v>https:</v>
      </c>
      <c r="K466" s="78" t="str">
        <f>IFERROR(__xludf.DUMMYFUNCTION("""COMPUTED_VALUE"""),"www.munzee.com")</f>
        <v>www.munzee.com</v>
      </c>
      <c r="L466" s="47" t="str">
        <f>IFERROR(__xludf.DUMMYFUNCTION("""COMPUTED_VALUE"""),"m")</f>
        <v>m</v>
      </c>
      <c r="M466" s="47" t="str">
        <f>IFERROR(__xludf.DUMMYFUNCTION("""COMPUTED_VALUE"""),"wangotango")</f>
        <v>wangotango</v>
      </c>
    </row>
    <row r="467">
      <c r="A467" s="47" t="str">
        <f>IFERROR(__xludf.DUMMYFUNCTION("""COMPUTED_VALUE"""),"Virtual Raw Sienna")</f>
        <v>Virtual Raw Sienna</v>
      </c>
      <c r="B467" s="47" t="str">
        <f>IFERROR(__xludf.DUMMYFUNCTION("""COMPUTED_VALUE"""),"Sinister")</f>
        <v>Sinister</v>
      </c>
      <c r="C467" s="78" t="str">
        <f>IFERROR(__xludf.DUMMYFUNCTION("""COMPUTED_VALUE"""),"https://www.munzee.com/m/Sinister/2249/")</f>
        <v>https://www.munzee.com/m/Sinister/2249/</v>
      </c>
      <c r="D467" s="47"/>
      <c r="E467" s="47" t="b">
        <f>IFERROR(__xludf.DUMMYFUNCTION("""COMPUTED_VALUE"""),TRUE)</f>
        <v>1</v>
      </c>
      <c r="F467" s="83" t="str">
        <f>IFERROR(__xludf.DUMMYFUNCTION("""COMPUTED_VALUE"""),"")</f>
        <v/>
      </c>
      <c r="G467" s="47" t="str">
        <f>IFERROR(__xludf.DUMMYFUNCTION("""COMPUTED_VALUE"""),"")</f>
        <v/>
      </c>
      <c r="H467" s="47"/>
      <c r="I467" s="47">
        <f>IFERROR(__xludf.DUMMYFUNCTION("""COMPUTED_VALUE"""),2.0)</f>
        <v>2</v>
      </c>
      <c r="J467" s="47" t="str">
        <f>IFERROR(__xludf.DUMMYFUNCTION("""COMPUTED_VALUE"""),"https:")</f>
        <v>https:</v>
      </c>
      <c r="K467" s="78" t="str">
        <f>IFERROR(__xludf.DUMMYFUNCTION("""COMPUTED_VALUE"""),"www.munzee.com")</f>
        <v>www.munzee.com</v>
      </c>
      <c r="L467" s="47" t="str">
        <f>IFERROR(__xludf.DUMMYFUNCTION("""COMPUTED_VALUE"""),"m")</f>
        <v>m</v>
      </c>
      <c r="M467" s="47" t="str">
        <f>IFERROR(__xludf.DUMMYFUNCTION("""COMPUTED_VALUE"""),"Sinister")</f>
        <v>Sinister</v>
      </c>
    </row>
    <row r="468">
      <c r="A468" s="47" t="str">
        <f>IFERROR(__xludf.DUMMYFUNCTION("""COMPUTED_VALUE"""),"Virtual Brown")</f>
        <v>Virtual Brown</v>
      </c>
      <c r="B468" s="47" t="str">
        <f>IFERROR(__xludf.DUMMYFUNCTION("""COMPUTED_VALUE"""),"MadDogLady")</f>
        <v>MadDogLady</v>
      </c>
      <c r="C468" s="78" t="str">
        <f>IFERROR(__xludf.DUMMYFUNCTION("""COMPUTED_VALUE"""),"https://www.munzee.com/m/MadDogLady/2225")</f>
        <v>https://www.munzee.com/m/MadDogLady/2225</v>
      </c>
      <c r="D468" s="47"/>
      <c r="E468" s="47" t="b">
        <f>IFERROR(__xludf.DUMMYFUNCTION("""COMPUTED_VALUE"""),TRUE)</f>
        <v>1</v>
      </c>
      <c r="F468" s="83" t="str">
        <f>IFERROR(__xludf.DUMMYFUNCTION("""COMPUTED_VALUE"""),"")</f>
        <v/>
      </c>
      <c r="G468" s="47" t="str">
        <f>IFERROR(__xludf.DUMMYFUNCTION("""COMPUTED_VALUE"""),"")</f>
        <v/>
      </c>
      <c r="H468" s="47"/>
      <c r="I468" s="47">
        <f>IFERROR(__xludf.DUMMYFUNCTION("""COMPUTED_VALUE"""),2.0)</f>
        <v>2</v>
      </c>
      <c r="J468" s="47" t="str">
        <f>IFERROR(__xludf.DUMMYFUNCTION("""COMPUTED_VALUE"""),"https:")</f>
        <v>https:</v>
      </c>
      <c r="K468" s="78" t="str">
        <f>IFERROR(__xludf.DUMMYFUNCTION("""COMPUTED_VALUE"""),"www.munzee.com")</f>
        <v>www.munzee.com</v>
      </c>
      <c r="L468" s="47" t="str">
        <f>IFERROR(__xludf.DUMMYFUNCTION("""COMPUTED_VALUE"""),"m")</f>
        <v>m</v>
      </c>
      <c r="M468" s="47" t="str">
        <f>IFERROR(__xludf.DUMMYFUNCTION("""COMPUTED_VALUE"""),"MadDogLady")</f>
        <v>MadDogLady</v>
      </c>
    </row>
    <row r="469">
      <c r="A469" s="47" t="str">
        <f>IFERROR(__xludf.DUMMYFUNCTION("""COMPUTED_VALUE"""),"Virtual Brown")</f>
        <v>Virtual Brown</v>
      </c>
      <c r="B469" s="47" t="str">
        <f>IFERROR(__xludf.DUMMYFUNCTION("""COMPUTED_VALUE"""),"OdinsFiRe")</f>
        <v>OdinsFiRe</v>
      </c>
      <c r="C469" s="78" t="str">
        <f>IFERROR(__xludf.DUMMYFUNCTION("""COMPUTED_VALUE"""),"https://www.munzee.com/m/OdinsFiRe/1563/")</f>
        <v>https://www.munzee.com/m/OdinsFiRe/1563/</v>
      </c>
      <c r="D469" s="85">
        <f>IFERROR(__xludf.DUMMYFUNCTION("""COMPUTED_VALUE"""),44082.0)</f>
        <v>44082</v>
      </c>
      <c r="E469" s="47" t="b">
        <f>IFERROR(__xludf.DUMMYFUNCTION("""COMPUTED_VALUE"""),TRUE)</f>
        <v>1</v>
      </c>
      <c r="F469" s="86" t="str">
        <f>IFERROR(__xludf.DUMMYFUNCTION("""COMPUTED_VALUE"""),"")</f>
        <v/>
      </c>
      <c r="G469" s="47" t="str">
        <f>IFERROR(__xludf.DUMMYFUNCTION("""COMPUTED_VALUE"""),"")</f>
        <v/>
      </c>
      <c r="H469" s="47"/>
      <c r="I469" s="47">
        <f>IFERROR(__xludf.DUMMYFUNCTION("""COMPUTED_VALUE"""),2.0)</f>
        <v>2</v>
      </c>
      <c r="J469" s="47" t="str">
        <f>IFERROR(__xludf.DUMMYFUNCTION("""COMPUTED_VALUE"""),"https:")</f>
        <v>https:</v>
      </c>
      <c r="K469" s="78" t="str">
        <f>IFERROR(__xludf.DUMMYFUNCTION("""COMPUTED_VALUE"""),"www.munzee.com")</f>
        <v>www.munzee.com</v>
      </c>
      <c r="L469" s="47" t="str">
        <f>IFERROR(__xludf.DUMMYFUNCTION("""COMPUTED_VALUE"""),"m")</f>
        <v>m</v>
      </c>
      <c r="M469" s="47" t="str">
        <f>IFERROR(__xludf.DUMMYFUNCTION("""COMPUTED_VALUE"""),"OdinsFiRe")</f>
        <v>OdinsFiRe</v>
      </c>
    </row>
    <row r="470">
      <c r="A470" s="47" t="str">
        <f>IFERROR(__xludf.DUMMYFUNCTION("""COMPUTED_VALUE"""),"Virtual Brown")</f>
        <v>Virtual Brown</v>
      </c>
      <c r="B470" s="47" t="str">
        <f>IFERROR(__xludf.DUMMYFUNCTION("""COMPUTED_VALUE"""),"sverlaan")</f>
        <v>sverlaan</v>
      </c>
      <c r="C470" s="78" t="str">
        <f>IFERROR(__xludf.DUMMYFUNCTION("""COMPUTED_VALUE"""),"https://www.munzee.com/m/sverlaan/4214/")</f>
        <v>https://www.munzee.com/m/sverlaan/4214/</v>
      </c>
      <c r="D470" s="47"/>
      <c r="E470" s="47" t="b">
        <f>IFERROR(__xludf.DUMMYFUNCTION("""COMPUTED_VALUE"""),TRUE)</f>
        <v>1</v>
      </c>
      <c r="F470" s="86" t="str">
        <f>IFERROR(__xludf.DUMMYFUNCTION("""COMPUTED_VALUE"""),"")</f>
        <v/>
      </c>
      <c r="G470" s="47" t="str">
        <f>IFERROR(__xludf.DUMMYFUNCTION("""COMPUTED_VALUE"""),"")</f>
        <v/>
      </c>
      <c r="H470" s="47"/>
      <c r="I470" s="47">
        <f>IFERROR(__xludf.DUMMYFUNCTION("""COMPUTED_VALUE"""),2.0)</f>
        <v>2</v>
      </c>
      <c r="J470" s="47" t="str">
        <f>IFERROR(__xludf.DUMMYFUNCTION("""COMPUTED_VALUE"""),"https:")</f>
        <v>https:</v>
      </c>
      <c r="K470" s="78" t="str">
        <f>IFERROR(__xludf.DUMMYFUNCTION("""COMPUTED_VALUE"""),"www.munzee.com")</f>
        <v>www.munzee.com</v>
      </c>
      <c r="L470" s="47" t="str">
        <f>IFERROR(__xludf.DUMMYFUNCTION("""COMPUTED_VALUE"""),"m")</f>
        <v>m</v>
      </c>
      <c r="M470" s="47" t="str">
        <f>IFERROR(__xludf.DUMMYFUNCTION("""COMPUTED_VALUE"""),"sverlaan")</f>
        <v>sverlaan</v>
      </c>
    </row>
    <row r="471">
      <c r="A471" s="47" t="str">
        <f>IFERROR(__xludf.DUMMYFUNCTION("""COMPUTED_VALUE"""),"Virtual Raw Sienna")</f>
        <v>Virtual Raw Sienna</v>
      </c>
      <c r="B471" s="47" t="str">
        <f>IFERROR(__xludf.DUMMYFUNCTION("""COMPUTED_VALUE"""),"PawPatrolThomas")</f>
        <v>PawPatrolThomas</v>
      </c>
      <c r="C471" s="78" t="str">
        <f>IFERROR(__xludf.DUMMYFUNCTION("""COMPUTED_VALUE"""),"https://www.munzee.com/m/PawPatrolThomas/2281/")</f>
        <v>https://www.munzee.com/m/PawPatrolThomas/2281/</v>
      </c>
      <c r="D471" s="47"/>
      <c r="E471" s="47" t="b">
        <f>IFERROR(__xludf.DUMMYFUNCTION("""COMPUTED_VALUE"""),TRUE)</f>
        <v>1</v>
      </c>
      <c r="F471" s="86" t="str">
        <f>IFERROR(__xludf.DUMMYFUNCTION("""COMPUTED_VALUE"""),"")</f>
        <v/>
      </c>
      <c r="G471" s="47" t="str">
        <f>IFERROR(__xludf.DUMMYFUNCTION("""COMPUTED_VALUE"""),"")</f>
        <v/>
      </c>
      <c r="H471" s="47"/>
      <c r="I471" s="47">
        <f>IFERROR(__xludf.DUMMYFUNCTION("""COMPUTED_VALUE"""),2.0)</f>
        <v>2</v>
      </c>
      <c r="J471" s="47" t="str">
        <f>IFERROR(__xludf.DUMMYFUNCTION("""COMPUTED_VALUE"""),"https:")</f>
        <v>https:</v>
      </c>
      <c r="K471" s="78" t="str">
        <f>IFERROR(__xludf.DUMMYFUNCTION("""COMPUTED_VALUE"""),"www.munzee.com")</f>
        <v>www.munzee.com</v>
      </c>
      <c r="L471" s="47" t="str">
        <f>IFERROR(__xludf.DUMMYFUNCTION("""COMPUTED_VALUE"""),"m")</f>
        <v>m</v>
      </c>
      <c r="M471" s="47" t="str">
        <f>IFERROR(__xludf.DUMMYFUNCTION("""COMPUTED_VALUE"""),"PawPatrolThomas")</f>
        <v>PawPatrolThomas</v>
      </c>
    </row>
    <row r="472">
      <c r="A472" s="47" t="str">
        <f>IFERROR(__xludf.DUMMYFUNCTION("""COMPUTED_VALUE"""),"Virtual Raw Sienna")</f>
        <v>Virtual Raw Sienna</v>
      </c>
      <c r="B472" s="47" t="str">
        <f>IFERROR(__xludf.DUMMYFUNCTION("""COMPUTED_VALUE"""),"TheFatCats")</f>
        <v>TheFatCats</v>
      </c>
      <c r="C472" s="78" t="str">
        <f>IFERROR(__xludf.DUMMYFUNCTION("""COMPUTED_VALUE"""),"https://www.munzee.com/m/TheFatCats/3747/")</f>
        <v>https://www.munzee.com/m/TheFatCats/3747/</v>
      </c>
      <c r="D472" s="47"/>
      <c r="E472" s="47" t="b">
        <f>IFERROR(__xludf.DUMMYFUNCTION("""COMPUTED_VALUE"""),TRUE)</f>
        <v>1</v>
      </c>
      <c r="F472" s="47"/>
      <c r="G472" s="47" t="str">
        <f>IFERROR(__xludf.DUMMYFUNCTION("""COMPUTED_VALUE"""),"")</f>
        <v/>
      </c>
      <c r="H472" s="47"/>
      <c r="I472" s="47">
        <f>IFERROR(__xludf.DUMMYFUNCTION("""COMPUTED_VALUE"""),2.0)</f>
        <v>2</v>
      </c>
      <c r="J472" s="47" t="str">
        <f>IFERROR(__xludf.DUMMYFUNCTION("""COMPUTED_VALUE"""),"https:")</f>
        <v>https:</v>
      </c>
      <c r="K472" s="78" t="str">
        <f>IFERROR(__xludf.DUMMYFUNCTION("""COMPUTED_VALUE"""),"www.munzee.com")</f>
        <v>www.munzee.com</v>
      </c>
      <c r="L472" s="47" t="str">
        <f>IFERROR(__xludf.DUMMYFUNCTION("""COMPUTED_VALUE"""),"m")</f>
        <v>m</v>
      </c>
      <c r="M472" s="47" t="str">
        <f>IFERROR(__xludf.DUMMYFUNCTION("""COMPUTED_VALUE"""),"TheFatCats")</f>
        <v>TheFatCats</v>
      </c>
    </row>
    <row r="473">
      <c r="A473" s="47" t="str">
        <f>IFERROR(__xludf.DUMMYFUNCTION("""COMPUTED_VALUE"""),"Virtual Brown")</f>
        <v>Virtual Brown</v>
      </c>
      <c r="B473" s="47" t="str">
        <f>IFERROR(__xludf.DUMMYFUNCTION("""COMPUTED_VALUE"""),"lison55")</f>
        <v>lison55</v>
      </c>
      <c r="C473" s="78" t="str">
        <f>IFERROR(__xludf.DUMMYFUNCTION("""COMPUTED_VALUE"""),"https://www.munzee.com/m/lison55/5345/")</f>
        <v>https://www.munzee.com/m/lison55/5345/</v>
      </c>
      <c r="D473" s="47"/>
      <c r="E473" s="47" t="b">
        <f>IFERROR(__xludf.DUMMYFUNCTION("""COMPUTED_VALUE"""),TRUE)</f>
        <v>1</v>
      </c>
      <c r="F473" s="86" t="str">
        <f>IFERROR(__xludf.DUMMYFUNCTION("""COMPUTED_VALUE"""),"")</f>
        <v/>
      </c>
      <c r="G473" s="47" t="str">
        <f>IFERROR(__xludf.DUMMYFUNCTION("""COMPUTED_VALUE"""),"")</f>
        <v/>
      </c>
      <c r="H473" s="47"/>
      <c r="I473" s="47">
        <f>IFERROR(__xludf.DUMMYFUNCTION("""COMPUTED_VALUE"""),2.0)</f>
        <v>2</v>
      </c>
      <c r="J473" s="47" t="str">
        <f>IFERROR(__xludf.DUMMYFUNCTION("""COMPUTED_VALUE"""),"https:")</f>
        <v>https:</v>
      </c>
      <c r="K473" s="78" t="str">
        <f>IFERROR(__xludf.DUMMYFUNCTION("""COMPUTED_VALUE"""),"www.munzee.com")</f>
        <v>www.munzee.com</v>
      </c>
      <c r="L473" s="47" t="str">
        <f>IFERROR(__xludf.DUMMYFUNCTION("""COMPUTED_VALUE"""),"m")</f>
        <v>m</v>
      </c>
      <c r="M473" s="47" t="str">
        <f>IFERROR(__xludf.DUMMYFUNCTION("""COMPUTED_VALUE"""),"lison55")</f>
        <v>lison55</v>
      </c>
    </row>
    <row r="474">
      <c r="A474" s="47" t="str">
        <f>IFERROR(__xludf.DUMMYFUNCTION("""COMPUTED_VALUE"""),"Virtual Brown")</f>
        <v>Virtual Brown</v>
      </c>
      <c r="B474" s="47" t="str">
        <f>IFERROR(__xludf.DUMMYFUNCTION("""COMPUTED_VALUE"""),"J1Huisman")</f>
        <v>J1Huisman</v>
      </c>
      <c r="C474" s="78" t="str">
        <f>IFERROR(__xludf.DUMMYFUNCTION("""COMPUTED_VALUE"""),"https://www.munzee.com/m/J1Huisman/11293/")</f>
        <v>https://www.munzee.com/m/J1Huisman/11293/</v>
      </c>
      <c r="D474" s="47"/>
      <c r="E474" s="47" t="b">
        <f>IFERROR(__xludf.DUMMYFUNCTION("""COMPUTED_VALUE"""),TRUE)</f>
        <v>1</v>
      </c>
      <c r="F474" s="86" t="str">
        <f>IFERROR(__xludf.DUMMYFUNCTION("""COMPUTED_VALUE"""),"")</f>
        <v/>
      </c>
      <c r="G474" s="47" t="str">
        <f>IFERROR(__xludf.DUMMYFUNCTION("""COMPUTED_VALUE"""),"")</f>
        <v/>
      </c>
      <c r="H474" s="47"/>
      <c r="I474" s="47">
        <f>IFERROR(__xludf.DUMMYFUNCTION("""COMPUTED_VALUE"""),2.0)</f>
        <v>2</v>
      </c>
      <c r="J474" s="47" t="str">
        <f>IFERROR(__xludf.DUMMYFUNCTION("""COMPUTED_VALUE"""),"https:")</f>
        <v>https:</v>
      </c>
      <c r="K474" s="78" t="str">
        <f>IFERROR(__xludf.DUMMYFUNCTION("""COMPUTED_VALUE"""),"www.munzee.com")</f>
        <v>www.munzee.com</v>
      </c>
      <c r="L474" s="47" t="str">
        <f>IFERROR(__xludf.DUMMYFUNCTION("""COMPUTED_VALUE"""),"m")</f>
        <v>m</v>
      </c>
      <c r="M474" s="47" t="str">
        <f>IFERROR(__xludf.DUMMYFUNCTION("""COMPUTED_VALUE"""),"J1Huisman")</f>
        <v>J1Huisman</v>
      </c>
    </row>
    <row r="475">
      <c r="A475" s="47" t="str">
        <f>IFERROR(__xludf.DUMMYFUNCTION("""COMPUTED_VALUE"""),"Virtual Brown")</f>
        <v>Virtual Brown</v>
      </c>
      <c r="B475" s="47" t="str">
        <f>IFERROR(__xludf.DUMMYFUNCTION("""COMPUTED_VALUE"""),"Pinkeltje")</f>
        <v>Pinkeltje</v>
      </c>
      <c r="C475" s="78" t="str">
        <f>IFERROR(__xludf.DUMMYFUNCTION("""COMPUTED_VALUE"""),"https://www.munzee.com/m/Pinkeltje/1205/")</f>
        <v>https://www.munzee.com/m/Pinkeltje/1205/</v>
      </c>
      <c r="D475" s="47"/>
      <c r="E475" s="47" t="b">
        <f>IFERROR(__xludf.DUMMYFUNCTION("""COMPUTED_VALUE"""),TRUE)</f>
        <v>1</v>
      </c>
      <c r="F475" s="86" t="str">
        <f>IFERROR(__xludf.DUMMYFUNCTION("""COMPUTED_VALUE"""),"")</f>
        <v/>
      </c>
      <c r="G475" s="47" t="str">
        <f>IFERROR(__xludf.DUMMYFUNCTION("""COMPUTED_VALUE"""),"")</f>
        <v/>
      </c>
      <c r="H475" s="47"/>
      <c r="I475" s="47">
        <f>IFERROR(__xludf.DUMMYFUNCTION("""COMPUTED_VALUE"""),2.0)</f>
        <v>2</v>
      </c>
      <c r="J475" s="47" t="str">
        <f>IFERROR(__xludf.DUMMYFUNCTION("""COMPUTED_VALUE"""),"https:")</f>
        <v>https:</v>
      </c>
      <c r="K475" s="78" t="str">
        <f>IFERROR(__xludf.DUMMYFUNCTION("""COMPUTED_VALUE"""),"www.munzee.com")</f>
        <v>www.munzee.com</v>
      </c>
      <c r="L475" s="47" t="str">
        <f>IFERROR(__xludf.DUMMYFUNCTION("""COMPUTED_VALUE"""),"m")</f>
        <v>m</v>
      </c>
      <c r="M475" s="47" t="str">
        <f>IFERROR(__xludf.DUMMYFUNCTION("""COMPUTED_VALUE"""),"Pinkeltje")</f>
        <v>Pinkeltje</v>
      </c>
    </row>
    <row r="476">
      <c r="A476" s="47" t="str">
        <f>IFERROR(__xludf.DUMMYFUNCTION("""COMPUTED_VALUE"""),"Virtual Raw Sienna")</f>
        <v>Virtual Raw Sienna</v>
      </c>
      <c r="B476" s="47" t="str">
        <f>IFERROR(__xludf.DUMMYFUNCTION("""COMPUTED_VALUE"""),"xrayneex")</f>
        <v>xrayneex</v>
      </c>
      <c r="C476" s="78" t="str">
        <f>IFERROR(__xludf.DUMMYFUNCTION("""COMPUTED_VALUE"""),"https://www.munzee.com/m/xrayneex/1413/")</f>
        <v>https://www.munzee.com/m/xrayneex/1413/</v>
      </c>
      <c r="D476" s="47"/>
      <c r="E476" s="47" t="b">
        <f>IFERROR(__xludf.DUMMYFUNCTION("""COMPUTED_VALUE"""),TRUE)</f>
        <v>1</v>
      </c>
      <c r="F476" s="86" t="str">
        <f>IFERROR(__xludf.DUMMYFUNCTION("""COMPUTED_VALUE"""),"")</f>
        <v/>
      </c>
      <c r="G476" s="47" t="str">
        <f>IFERROR(__xludf.DUMMYFUNCTION("""COMPUTED_VALUE"""),"")</f>
        <v/>
      </c>
      <c r="H476" s="47"/>
      <c r="I476" s="47">
        <f>IFERROR(__xludf.DUMMYFUNCTION("""COMPUTED_VALUE"""),2.0)</f>
        <v>2</v>
      </c>
      <c r="J476" s="47" t="str">
        <f>IFERROR(__xludf.DUMMYFUNCTION("""COMPUTED_VALUE"""),"https:")</f>
        <v>https:</v>
      </c>
      <c r="K476" s="78" t="str">
        <f>IFERROR(__xludf.DUMMYFUNCTION("""COMPUTED_VALUE"""),"www.munzee.com")</f>
        <v>www.munzee.com</v>
      </c>
      <c r="L476" s="47" t="str">
        <f>IFERROR(__xludf.DUMMYFUNCTION("""COMPUTED_VALUE"""),"m")</f>
        <v>m</v>
      </c>
      <c r="M476" s="47" t="str">
        <f>IFERROR(__xludf.DUMMYFUNCTION("""COMPUTED_VALUE"""),"xrayneex")</f>
        <v>xrayneex</v>
      </c>
    </row>
    <row r="477">
      <c r="A477" s="47" t="str">
        <f>IFERROR(__xludf.DUMMYFUNCTION("""COMPUTED_VALUE"""),"Virtual Brown")</f>
        <v>Virtual Brown</v>
      </c>
      <c r="B477" s="47" t="str">
        <f>IFERROR(__xludf.DUMMYFUNCTION("""COMPUTED_VALUE"""),"fsafranek")</f>
        <v>fsafranek</v>
      </c>
      <c r="C477" s="78" t="str">
        <f>IFERROR(__xludf.DUMMYFUNCTION("""COMPUTED_VALUE"""),"https://www.munzee.com/m/fsafranek/4430/")</f>
        <v>https://www.munzee.com/m/fsafranek/4430/</v>
      </c>
      <c r="D477" s="47"/>
      <c r="E477" s="47" t="b">
        <f>IFERROR(__xludf.DUMMYFUNCTION("""COMPUTED_VALUE"""),TRUE)</f>
        <v>1</v>
      </c>
      <c r="F477" s="86" t="str">
        <f>IFERROR(__xludf.DUMMYFUNCTION("""COMPUTED_VALUE"""),"")</f>
        <v/>
      </c>
      <c r="G477" s="47" t="str">
        <f>IFERROR(__xludf.DUMMYFUNCTION("""COMPUTED_VALUE"""),"")</f>
        <v/>
      </c>
      <c r="H477" s="47"/>
      <c r="I477" s="47">
        <f>IFERROR(__xludf.DUMMYFUNCTION("""COMPUTED_VALUE"""),2.0)</f>
        <v>2</v>
      </c>
      <c r="J477" s="47" t="str">
        <f>IFERROR(__xludf.DUMMYFUNCTION("""COMPUTED_VALUE"""),"https:")</f>
        <v>https:</v>
      </c>
      <c r="K477" s="78" t="str">
        <f>IFERROR(__xludf.DUMMYFUNCTION("""COMPUTED_VALUE"""),"www.munzee.com")</f>
        <v>www.munzee.com</v>
      </c>
      <c r="L477" s="47" t="str">
        <f>IFERROR(__xludf.DUMMYFUNCTION("""COMPUTED_VALUE"""),"m")</f>
        <v>m</v>
      </c>
      <c r="M477" s="47" t="str">
        <f>IFERROR(__xludf.DUMMYFUNCTION("""COMPUTED_VALUE"""),"fsafranek")</f>
        <v>fsafranek</v>
      </c>
    </row>
    <row r="478">
      <c r="A478" s="47" t="str">
        <f>IFERROR(__xludf.DUMMYFUNCTION("""COMPUTED_VALUE"""),"Virtual Brown")</f>
        <v>Virtual Brown</v>
      </c>
      <c r="B478" s="47" t="str">
        <f>IFERROR(__xludf.DUMMYFUNCTION("""COMPUTED_VALUE"""),"lanyasummer")</f>
        <v>lanyasummer</v>
      </c>
      <c r="C478" s="78" t="str">
        <f>IFERROR(__xludf.DUMMYFUNCTION("""COMPUTED_VALUE"""),"https://www.munzee.com/m/Lanyasummer/4399/")</f>
        <v>https://www.munzee.com/m/Lanyasummer/4399/</v>
      </c>
      <c r="D478" s="47"/>
      <c r="E478" s="47" t="b">
        <f>IFERROR(__xludf.DUMMYFUNCTION("""COMPUTED_VALUE"""),TRUE)</f>
        <v>1</v>
      </c>
      <c r="F478" s="86" t="str">
        <f>IFERROR(__xludf.DUMMYFUNCTION("""COMPUTED_VALUE"""),"")</f>
        <v/>
      </c>
      <c r="G478" s="47" t="str">
        <f>IFERROR(__xludf.DUMMYFUNCTION("""COMPUTED_VALUE"""),"")</f>
        <v/>
      </c>
      <c r="H478" s="47"/>
      <c r="I478" s="47">
        <f>IFERROR(__xludf.DUMMYFUNCTION("""COMPUTED_VALUE"""),2.0)</f>
        <v>2</v>
      </c>
      <c r="J478" s="47" t="str">
        <f>IFERROR(__xludf.DUMMYFUNCTION("""COMPUTED_VALUE"""),"https:")</f>
        <v>https:</v>
      </c>
      <c r="K478" s="78" t="str">
        <f>IFERROR(__xludf.DUMMYFUNCTION("""COMPUTED_VALUE"""),"www.munzee.com")</f>
        <v>www.munzee.com</v>
      </c>
      <c r="L478" s="47" t="str">
        <f>IFERROR(__xludf.DUMMYFUNCTION("""COMPUTED_VALUE"""),"m")</f>
        <v>m</v>
      </c>
      <c r="M478" s="47" t="str">
        <f>IFERROR(__xludf.DUMMYFUNCTION("""COMPUTED_VALUE"""),"Lanyasummer")</f>
        <v>Lanyasummer</v>
      </c>
    </row>
    <row r="479">
      <c r="A479" s="47" t="str">
        <f>IFERROR(__xludf.DUMMYFUNCTION("""COMPUTED_VALUE"""),"Virtual Brown")</f>
        <v>Virtual Brown</v>
      </c>
      <c r="B479" s="47" t="str">
        <f>IFERROR(__xludf.DUMMYFUNCTION("""COMPUTED_VALUE"""),"babyw")</f>
        <v>babyw</v>
      </c>
      <c r="C479" s="78" t="str">
        <f>IFERROR(__xludf.DUMMYFUNCTION("""COMPUTED_VALUE"""),"https://www.munzee.com/m/babyw/3118/")</f>
        <v>https://www.munzee.com/m/babyw/3118/</v>
      </c>
      <c r="D479" s="84">
        <f>IFERROR(__xludf.DUMMYFUNCTION("""COMPUTED_VALUE"""),44051.0)</f>
        <v>44051</v>
      </c>
      <c r="E479" s="47" t="b">
        <f>IFERROR(__xludf.DUMMYFUNCTION("""COMPUTED_VALUE"""),TRUE)</f>
        <v>1</v>
      </c>
      <c r="F479" s="86" t="str">
        <f>IFERROR(__xludf.DUMMYFUNCTION("""COMPUTED_VALUE"""),"")</f>
        <v/>
      </c>
      <c r="G479" s="47" t="str">
        <f>IFERROR(__xludf.DUMMYFUNCTION("""COMPUTED_VALUE"""),"")</f>
        <v/>
      </c>
      <c r="H479" s="47"/>
      <c r="I479" s="47">
        <f>IFERROR(__xludf.DUMMYFUNCTION("""COMPUTED_VALUE"""),2.0)</f>
        <v>2</v>
      </c>
      <c r="J479" s="47" t="str">
        <f>IFERROR(__xludf.DUMMYFUNCTION("""COMPUTED_VALUE"""),"https:")</f>
        <v>https:</v>
      </c>
      <c r="K479" s="78" t="str">
        <f>IFERROR(__xludf.DUMMYFUNCTION("""COMPUTED_VALUE"""),"www.munzee.com")</f>
        <v>www.munzee.com</v>
      </c>
      <c r="L479" s="47" t="str">
        <f>IFERROR(__xludf.DUMMYFUNCTION("""COMPUTED_VALUE"""),"m")</f>
        <v>m</v>
      </c>
      <c r="M479" s="47" t="str">
        <f>IFERROR(__xludf.DUMMYFUNCTION("""COMPUTED_VALUE"""),"babyw")</f>
        <v>babyw</v>
      </c>
    </row>
    <row r="480">
      <c r="A480" s="47" t="str">
        <f>IFERROR(__xludf.DUMMYFUNCTION("""COMPUTED_VALUE"""),"Virtual Brown")</f>
        <v>Virtual Brown</v>
      </c>
      <c r="B480" s="47" t="str">
        <f>IFERROR(__xludf.DUMMYFUNCTION("""COMPUTED_VALUE"""),"fsafranek")</f>
        <v>fsafranek</v>
      </c>
      <c r="C480" s="78" t="str">
        <f>IFERROR(__xludf.DUMMYFUNCTION("""COMPUTED_VALUE"""),"https://www.munzee.com/m/fsafranek/4427/")</f>
        <v>https://www.munzee.com/m/fsafranek/4427/</v>
      </c>
      <c r="D480" s="47"/>
      <c r="E480" s="47" t="b">
        <f>IFERROR(__xludf.DUMMYFUNCTION("""COMPUTED_VALUE"""),TRUE)</f>
        <v>1</v>
      </c>
      <c r="F480" s="86" t="str">
        <f>IFERROR(__xludf.DUMMYFUNCTION("""COMPUTED_VALUE"""),"")</f>
        <v/>
      </c>
      <c r="G480" s="47" t="str">
        <f>IFERROR(__xludf.DUMMYFUNCTION("""COMPUTED_VALUE"""),"")</f>
        <v/>
      </c>
      <c r="H480" s="47"/>
      <c r="I480" s="47">
        <f>IFERROR(__xludf.DUMMYFUNCTION("""COMPUTED_VALUE"""),2.0)</f>
        <v>2</v>
      </c>
      <c r="J480" s="47" t="str">
        <f>IFERROR(__xludf.DUMMYFUNCTION("""COMPUTED_VALUE"""),"https:")</f>
        <v>https:</v>
      </c>
      <c r="K480" s="78" t="str">
        <f>IFERROR(__xludf.DUMMYFUNCTION("""COMPUTED_VALUE"""),"www.munzee.com")</f>
        <v>www.munzee.com</v>
      </c>
      <c r="L480" s="47" t="str">
        <f>IFERROR(__xludf.DUMMYFUNCTION("""COMPUTED_VALUE"""),"m")</f>
        <v>m</v>
      </c>
      <c r="M480" s="47" t="str">
        <f>IFERROR(__xludf.DUMMYFUNCTION("""COMPUTED_VALUE"""),"fsafranek")</f>
        <v>fsafranek</v>
      </c>
    </row>
    <row r="481">
      <c r="A481" s="47" t="str">
        <f>IFERROR(__xludf.DUMMYFUNCTION("""COMPUTED_VALUE"""),"Virtual Brown")</f>
        <v>Virtual Brown</v>
      </c>
      <c r="B481" s="47" t="str">
        <f>IFERROR(__xludf.DUMMYFUNCTION("""COMPUTED_VALUE"""),"5Star")</f>
        <v>5Star</v>
      </c>
      <c r="C481" s="78" t="str">
        <f>IFERROR(__xludf.DUMMYFUNCTION("""COMPUTED_VALUE"""),"https://www.munzee.com/m/5Star/5758/")</f>
        <v>https://www.munzee.com/m/5Star/5758/</v>
      </c>
      <c r="D481" s="47"/>
      <c r="E481" s="47" t="b">
        <f>IFERROR(__xludf.DUMMYFUNCTION("""COMPUTED_VALUE"""),TRUE)</f>
        <v>1</v>
      </c>
      <c r="F481" s="86" t="str">
        <f>IFERROR(__xludf.DUMMYFUNCTION("""COMPUTED_VALUE"""),"")</f>
        <v/>
      </c>
      <c r="G481" s="47" t="str">
        <f>IFERROR(__xludf.DUMMYFUNCTION("""COMPUTED_VALUE"""),"")</f>
        <v/>
      </c>
      <c r="H481" s="47"/>
      <c r="I481" s="47">
        <f>IFERROR(__xludf.DUMMYFUNCTION("""COMPUTED_VALUE"""),2.0)</f>
        <v>2</v>
      </c>
      <c r="J481" s="47" t="str">
        <f>IFERROR(__xludf.DUMMYFUNCTION("""COMPUTED_VALUE"""),"https:")</f>
        <v>https:</v>
      </c>
      <c r="K481" s="78" t="str">
        <f>IFERROR(__xludf.DUMMYFUNCTION("""COMPUTED_VALUE"""),"www.munzee.com")</f>
        <v>www.munzee.com</v>
      </c>
      <c r="L481" s="47" t="str">
        <f>IFERROR(__xludf.DUMMYFUNCTION("""COMPUTED_VALUE"""),"m")</f>
        <v>m</v>
      </c>
      <c r="M481" s="47" t="str">
        <f>IFERROR(__xludf.DUMMYFUNCTION("""COMPUTED_VALUE"""),"5Star")</f>
        <v>5Star</v>
      </c>
    </row>
    <row r="482">
      <c r="A482" s="47" t="str">
        <f>IFERROR(__xludf.DUMMYFUNCTION("""COMPUTED_VALUE"""),"Virtual Brown")</f>
        <v>Virtual Brown</v>
      </c>
      <c r="B482" s="47" t="str">
        <f>IFERROR(__xludf.DUMMYFUNCTION("""COMPUTED_VALUE"""),"BrotherWilliam")</f>
        <v>BrotherWilliam</v>
      </c>
      <c r="C482" s="78" t="str">
        <f>IFERROR(__xludf.DUMMYFUNCTION("""COMPUTED_VALUE"""),"https://www.munzee.com/m/BrotherWilliam/3946/")</f>
        <v>https://www.munzee.com/m/BrotherWilliam/3946/</v>
      </c>
      <c r="D482" s="47"/>
      <c r="E482" s="47" t="b">
        <f>IFERROR(__xludf.DUMMYFUNCTION("""COMPUTED_VALUE"""),TRUE)</f>
        <v>1</v>
      </c>
      <c r="F482" s="86" t="str">
        <f>IFERROR(__xludf.DUMMYFUNCTION("""COMPUTED_VALUE"""),"")</f>
        <v/>
      </c>
      <c r="G482" s="47" t="str">
        <f>IFERROR(__xludf.DUMMYFUNCTION("""COMPUTED_VALUE"""),"")</f>
        <v/>
      </c>
      <c r="H482" s="47"/>
      <c r="I482" s="47">
        <f>IFERROR(__xludf.DUMMYFUNCTION("""COMPUTED_VALUE"""),2.0)</f>
        <v>2</v>
      </c>
      <c r="J482" s="47" t="str">
        <f>IFERROR(__xludf.DUMMYFUNCTION("""COMPUTED_VALUE"""),"https:")</f>
        <v>https:</v>
      </c>
      <c r="K482" s="78" t="str">
        <f>IFERROR(__xludf.DUMMYFUNCTION("""COMPUTED_VALUE"""),"www.munzee.com")</f>
        <v>www.munzee.com</v>
      </c>
      <c r="L482" s="47" t="str">
        <f>IFERROR(__xludf.DUMMYFUNCTION("""COMPUTED_VALUE"""),"m")</f>
        <v>m</v>
      </c>
      <c r="M482" s="47" t="str">
        <f>IFERROR(__xludf.DUMMYFUNCTION("""COMPUTED_VALUE"""),"BrotherWilliam")</f>
        <v>BrotherWilliam</v>
      </c>
    </row>
    <row r="483">
      <c r="A483" s="47" t="str">
        <f>IFERROR(__xludf.DUMMYFUNCTION("""COMPUTED_VALUE"""),"Virtual Brown")</f>
        <v>Virtual Brown</v>
      </c>
      <c r="B483" s="47" t="str">
        <f>IFERROR(__xludf.DUMMYFUNCTION("""COMPUTED_VALUE"""),"ArtofEco")</f>
        <v>ArtofEco</v>
      </c>
      <c r="C483" s="78" t="str">
        <f>IFERROR(__xludf.DUMMYFUNCTION("""COMPUTED_VALUE"""),"https://www.munzee.com/m/ArtofEco/2969/")</f>
        <v>https://www.munzee.com/m/ArtofEco/2969/</v>
      </c>
      <c r="D483" s="47"/>
      <c r="E483" s="47" t="b">
        <f>IFERROR(__xludf.DUMMYFUNCTION("""COMPUTED_VALUE"""),TRUE)</f>
        <v>1</v>
      </c>
      <c r="F483" s="86" t="str">
        <f>IFERROR(__xludf.DUMMYFUNCTION("""COMPUTED_VALUE"""),"")</f>
        <v/>
      </c>
      <c r="G483" s="47" t="str">
        <f>IFERROR(__xludf.DUMMYFUNCTION("""COMPUTED_VALUE"""),"")</f>
        <v/>
      </c>
      <c r="H483" s="47"/>
      <c r="I483" s="47">
        <f>IFERROR(__xludf.DUMMYFUNCTION("""COMPUTED_VALUE"""),2.0)</f>
        <v>2</v>
      </c>
      <c r="J483" s="47" t="str">
        <f>IFERROR(__xludf.DUMMYFUNCTION("""COMPUTED_VALUE"""),"https:")</f>
        <v>https:</v>
      </c>
      <c r="K483" s="78" t="str">
        <f>IFERROR(__xludf.DUMMYFUNCTION("""COMPUTED_VALUE"""),"www.munzee.com")</f>
        <v>www.munzee.com</v>
      </c>
      <c r="L483" s="47" t="str">
        <f>IFERROR(__xludf.DUMMYFUNCTION("""COMPUTED_VALUE"""),"m")</f>
        <v>m</v>
      </c>
      <c r="M483" s="47" t="str">
        <f>IFERROR(__xludf.DUMMYFUNCTION("""COMPUTED_VALUE"""),"ArtofEco")</f>
        <v>ArtofEco</v>
      </c>
    </row>
    <row r="484">
      <c r="A484" s="47" t="str">
        <f>IFERROR(__xludf.DUMMYFUNCTION("""COMPUTED_VALUE"""),"Virtual Brown")</f>
        <v>Virtual Brown</v>
      </c>
      <c r="B484" s="47" t="str">
        <f>IFERROR(__xludf.DUMMYFUNCTION("""COMPUTED_VALUE"""),"Drazoria")</f>
        <v>Drazoria</v>
      </c>
      <c r="C484" s="78" t="str">
        <f>IFERROR(__xludf.DUMMYFUNCTION("""COMPUTED_VALUE"""),"https://www.munzee.com/m/Drazoria/754/")</f>
        <v>https://www.munzee.com/m/Drazoria/754/</v>
      </c>
      <c r="D484" s="47"/>
      <c r="E484" s="47" t="b">
        <f>IFERROR(__xludf.DUMMYFUNCTION("""COMPUTED_VALUE"""),TRUE)</f>
        <v>1</v>
      </c>
      <c r="F484" s="86" t="str">
        <f>IFERROR(__xludf.DUMMYFUNCTION("""COMPUTED_VALUE"""),"")</f>
        <v/>
      </c>
      <c r="G484" s="47" t="str">
        <f>IFERROR(__xludf.DUMMYFUNCTION("""COMPUTED_VALUE"""),"")</f>
        <v/>
      </c>
      <c r="H484" s="47"/>
      <c r="I484" s="47">
        <f>IFERROR(__xludf.DUMMYFUNCTION("""COMPUTED_VALUE"""),2.0)</f>
        <v>2</v>
      </c>
      <c r="J484" s="47" t="str">
        <f>IFERROR(__xludf.DUMMYFUNCTION("""COMPUTED_VALUE"""),"https:")</f>
        <v>https:</v>
      </c>
      <c r="K484" s="78" t="str">
        <f>IFERROR(__xludf.DUMMYFUNCTION("""COMPUTED_VALUE"""),"www.munzee.com")</f>
        <v>www.munzee.com</v>
      </c>
      <c r="L484" s="47" t="str">
        <f>IFERROR(__xludf.DUMMYFUNCTION("""COMPUTED_VALUE"""),"m")</f>
        <v>m</v>
      </c>
      <c r="M484" s="47" t="str">
        <f>IFERROR(__xludf.DUMMYFUNCTION("""COMPUTED_VALUE"""),"Drazoria")</f>
        <v>Drazoria</v>
      </c>
    </row>
    <row r="485">
      <c r="A485" s="47" t="str">
        <f>IFERROR(__xludf.DUMMYFUNCTION("""COMPUTED_VALUE"""),"Virtual Brown")</f>
        <v>Virtual Brown</v>
      </c>
      <c r="B485" s="47" t="str">
        <f>IFERROR(__xludf.DUMMYFUNCTION("""COMPUTED_VALUE"""),"Tinake1309")</f>
        <v>Tinake1309</v>
      </c>
      <c r="C485" s="78" t="str">
        <f>IFERROR(__xludf.DUMMYFUNCTION("""COMPUTED_VALUE"""),"https://www.munzee.com/m/Tinake1309/751/")</f>
        <v>https://www.munzee.com/m/Tinake1309/751/</v>
      </c>
      <c r="D485" s="47"/>
      <c r="E485" s="47" t="b">
        <f>IFERROR(__xludf.DUMMYFUNCTION("""COMPUTED_VALUE"""),TRUE)</f>
        <v>1</v>
      </c>
      <c r="F485" s="86" t="str">
        <f>IFERROR(__xludf.DUMMYFUNCTION("""COMPUTED_VALUE"""),"")</f>
        <v/>
      </c>
      <c r="G485" s="47" t="str">
        <f>IFERROR(__xludf.DUMMYFUNCTION("""COMPUTED_VALUE"""),"")</f>
        <v/>
      </c>
      <c r="H485" s="47"/>
      <c r="I485" s="47">
        <f>IFERROR(__xludf.DUMMYFUNCTION("""COMPUTED_VALUE"""),2.0)</f>
        <v>2</v>
      </c>
      <c r="J485" s="47" t="str">
        <f>IFERROR(__xludf.DUMMYFUNCTION("""COMPUTED_VALUE"""),"https:")</f>
        <v>https:</v>
      </c>
      <c r="K485" s="78" t="str">
        <f>IFERROR(__xludf.DUMMYFUNCTION("""COMPUTED_VALUE"""),"www.munzee.com")</f>
        <v>www.munzee.com</v>
      </c>
      <c r="L485" s="47" t="str">
        <f>IFERROR(__xludf.DUMMYFUNCTION("""COMPUTED_VALUE"""),"m")</f>
        <v>m</v>
      </c>
      <c r="M485" s="47" t="str">
        <f>IFERROR(__xludf.DUMMYFUNCTION("""COMPUTED_VALUE"""),"Tinake1309")</f>
        <v>Tinake1309</v>
      </c>
    </row>
    <row r="486">
      <c r="A486" s="47" t="str">
        <f>IFERROR(__xludf.DUMMYFUNCTION("""COMPUTED_VALUE"""),"Virtual Brown")</f>
        <v>Virtual Brown</v>
      </c>
      <c r="B486" s="47" t="str">
        <f>IFERROR(__xludf.DUMMYFUNCTION("""COMPUTED_VALUE"""),"Berrg4")</f>
        <v>Berrg4</v>
      </c>
      <c r="C486" s="78" t="str">
        <f>IFERROR(__xludf.DUMMYFUNCTION("""COMPUTED_VALUE"""),"https://www.munzee.com/m/Berg14/589/")</f>
        <v>https://www.munzee.com/m/Berg14/589/</v>
      </c>
      <c r="D486" s="47"/>
      <c r="E486" s="47" t="b">
        <f>IFERROR(__xludf.DUMMYFUNCTION("""COMPUTED_VALUE"""),TRUE)</f>
        <v>1</v>
      </c>
      <c r="F486" s="86" t="str">
        <f>IFERROR(__xludf.DUMMYFUNCTION("""COMPUTED_VALUE"""),"")</f>
        <v/>
      </c>
      <c r="G486" s="47" t="str">
        <f>IFERROR(__xludf.DUMMYFUNCTION("""COMPUTED_VALUE"""),"")</f>
        <v/>
      </c>
      <c r="H486" s="47"/>
      <c r="I486" s="47">
        <f>IFERROR(__xludf.DUMMYFUNCTION("""COMPUTED_VALUE"""),2.0)</f>
        <v>2</v>
      </c>
      <c r="J486" s="47" t="str">
        <f>IFERROR(__xludf.DUMMYFUNCTION("""COMPUTED_VALUE"""),"https:")</f>
        <v>https:</v>
      </c>
      <c r="K486" s="78" t="str">
        <f>IFERROR(__xludf.DUMMYFUNCTION("""COMPUTED_VALUE"""),"www.munzee.com")</f>
        <v>www.munzee.com</v>
      </c>
      <c r="L486" s="47" t="str">
        <f>IFERROR(__xludf.DUMMYFUNCTION("""COMPUTED_VALUE"""),"m")</f>
        <v>m</v>
      </c>
      <c r="M486" s="47" t="str">
        <f>IFERROR(__xludf.DUMMYFUNCTION("""COMPUTED_VALUE"""),"Berg14")</f>
        <v>Berg14</v>
      </c>
    </row>
    <row r="487">
      <c r="A487" s="47" t="str">
        <f>IFERROR(__xludf.DUMMYFUNCTION("""COMPUTED_VALUE"""),"Virtual Brown")</f>
        <v>Virtual Brown</v>
      </c>
      <c r="B487" s="47" t="str">
        <f>IFERROR(__xludf.DUMMYFUNCTION("""COMPUTED_VALUE"""),"Niks13")</f>
        <v>Niks13</v>
      </c>
      <c r="C487" s="78" t="str">
        <f>IFERROR(__xludf.DUMMYFUNCTION("""COMPUTED_VALUE"""),"https://www.munzee.com/m/Niks13/557/")</f>
        <v>https://www.munzee.com/m/Niks13/557/</v>
      </c>
      <c r="D487" s="47"/>
      <c r="E487" s="47" t="b">
        <f>IFERROR(__xludf.DUMMYFUNCTION("""COMPUTED_VALUE"""),TRUE)</f>
        <v>1</v>
      </c>
      <c r="F487" s="86" t="str">
        <f>IFERROR(__xludf.DUMMYFUNCTION("""COMPUTED_VALUE"""),"")</f>
        <v/>
      </c>
      <c r="G487" s="47" t="str">
        <f>IFERROR(__xludf.DUMMYFUNCTION("""COMPUTED_VALUE"""),"")</f>
        <v/>
      </c>
      <c r="H487" s="47"/>
      <c r="I487" s="47">
        <f>IFERROR(__xludf.DUMMYFUNCTION("""COMPUTED_VALUE"""),2.0)</f>
        <v>2</v>
      </c>
      <c r="J487" s="47" t="str">
        <f>IFERROR(__xludf.DUMMYFUNCTION("""COMPUTED_VALUE"""),"https:")</f>
        <v>https:</v>
      </c>
      <c r="K487" s="78" t="str">
        <f>IFERROR(__xludf.DUMMYFUNCTION("""COMPUTED_VALUE"""),"www.munzee.com")</f>
        <v>www.munzee.com</v>
      </c>
      <c r="L487" s="47" t="str">
        <f>IFERROR(__xludf.DUMMYFUNCTION("""COMPUTED_VALUE"""),"m")</f>
        <v>m</v>
      </c>
      <c r="M487" s="47" t="str">
        <f>IFERROR(__xludf.DUMMYFUNCTION("""COMPUTED_VALUE"""),"Niks13")</f>
        <v>Niks13</v>
      </c>
    </row>
    <row r="488">
      <c r="A488" s="47" t="str">
        <f>IFERROR(__xludf.DUMMYFUNCTION("""COMPUTED_VALUE"""),"Virtual Raw Sienna")</f>
        <v>Virtual Raw Sienna</v>
      </c>
      <c r="B488" s="47" t="str">
        <f>IFERROR(__xludf.DUMMYFUNCTION("""COMPUTED_VALUE"""),"all0123")</f>
        <v>all0123</v>
      </c>
      <c r="C488" s="78" t="str">
        <f>IFERROR(__xludf.DUMMYFUNCTION("""COMPUTED_VALUE"""),"https://www.munzee.com/m/all0123/3944/")</f>
        <v>https://www.munzee.com/m/all0123/3944/</v>
      </c>
      <c r="D488" s="47"/>
      <c r="E488" s="47" t="b">
        <f>IFERROR(__xludf.DUMMYFUNCTION("""COMPUTED_VALUE"""),TRUE)</f>
        <v>1</v>
      </c>
      <c r="F488" s="86" t="str">
        <f>IFERROR(__xludf.DUMMYFUNCTION("""COMPUTED_VALUE"""),"")</f>
        <v/>
      </c>
      <c r="G488" s="47" t="str">
        <f>IFERROR(__xludf.DUMMYFUNCTION("""COMPUTED_VALUE"""),"")</f>
        <v/>
      </c>
      <c r="H488" s="47"/>
      <c r="I488" s="47">
        <f>IFERROR(__xludf.DUMMYFUNCTION("""COMPUTED_VALUE"""),2.0)</f>
        <v>2</v>
      </c>
      <c r="J488" s="47" t="str">
        <f>IFERROR(__xludf.DUMMYFUNCTION("""COMPUTED_VALUE"""),"https:")</f>
        <v>https:</v>
      </c>
      <c r="K488" s="78" t="str">
        <f>IFERROR(__xludf.DUMMYFUNCTION("""COMPUTED_VALUE"""),"www.munzee.com")</f>
        <v>www.munzee.com</v>
      </c>
      <c r="L488" s="47" t="str">
        <f>IFERROR(__xludf.DUMMYFUNCTION("""COMPUTED_VALUE"""),"m")</f>
        <v>m</v>
      </c>
      <c r="M488" s="47" t="str">
        <f>IFERROR(__xludf.DUMMYFUNCTION("""COMPUTED_VALUE"""),"all0123")</f>
        <v>all0123</v>
      </c>
    </row>
    <row r="489">
      <c r="A489" s="47" t="str">
        <f>IFERROR(__xludf.DUMMYFUNCTION("""COMPUTED_VALUE"""),"Virtual Brown")</f>
        <v>Virtual Brown</v>
      </c>
      <c r="B489" s="47" t="str">
        <f>IFERROR(__xludf.DUMMYFUNCTION("""COMPUTED_VALUE"""),"belladivadee ")</f>
        <v>belladivadee </v>
      </c>
      <c r="C489" s="78" t="str">
        <f>IFERROR(__xludf.DUMMYFUNCTION("""COMPUTED_VALUE"""),"https://www.munzee.com/m/belladivadee/3035")</f>
        <v>https://www.munzee.com/m/belladivadee/3035</v>
      </c>
      <c r="D489" s="47"/>
      <c r="E489" s="47" t="b">
        <f>IFERROR(__xludf.DUMMYFUNCTION("""COMPUTED_VALUE"""),TRUE)</f>
        <v>1</v>
      </c>
      <c r="F489" s="86" t="str">
        <f>IFERROR(__xludf.DUMMYFUNCTION("""COMPUTED_VALUE"""),"")</f>
        <v/>
      </c>
      <c r="G489" s="47" t="str">
        <f>IFERROR(__xludf.DUMMYFUNCTION("""COMPUTED_VALUE"""),"")</f>
        <v/>
      </c>
      <c r="H489" s="47"/>
      <c r="I489" s="47">
        <f>IFERROR(__xludf.DUMMYFUNCTION("""COMPUTED_VALUE"""),2.0)</f>
        <v>2</v>
      </c>
      <c r="J489" s="47" t="str">
        <f>IFERROR(__xludf.DUMMYFUNCTION("""COMPUTED_VALUE"""),"https:")</f>
        <v>https:</v>
      </c>
      <c r="K489" s="78" t="str">
        <f>IFERROR(__xludf.DUMMYFUNCTION("""COMPUTED_VALUE"""),"www.munzee.com")</f>
        <v>www.munzee.com</v>
      </c>
      <c r="L489" s="47" t="str">
        <f>IFERROR(__xludf.DUMMYFUNCTION("""COMPUTED_VALUE"""),"m")</f>
        <v>m</v>
      </c>
      <c r="M489" s="47" t="str">
        <f>IFERROR(__xludf.DUMMYFUNCTION("""COMPUTED_VALUE"""),"belladivadee")</f>
        <v>belladivadee</v>
      </c>
    </row>
    <row r="490">
      <c r="A490" s="47" t="str">
        <f>IFERROR(__xludf.DUMMYFUNCTION("""COMPUTED_VALUE"""),"Virtual Brown")</f>
        <v>Virtual Brown</v>
      </c>
      <c r="B490" s="47" t="str">
        <f>IFERROR(__xludf.DUMMYFUNCTION("""COMPUTED_VALUE"""),"Anetzet ")</f>
        <v>Anetzet </v>
      </c>
      <c r="C490" s="78" t="str">
        <f>IFERROR(__xludf.DUMMYFUNCTION("""COMPUTED_VALUE"""),"https://www.munzee.com/m/Anetzet/2816/")</f>
        <v>https://www.munzee.com/m/Anetzet/2816/</v>
      </c>
      <c r="D490" s="47"/>
      <c r="E490" s="47" t="b">
        <f>IFERROR(__xludf.DUMMYFUNCTION("""COMPUTED_VALUE"""),TRUE)</f>
        <v>1</v>
      </c>
      <c r="F490" s="86"/>
      <c r="G490" s="47" t="str">
        <f>IFERROR(__xludf.DUMMYFUNCTION("""COMPUTED_VALUE"""),"")</f>
        <v/>
      </c>
      <c r="H490" s="47"/>
      <c r="I490" s="47">
        <f>IFERROR(__xludf.DUMMYFUNCTION("""COMPUTED_VALUE"""),2.0)</f>
        <v>2</v>
      </c>
      <c r="J490" s="47" t="str">
        <f>IFERROR(__xludf.DUMMYFUNCTION("""COMPUTED_VALUE"""),"https:")</f>
        <v>https:</v>
      </c>
      <c r="K490" s="78" t="str">
        <f>IFERROR(__xludf.DUMMYFUNCTION("""COMPUTED_VALUE"""),"www.munzee.com")</f>
        <v>www.munzee.com</v>
      </c>
      <c r="L490" s="47" t="str">
        <f>IFERROR(__xludf.DUMMYFUNCTION("""COMPUTED_VALUE"""),"m")</f>
        <v>m</v>
      </c>
      <c r="M490" s="47" t="str">
        <f>IFERROR(__xludf.DUMMYFUNCTION("""COMPUTED_VALUE"""),"Anetzet")</f>
        <v>Anetzet</v>
      </c>
    </row>
    <row r="491">
      <c r="A491" s="47" t="str">
        <f>IFERROR(__xludf.DUMMYFUNCTION("""COMPUTED_VALUE"""),"Virtual Brown")</f>
        <v>Virtual Brown</v>
      </c>
      <c r="B491" s="47" t="str">
        <f>IFERROR(__xludf.DUMMYFUNCTION("""COMPUTED_VALUE"""),"GroteSufferd")</f>
        <v>GroteSufferd</v>
      </c>
      <c r="C491" s="78" t="str">
        <f>IFERROR(__xludf.DUMMYFUNCTION("""COMPUTED_VALUE"""),"https://www.munzee.com/m/GroteSufferd/377/")</f>
        <v>https://www.munzee.com/m/GroteSufferd/377/</v>
      </c>
      <c r="D491" s="47"/>
      <c r="E491" s="47" t="b">
        <f>IFERROR(__xludf.DUMMYFUNCTION("""COMPUTED_VALUE"""),TRUE)</f>
        <v>1</v>
      </c>
      <c r="F491" s="86" t="str">
        <f>IFERROR(__xludf.DUMMYFUNCTION("""COMPUTED_VALUE"""),"")</f>
        <v/>
      </c>
      <c r="G491" s="47" t="str">
        <f>IFERROR(__xludf.DUMMYFUNCTION("""COMPUTED_VALUE"""),"")</f>
        <v/>
      </c>
      <c r="H491" s="47"/>
      <c r="I491" s="47">
        <f>IFERROR(__xludf.DUMMYFUNCTION("""COMPUTED_VALUE"""),2.0)</f>
        <v>2</v>
      </c>
      <c r="J491" s="47" t="str">
        <f>IFERROR(__xludf.DUMMYFUNCTION("""COMPUTED_VALUE"""),"https:")</f>
        <v>https:</v>
      </c>
      <c r="K491" s="78" t="str">
        <f>IFERROR(__xludf.DUMMYFUNCTION("""COMPUTED_VALUE"""),"www.munzee.com")</f>
        <v>www.munzee.com</v>
      </c>
      <c r="L491" s="47" t="str">
        <f>IFERROR(__xludf.DUMMYFUNCTION("""COMPUTED_VALUE"""),"m")</f>
        <v>m</v>
      </c>
      <c r="M491" s="47" t="str">
        <f>IFERROR(__xludf.DUMMYFUNCTION("""COMPUTED_VALUE"""),"GroteSufferd")</f>
        <v>GroteSufferd</v>
      </c>
    </row>
    <row r="492">
      <c r="A492" s="47" t="str">
        <f>IFERROR(__xludf.DUMMYFUNCTION("""COMPUTED_VALUE"""),"Virtual Raw Sienna")</f>
        <v>Virtual Raw Sienna</v>
      </c>
      <c r="B492" s="47" t="str">
        <f>IFERROR(__xludf.DUMMYFUNCTION("""COMPUTED_VALUE"""),"upapou")</f>
        <v>upapou</v>
      </c>
      <c r="C492" s="78" t="str">
        <f>IFERROR(__xludf.DUMMYFUNCTION("""COMPUTED_VALUE"""),"https://www.munzee.com/m/upapou/1011/")</f>
        <v>https://www.munzee.com/m/upapou/1011/</v>
      </c>
      <c r="D492" s="47"/>
      <c r="E492" s="47" t="b">
        <f>IFERROR(__xludf.DUMMYFUNCTION("""COMPUTED_VALUE"""),TRUE)</f>
        <v>1</v>
      </c>
      <c r="F492" s="86" t="str">
        <f>IFERROR(__xludf.DUMMYFUNCTION("""COMPUTED_VALUE"""),"")</f>
        <v/>
      </c>
      <c r="G492" s="47" t="str">
        <f>IFERROR(__xludf.DUMMYFUNCTION("""COMPUTED_VALUE"""),"")</f>
        <v/>
      </c>
      <c r="H492" s="47"/>
      <c r="I492" s="47">
        <f>IFERROR(__xludf.DUMMYFUNCTION("""COMPUTED_VALUE"""),2.0)</f>
        <v>2</v>
      </c>
      <c r="J492" s="47" t="str">
        <f>IFERROR(__xludf.DUMMYFUNCTION("""COMPUTED_VALUE"""),"https:")</f>
        <v>https:</v>
      </c>
      <c r="K492" s="78" t="str">
        <f>IFERROR(__xludf.DUMMYFUNCTION("""COMPUTED_VALUE"""),"www.munzee.com")</f>
        <v>www.munzee.com</v>
      </c>
      <c r="L492" s="47" t="str">
        <f>IFERROR(__xludf.DUMMYFUNCTION("""COMPUTED_VALUE"""),"m")</f>
        <v>m</v>
      </c>
      <c r="M492" s="47" t="str">
        <f>IFERROR(__xludf.DUMMYFUNCTION("""COMPUTED_VALUE"""),"upapou")</f>
        <v>upapou</v>
      </c>
    </row>
    <row r="493">
      <c r="A493" s="47" t="str">
        <f>IFERROR(__xludf.DUMMYFUNCTION("""COMPUTED_VALUE"""),"Virtual Brown")</f>
        <v>Virtual Brown</v>
      </c>
      <c r="B493" s="47" t="str">
        <f>IFERROR(__xludf.DUMMYFUNCTION("""COMPUTED_VALUE"""),"KublaKhan")</f>
        <v>KublaKhan</v>
      </c>
      <c r="C493" s="78" t="str">
        <f>IFERROR(__xludf.DUMMYFUNCTION("""COMPUTED_VALUE"""),"https://www.munzee.com/m/KublaKhan/618/")</f>
        <v>https://www.munzee.com/m/KublaKhan/618/</v>
      </c>
      <c r="D493" s="47"/>
      <c r="E493" s="47" t="b">
        <f>IFERROR(__xludf.DUMMYFUNCTION("""COMPUTED_VALUE"""),TRUE)</f>
        <v>1</v>
      </c>
      <c r="F493" s="86" t="str">
        <f>IFERROR(__xludf.DUMMYFUNCTION("""COMPUTED_VALUE"""),"")</f>
        <v/>
      </c>
      <c r="G493" s="47" t="str">
        <f>IFERROR(__xludf.DUMMYFUNCTION("""COMPUTED_VALUE"""),"")</f>
        <v/>
      </c>
      <c r="H493" s="47"/>
      <c r="I493" s="47">
        <f>IFERROR(__xludf.DUMMYFUNCTION("""COMPUTED_VALUE"""),2.0)</f>
        <v>2</v>
      </c>
      <c r="J493" s="47" t="str">
        <f>IFERROR(__xludf.DUMMYFUNCTION("""COMPUTED_VALUE"""),"https:")</f>
        <v>https:</v>
      </c>
      <c r="K493" s="78" t="str">
        <f>IFERROR(__xludf.DUMMYFUNCTION("""COMPUTED_VALUE"""),"www.munzee.com")</f>
        <v>www.munzee.com</v>
      </c>
      <c r="L493" s="47" t="str">
        <f>IFERROR(__xludf.DUMMYFUNCTION("""COMPUTED_VALUE"""),"m")</f>
        <v>m</v>
      </c>
      <c r="M493" s="47" t="str">
        <f>IFERROR(__xludf.DUMMYFUNCTION("""COMPUTED_VALUE"""),"KublaKhan")</f>
        <v>KublaKhan</v>
      </c>
    </row>
    <row r="494">
      <c r="A494" s="47" t="str">
        <f>IFERROR(__xludf.DUMMYFUNCTION("""COMPUTED_VALUE"""),"Virtual Brown")</f>
        <v>Virtual Brown</v>
      </c>
      <c r="B494" s="47" t="str">
        <f>IFERROR(__xludf.DUMMYFUNCTION("""COMPUTED_VALUE"""),"TheFatCats")</f>
        <v>TheFatCats</v>
      </c>
      <c r="C494" s="78" t="str">
        <f>IFERROR(__xludf.DUMMYFUNCTION("""COMPUTED_VALUE"""),"https://www.munzee.com/m/TheFatCats/3521/")</f>
        <v>https://www.munzee.com/m/TheFatCats/3521/</v>
      </c>
      <c r="D494" s="47"/>
      <c r="E494" s="47" t="b">
        <f>IFERROR(__xludf.DUMMYFUNCTION("""COMPUTED_VALUE"""),TRUE)</f>
        <v>1</v>
      </c>
      <c r="F494" s="86" t="str">
        <f>IFERROR(__xludf.DUMMYFUNCTION("""COMPUTED_VALUE"""),"")</f>
        <v/>
      </c>
      <c r="G494" s="47" t="str">
        <f>IFERROR(__xludf.DUMMYFUNCTION("""COMPUTED_VALUE"""),"")</f>
        <v/>
      </c>
      <c r="H494" s="47"/>
      <c r="I494" s="47">
        <f>IFERROR(__xludf.DUMMYFUNCTION("""COMPUTED_VALUE"""),2.0)</f>
        <v>2</v>
      </c>
      <c r="J494" s="47" t="str">
        <f>IFERROR(__xludf.DUMMYFUNCTION("""COMPUTED_VALUE"""),"https:")</f>
        <v>https:</v>
      </c>
      <c r="K494" s="78" t="str">
        <f>IFERROR(__xludf.DUMMYFUNCTION("""COMPUTED_VALUE"""),"www.munzee.com")</f>
        <v>www.munzee.com</v>
      </c>
      <c r="L494" s="47" t="str">
        <f>IFERROR(__xludf.DUMMYFUNCTION("""COMPUTED_VALUE"""),"m")</f>
        <v>m</v>
      </c>
      <c r="M494" s="47" t="str">
        <f>IFERROR(__xludf.DUMMYFUNCTION("""COMPUTED_VALUE"""),"TheFatCats")</f>
        <v>TheFatCats</v>
      </c>
    </row>
    <row r="495">
      <c r="A495" s="47" t="str">
        <f>IFERROR(__xludf.DUMMYFUNCTION("""COMPUTED_VALUE"""),"Virtual Raw Sienna")</f>
        <v>Virtual Raw Sienna</v>
      </c>
      <c r="B495" s="47" t="str">
        <f>IFERROR(__xludf.DUMMYFUNCTION("""COMPUTED_VALUE"""),"IggiePiggie")</f>
        <v>IggiePiggie</v>
      </c>
      <c r="C495" s="78" t="str">
        <f>IFERROR(__xludf.DUMMYFUNCTION("""COMPUTED_VALUE"""),"https://www.munzee.com/m/IggiePiggie/1877/")</f>
        <v>https://www.munzee.com/m/IggiePiggie/1877/</v>
      </c>
      <c r="D495" s="47"/>
      <c r="E495" s="47" t="b">
        <f>IFERROR(__xludf.DUMMYFUNCTION("""COMPUTED_VALUE"""),TRUE)</f>
        <v>1</v>
      </c>
      <c r="F495" s="86" t="str">
        <f>IFERROR(__xludf.DUMMYFUNCTION("""COMPUTED_VALUE"""),"")</f>
        <v/>
      </c>
      <c r="G495" s="47" t="str">
        <f>IFERROR(__xludf.DUMMYFUNCTION("""COMPUTED_VALUE"""),"")</f>
        <v/>
      </c>
      <c r="H495" s="47"/>
      <c r="I495" s="47">
        <f>IFERROR(__xludf.DUMMYFUNCTION("""COMPUTED_VALUE"""),2.0)</f>
        <v>2</v>
      </c>
      <c r="J495" s="47" t="str">
        <f>IFERROR(__xludf.DUMMYFUNCTION("""COMPUTED_VALUE"""),"https:")</f>
        <v>https:</v>
      </c>
      <c r="K495" s="78" t="str">
        <f>IFERROR(__xludf.DUMMYFUNCTION("""COMPUTED_VALUE"""),"www.munzee.com")</f>
        <v>www.munzee.com</v>
      </c>
      <c r="L495" s="47" t="str">
        <f>IFERROR(__xludf.DUMMYFUNCTION("""COMPUTED_VALUE"""),"m")</f>
        <v>m</v>
      </c>
      <c r="M495" s="47" t="str">
        <f>IFERROR(__xludf.DUMMYFUNCTION("""COMPUTED_VALUE"""),"IggiePiggie")</f>
        <v>IggiePiggie</v>
      </c>
    </row>
    <row r="496">
      <c r="A496" s="47" t="str">
        <f>IFERROR(__xludf.DUMMYFUNCTION("""COMPUTED_VALUE"""),"Virtual Brown")</f>
        <v>Virtual Brown</v>
      </c>
      <c r="B496" s="47" t="str">
        <f>IFERROR(__xludf.DUMMYFUNCTION("""COMPUTED_VALUE"""),"cbf600")</f>
        <v>cbf600</v>
      </c>
      <c r="C496" s="78" t="str">
        <f>IFERROR(__xludf.DUMMYFUNCTION("""COMPUTED_VALUE"""),"https://www.munzee.com/m/cbf600/2406/")</f>
        <v>https://www.munzee.com/m/cbf600/2406/</v>
      </c>
      <c r="D496" s="47"/>
      <c r="E496" s="47" t="b">
        <f>IFERROR(__xludf.DUMMYFUNCTION("""COMPUTED_VALUE"""),TRUE)</f>
        <v>1</v>
      </c>
      <c r="F496" s="86" t="str">
        <f>IFERROR(__xludf.DUMMYFUNCTION("""COMPUTED_VALUE"""),"")</f>
        <v/>
      </c>
      <c r="G496" s="47" t="str">
        <f>IFERROR(__xludf.DUMMYFUNCTION("""COMPUTED_VALUE"""),"")</f>
        <v/>
      </c>
      <c r="H496" s="47"/>
      <c r="I496" s="47">
        <f>IFERROR(__xludf.DUMMYFUNCTION("""COMPUTED_VALUE"""),2.0)</f>
        <v>2</v>
      </c>
      <c r="J496" s="47" t="str">
        <f>IFERROR(__xludf.DUMMYFUNCTION("""COMPUTED_VALUE"""),"https:")</f>
        <v>https:</v>
      </c>
      <c r="K496" s="78" t="str">
        <f>IFERROR(__xludf.DUMMYFUNCTION("""COMPUTED_VALUE"""),"www.munzee.com")</f>
        <v>www.munzee.com</v>
      </c>
      <c r="L496" s="47" t="str">
        <f>IFERROR(__xludf.DUMMYFUNCTION("""COMPUTED_VALUE"""),"m")</f>
        <v>m</v>
      </c>
      <c r="M496" s="47" t="str">
        <f>IFERROR(__xludf.DUMMYFUNCTION("""COMPUTED_VALUE"""),"cbf600")</f>
        <v>cbf600</v>
      </c>
    </row>
    <row r="497">
      <c r="A497" s="47" t="str">
        <f>IFERROR(__xludf.DUMMYFUNCTION("""COMPUTED_VALUE"""),"Virtual Raw Sienna")</f>
        <v>Virtual Raw Sienna</v>
      </c>
      <c r="B497" s="47" t="str">
        <f>IFERROR(__xludf.DUMMYFUNCTION("""COMPUTED_VALUE"""),"TheFatCats")</f>
        <v>TheFatCats</v>
      </c>
      <c r="C497" s="78" t="str">
        <f>IFERROR(__xludf.DUMMYFUNCTION("""COMPUTED_VALUE"""),"https://www.munzee.com/m/TheFatCats/3499/")</f>
        <v>https://www.munzee.com/m/TheFatCats/3499/</v>
      </c>
      <c r="D497" s="47"/>
      <c r="E497" s="47" t="b">
        <f>IFERROR(__xludf.DUMMYFUNCTION("""COMPUTED_VALUE"""),TRUE)</f>
        <v>1</v>
      </c>
      <c r="F497" s="86" t="str">
        <f>IFERROR(__xludf.DUMMYFUNCTION("""COMPUTED_VALUE"""),"")</f>
        <v/>
      </c>
      <c r="G497" s="47" t="str">
        <f>IFERROR(__xludf.DUMMYFUNCTION("""COMPUTED_VALUE"""),"")</f>
        <v/>
      </c>
      <c r="H497" s="47"/>
      <c r="I497" s="47">
        <f>IFERROR(__xludf.DUMMYFUNCTION("""COMPUTED_VALUE"""),2.0)</f>
        <v>2</v>
      </c>
      <c r="J497" s="47" t="str">
        <f>IFERROR(__xludf.DUMMYFUNCTION("""COMPUTED_VALUE"""),"https:")</f>
        <v>https:</v>
      </c>
      <c r="K497" s="78" t="str">
        <f>IFERROR(__xludf.DUMMYFUNCTION("""COMPUTED_VALUE"""),"www.munzee.com")</f>
        <v>www.munzee.com</v>
      </c>
      <c r="L497" s="47" t="str">
        <f>IFERROR(__xludf.DUMMYFUNCTION("""COMPUTED_VALUE"""),"m")</f>
        <v>m</v>
      </c>
      <c r="M497" s="47" t="str">
        <f>IFERROR(__xludf.DUMMYFUNCTION("""COMPUTED_VALUE"""),"TheFatCats")</f>
        <v>TheFatCats</v>
      </c>
    </row>
    <row r="498">
      <c r="A498" s="47" t="str">
        <f>IFERROR(__xludf.DUMMYFUNCTION("""COMPUTED_VALUE"""),"Virtual Brown")</f>
        <v>Virtual Brown</v>
      </c>
      <c r="B498" s="47" t="str">
        <f>IFERROR(__xludf.DUMMYFUNCTION("""COMPUTED_VALUE"""),"MurphyLM")</f>
        <v>MurphyLM</v>
      </c>
      <c r="C498" s="78" t="str">
        <f>IFERROR(__xludf.DUMMYFUNCTION("""COMPUTED_VALUE"""),"https://www.munzee.com/m/MurphyLM/86/")</f>
        <v>https://www.munzee.com/m/MurphyLM/86/</v>
      </c>
      <c r="D498" s="47"/>
      <c r="E498" s="47" t="b">
        <f>IFERROR(__xludf.DUMMYFUNCTION("""COMPUTED_VALUE"""),TRUE)</f>
        <v>1</v>
      </c>
      <c r="F498" s="86" t="str">
        <f>IFERROR(__xludf.DUMMYFUNCTION("""COMPUTED_VALUE"""),"")</f>
        <v/>
      </c>
      <c r="G498" s="47" t="str">
        <f>IFERROR(__xludf.DUMMYFUNCTION("""COMPUTED_VALUE"""),"")</f>
        <v/>
      </c>
      <c r="H498" s="47"/>
      <c r="I498" s="47">
        <f>IFERROR(__xludf.DUMMYFUNCTION("""COMPUTED_VALUE"""),2.0)</f>
        <v>2</v>
      </c>
      <c r="J498" s="47" t="str">
        <f>IFERROR(__xludf.DUMMYFUNCTION("""COMPUTED_VALUE"""),"https:")</f>
        <v>https:</v>
      </c>
      <c r="K498" s="78" t="str">
        <f>IFERROR(__xludf.DUMMYFUNCTION("""COMPUTED_VALUE"""),"www.munzee.com")</f>
        <v>www.munzee.com</v>
      </c>
      <c r="L498" s="47" t="str">
        <f>IFERROR(__xludf.DUMMYFUNCTION("""COMPUTED_VALUE"""),"m")</f>
        <v>m</v>
      </c>
      <c r="M498" s="47" t="str">
        <f>IFERROR(__xludf.DUMMYFUNCTION("""COMPUTED_VALUE"""),"MurphyLM")</f>
        <v>MurphyLM</v>
      </c>
    </row>
    <row r="499">
      <c r="A499" s="47" t="str">
        <f>IFERROR(__xludf.DUMMYFUNCTION("""COMPUTED_VALUE"""),"Virtual Brown")</f>
        <v>Virtual Brown</v>
      </c>
      <c r="B499" s="47" t="str">
        <f>IFERROR(__xludf.DUMMYFUNCTION("""COMPUTED_VALUE"""),"FromTheTardis")</f>
        <v>FromTheTardis</v>
      </c>
      <c r="C499" s="78" t="str">
        <f>IFERROR(__xludf.DUMMYFUNCTION("""COMPUTED_VALUE"""),"https://www.munzee.com/m/FromTheTardis/1410/")</f>
        <v>https://www.munzee.com/m/FromTheTardis/1410/</v>
      </c>
      <c r="D499" s="47"/>
      <c r="E499" s="47" t="b">
        <f>IFERROR(__xludf.DUMMYFUNCTION("""COMPUTED_VALUE"""),TRUE)</f>
        <v>1</v>
      </c>
      <c r="F499" s="86" t="str">
        <f>IFERROR(__xludf.DUMMYFUNCTION("""COMPUTED_VALUE"""),"")</f>
        <v/>
      </c>
      <c r="G499" s="47" t="str">
        <f>IFERROR(__xludf.DUMMYFUNCTION("""COMPUTED_VALUE"""),"")</f>
        <v/>
      </c>
      <c r="H499" s="47"/>
      <c r="I499" s="47">
        <f>IFERROR(__xludf.DUMMYFUNCTION("""COMPUTED_VALUE"""),2.0)</f>
        <v>2</v>
      </c>
      <c r="J499" s="47" t="str">
        <f>IFERROR(__xludf.DUMMYFUNCTION("""COMPUTED_VALUE"""),"https:")</f>
        <v>https:</v>
      </c>
      <c r="K499" s="78" t="str">
        <f>IFERROR(__xludf.DUMMYFUNCTION("""COMPUTED_VALUE"""),"www.munzee.com")</f>
        <v>www.munzee.com</v>
      </c>
      <c r="L499" s="47" t="str">
        <f>IFERROR(__xludf.DUMMYFUNCTION("""COMPUTED_VALUE"""),"m")</f>
        <v>m</v>
      </c>
      <c r="M499" s="47" t="str">
        <f>IFERROR(__xludf.DUMMYFUNCTION("""COMPUTED_VALUE"""),"FromTheTardis")</f>
        <v>FromTheTardis</v>
      </c>
    </row>
    <row r="500">
      <c r="A500" s="47" t="str">
        <f>IFERROR(__xludf.DUMMYFUNCTION("""COMPUTED_VALUE"""),"Virtual Brown")</f>
        <v>Virtual Brown</v>
      </c>
      <c r="B500" s="47" t="str">
        <f>IFERROR(__xludf.DUMMYFUNCTION("""COMPUTED_VALUE"""),"Beermaven")</f>
        <v>Beermaven</v>
      </c>
      <c r="C500" s="78" t="str">
        <f>IFERROR(__xludf.DUMMYFUNCTION("""COMPUTED_VALUE"""),"https://www.munzee.com/m/Beermaven/2916/")</f>
        <v>https://www.munzee.com/m/Beermaven/2916/</v>
      </c>
      <c r="D500" s="47"/>
      <c r="E500" s="47" t="b">
        <f>IFERROR(__xludf.DUMMYFUNCTION("""COMPUTED_VALUE"""),TRUE)</f>
        <v>1</v>
      </c>
      <c r="F500" s="86" t="str">
        <f>IFERROR(__xludf.DUMMYFUNCTION("""COMPUTED_VALUE"""),"")</f>
        <v/>
      </c>
      <c r="G500" s="47" t="str">
        <f>IFERROR(__xludf.DUMMYFUNCTION("""COMPUTED_VALUE"""),"")</f>
        <v/>
      </c>
      <c r="H500" s="47"/>
      <c r="I500" s="47">
        <f>IFERROR(__xludf.DUMMYFUNCTION("""COMPUTED_VALUE"""),2.0)</f>
        <v>2</v>
      </c>
      <c r="J500" s="47" t="str">
        <f>IFERROR(__xludf.DUMMYFUNCTION("""COMPUTED_VALUE"""),"https:")</f>
        <v>https:</v>
      </c>
      <c r="K500" s="78" t="str">
        <f>IFERROR(__xludf.DUMMYFUNCTION("""COMPUTED_VALUE"""),"www.munzee.com")</f>
        <v>www.munzee.com</v>
      </c>
      <c r="L500" s="47" t="str">
        <f>IFERROR(__xludf.DUMMYFUNCTION("""COMPUTED_VALUE"""),"m")</f>
        <v>m</v>
      </c>
      <c r="M500" s="47" t="str">
        <f>IFERROR(__xludf.DUMMYFUNCTION("""COMPUTED_VALUE"""),"Beermaven")</f>
        <v>Beermaven</v>
      </c>
    </row>
    <row r="501">
      <c r="A501" s="47" t="str">
        <f>IFERROR(__xludf.DUMMYFUNCTION("""COMPUTED_VALUE"""),"Virtual Brown")</f>
        <v>Virtual Brown</v>
      </c>
      <c r="B501" s="47" t="str">
        <f>IFERROR(__xludf.DUMMYFUNCTION("""COMPUTED_VALUE"""),"MurphyLM")</f>
        <v>MurphyLM</v>
      </c>
      <c r="C501" s="78" t="str">
        <f>IFERROR(__xludf.DUMMYFUNCTION("""COMPUTED_VALUE"""),"https://www.munzee.com/m/MurphyLM/92/")</f>
        <v>https://www.munzee.com/m/MurphyLM/92/</v>
      </c>
      <c r="D501" s="47"/>
      <c r="E501" s="47" t="b">
        <f>IFERROR(__xludf.DUMMYFUNCTION("""COMPUTED_VALUE"""),TRUE)</f>
        <v>1</v>
      </c>
      <c r="F501" s="86" t="str">
        <f>IFERROR(__xludf.DUMMYFUNCTION("""COMPUTED_VALUE"""),"")</f>
        <v/>
      </c>
      <c r="G501" s="47" t="str">
        <f>IFERROR(__xludf.DUMMYFUNCTION("""COMPUTED_VALUE"""),"")</f>
        <v/>
      </c>
      <c r="H501" s="47"/>
      <c r="I501" s="47">
        <f>IFERROR(__xludf.DUMMYFUNCTION("""COMPUTED_VALUE"""),2.0)</f>
        <v>2</v>
      </c>
      <c r="J501" s="47" t="str">
        <f>IFERROR(__xludf.DUMMYFUNCTION("""COMPUTED_VALUE"""),"https:")</f>
        <v>https:</v>
      </c>
      <c r="K501" s="78" t="str">
        <f>IFERROR(__xludf.DUMMYFUNCTION("""COMPUTED_VALUE"""),"www.munzee.com")</f>
        <v>www.munzee.com</v>
      </c>
      <c r="L501" s="47" t="str">
        <f>IFERROR(__xludf.DUMMYFUNCTION("""COMPUTED_VALUE"""),"m")</f>
        <v>m</v>
      </c>
      <c r="M501" s="47" t="str">
        <f>IFERROR(__xludf.DUMMYFUNCTION("""COMPUTED_VALUE"""),"MurphyLM")</f>
        <v>MurphyLM</v>
      </c>
    </row>
    <row r="502">
      <c r="A502" s="47" t="str">
        <f>IFERROR(__xludf.DUMMYFUNCTION("""COMPUTED_VALUE"""),"Virtual Brown")</f>
        <v>Virtual Brown</v>
      </c>
      <c r="B502" s="47" t="str">
        <f>IFERROR(__xludf.DUMMYFUNCTION("""COMPUTED_VALUE"""),"Trappertje")</f>
        <v>Trappertje</v>
      </c>
      <c r="C502" s="78" t="str">
        <f>IFERROR(__xludf.DUMMYFUNCTION("""COMPUTED_VALUE"""),"https://www.munzee.com/m/Trappertje/5069/")</f>
        <v>https://www.munzee.com/m/Trappertje/5069/</v>
      </c>
      <c r="D502" s="47"/>
      <c r="E502" s="47" t="b">
        <f>IFERROR(__xludf.DUMMYFUNCTION("""COMPUTED_VALUE"""),TRUE)</f>
        <v>1</v>
      </c>
      <c r="F502" s="86" t="str">
        <f>IFERROR(__xludf.DUMMYFUNCTION("""COMPUTED_VALUE"""),"")</f>
        <v/>
      </c>
      <c r="G502" s="47" t="str">
        <f>IFERROR(__xludf.DUMMYFUNCTION("""COMPUTED_VALUE"""),"")</f>
        <v/>
      </c>
      <c r="H502" s="47"/>
      <c r="I502" s="47">
        <f>IFERROR(__xludf.DUMMYFUNCTION("""COMPUTED_VALUE"""),2.0)</f>
        <v>2</v>
      </c>
      <c r="J502" s="47" t="str">
        <f>IFERROR(__xludf.DUMMYFUNCTION("""COMPUTED_VALUE"""),"https:")</f>
        <v>https:</v>
      </c>
      <c r="K502" s="78" t="str">
        <f>IFERROR(__xludf.DUMMYFUNCTION("""COMPUTED_VALUE"""),"www.munzee.com")</f>
        <v>www.munzee.com</v>
      </c>
      <c r="L502" s="47" t="str">
        <f>IFERROR(__xludf.DUMMYFUNCTION("""COMPUTED_VALUE"""),"m")</f>
        <v>m</v>
      </c>
      <c r="M502" s="47" t="str">
        <f>IFERROR(__xludf.DUMMYFUNCTION("""COMPUTED_VALUE"""),"Trappertje")</f>
        <v>Trappertje</v>
      </c>
    </row>
    <row r="503">
      <c r="A503" s="47" t="str">
        <f>IFERROR(__xludf.DUMMYFUNCTION("""COMPUTED_VALUE"""),"Virtual Brown")</f>
        <v>Virtual Brown</v>
      </c>
      <c r="B503" s="47" t="str">
        <f>IFERROR(__xludf.DUMMYFUNCTION("""COMPUTED_VALUE"""),"BartWullems")</f>
        <v>BartWullems</v>
      </c>
      <c r="C503" s="78" t="str">
        <f>IFERROR(__xludf.DUMMYFUNCTION("""COMPUTED_VALUE"""),"https://www.munzee.com/m/BartWullems/5609")</f>
        <v>https://www.munzee.com/m/BartWullems/5609</v>
      </c>
      <c r="D503" s="47"/>
      <c r="E503" s="47" t="b">
        <f>IFERROR(__xludf.DUMMYFUNCTION("""COMPUTED_VALUE"""),TRUE)</f>
        <v>1</v>
      </c>
      <c r="F503" s="86"/>
      <c r="G503" s="47" t="str">
        <f>IFERROR(__xludf.DUMMYFUNCTION("""COMPUTED_VALUE"""),"")</f>
        <v/>
      </c>
      <c r="H503" s="47"/>
      <c r="I503" s="47">
        <f>IFERROR(__xludf.DUMMYFUNCTION("""COMPUTED_VALUE"""),2.0)</f>
        <v>2</v>
      </c>
      <c r="J503" s="47" t="str">
        <f>IFERROR(__xludf.DUMMYFUNCTION("""COMPUTED_VALUE"""),"https:")</f>
        <v>https:</v>
      </c>
      <c r="K503" s="78" t="str">
        <f>IFERROR(__xludf.DUMMYFUNCTION("""COMPUTED_VALUE"""),"www.munzee.com")</f>
        <v>www.munzee.com</v>
      </c>
      <c r="L503" s="47" t="str">
        <f>IFERROR(__xludf.DUMMYFUNCTION("""COMPUTED_VALUE"""),"m")</f>
        <v>m</v>
      </c>
      <c r="M503" s="47" t="str">
        <f>IFERROR(__xludf.DUMMYFUNCTION("""COMPUTED_VALUE"""),"BartWullems")</f>
        <v>BartWullems</v>
      </c>
    </row>
    <row r="504">
      <c r="A504" s="47" t="str">
        <f>IFERROR(__xludf.DUMMYFUNCTION("""COMPUTED_VALUE"""),"Virtual Brown")</f>
        <v>Virtual Brown</v>
      </c>
      <c r="B504" s="47" t="str">
        <f>IFERROR(__xludf.DUMMYFUNCTION("""COMPUTED_VALUE"""),"Fossillady")</f>
        <v>Fossillady</v>
      </c>
      <c r="C504" s="78" t="str">
        <f>IFERROR(__xludf.DUMMYFUNCTION("""COMPUTED_VALUE"""),"https://www.munzee.com/m/Fossillady/3540")</f>
        <v>https://www.munzee.com/m/Fossillady/3540</v>
      </c>
      <c r="D504" s="47"/>
      <c r="E504" s="47" t="b">
        <f>IFERROR(__xludf.DUMMYFUNCTION("""COMPUTED_VALUE"""),TRUE)</f>
        <v>1</v>
      </c>
      <c r="F504" s="86"/>
      <c r="G504" s="47" t="str">
        <f>IFERROR(__xludf.DUMMYFUNCTION("""COMPUTED_VALUE"""),"")</f>
        <v/>
      </c>
      <c r="H504" s="47"/>
      <c r="I504" s="47">
        <f>IFERROR(__xludf.DUMMYFUNCTION("""COMPUTED_VALUE"""),2.0)</f>
        <v>2</v>
      </c>
      <c r="J504" s="47" t="str">
        <f>IFERROR(__xludf.DUMMYFUNCTION("""COMPUTED_VALUE"""),"https:")</f>
        <v>https:</v>
      </c>
      <c r="K504" s="78" t="str">
        <f>IFERROR(__xludf.DUMMYFUNCTION("""COMPUTED_VALUE"""),"www.munzee.com")</f>
        <v>www.munzee.com</v>
      </c>
      <c r="L504" s="47" t="str">
        <f>IFERROR(__xludf.DUMMYFUNCTION("""COMPUTED_VALUE"""),"m")</f>
        <v>m</v>
      </c>
      <c r="M504" s="47" t="str">
        <f>IFERROR(__xludf.DUMMYFUNCTION("""COMPUTED_VALUE"""),"Fossillady")</f>
        <v>Fossillady</v>
      </c>
    </row>
    <row r="505">
      <c r="A505" s="47" t="str">
        <f>IFERROR(__xludf.DUMMYFUNCTION("""COMPUTED_VALUE"""),"Virtual Raw Sienna")</f>
        <v>Virtual Raw Sienna</v>
      </c>
      <c r="B505" s="47" t="str">
        <f>IFERROR(__xludf.DUMMYFUNCTION("""COMPUTED_VALUE"""),"WiseOldWizard")</f>
        <v>WiseOldWizard</v>
      </c>
      <c r="C505" s="78" t="str">
        <f>IFERROR(__xludf.DUMMYFUNCTION("""COMPUTED_VALUE"""),"https://www.munzee.com/m/WiseOldWizard/3984/")</f>
        <v>https://www.munzee.com/m/WiseOldWizard/3984/</v>
      </c>
      <c r="D505" s="47"/>
      <c r="E505" s="47" t="b">
        <f>IFERROR(__xludf.DUMMYFUNCTION("""COMPUTED_VALUE"""),TRUE)</f>
        <v>1</v>
      </c>
      <c r="F505" s="86" t="str">
        <f>IFERROR(__xludf.DUMMYFUNCTION("""COMPUTED_VALUE"""),"")</f>
        <v/>
      </c>
      <c r="G505" s="47" t="str">
        <f>IFERROR(__xludf.DUMMYFUNCTION("""COMPUTED_VALUE"""),"")</f>
        <v/>
      </c>
      <c r="H505" s="47"/>
      <c r="I505" s="47">
        <f>IFERROR(__xludf.DUMMYFUNCTION("""COMPUTED_VALUE"""),2.0)</f>
        <v>2</v>
      </c>
      <c r="J505" s="47" t="str">
        <f>IFERROR(__xludf.DUMMYFUNCTION("""COMPUTED_VALUE"""),"https:")</f>
        <v>https:</v>
      </c>
      <c r="K505" s="78" t="str">
        <f>IFERROR(__xludf.DUMMYFUNCTION("""COMPUTED_VALUE"""),"www.munzee.com")</f>
        <v>www.munzee.com</v>
      </c>
      <c r="L505" s="47" t="str">
        <f>IFERROR(__xludf.DUMMYFUNCTION("""COMPUTED_VALUE"""),"m")</f>
        <v>m</v>
      </c>
      <c r="M505" s="47" t="str">
        <f>IFERROR(__xludf.DUMMYFUNCTION("""COMPUTED_VALUE"""),"WiseOldWizard")</f>
        <v>WiseOldWizard</v>
      </c>
    </row>
    <row r="506">
      <c r="A506" s="47" t="str">
        <f>IFERROR(__xludf.DUMMYFUNCTION("""COMPUTED_VALUE"""),"Virtual Brown")</f>
        <v>Virtual Brown</v>
      </c>
      <c r="B506" s="47" t="str">
        <f>IFERROR(__xludf.DUMMYFUNCTION("""COMPUTED_VALUE"""),"szakica")</f>
        <v>szakica</v>
      </c>
      <c r="C506" s="78" t="str">
        <f>IFERROR(__xludf.DUMMYFUNCTION("""COMPUTED_VALUE"""),"https://www.munzee.com/m/szakica/2030/")</f>
        <v>https://www.munzee.com/m/szakica/2030/</v>
      </c>
      <c r="D506" s="47"/>
      <c r="E506" s="47" t="b">
        <f>IFERROR(__xludf.DUMMYFUNCTION("""COMPUTED_VALUE"""),TRUE)</f>
        <v>1</v>
      </c>
      <c r="F506" s="86" t="str">
        <f>IFERROR(__xludf.DUMMYFUNCTION("""COMPUTED_VALUE"""),"")</f>
        <v/>
      </c>
      <c r="G506" s="47" t="str">
        <f>IFERROR(__xludf.DUMMYFUNCTION("""COMPUTED_VALUE"""),"")</f>
        <v/>
      </c>
      <c r="H506" s="47"/>
      <c r="I506" s="47">
        <f>IFERROR(__xludf.DUMMYFUNCTION("""COMPUTED_VALUE"""),2.0)</f>
        <v>2</v>
      </c>
      <c r="J506" s="47" t="str">
        <f>IFERROR(__xludf.DUMMYFUNCTION("""COMPUTED_VALUE"""),"https:")</f>
        <v>https:</v>
      </c>
      <c r="K506" s="78" t="str">
        <f>IFERROR(__xludf.DUMMYFUNCTION("""COMPUTED_VALUE"""),"www.munzee.com")</f>
        <v>www.munzee.com</v>
      </c>
      <c r="L506" s="47" t="str">
        <f>IFERROR(__xludf.DUMMYFUNCTION("""COMPUTED_VALUE"""),"m")</f>
        <v>m</v>
      </c>
      <c r="M506" s="47" t="str">
        <f>IFERROR(__xludf.DUMMYFUNCTION("""COMPUTED_VALUE"""),"szakica")</f>
        <v>szakica</v>
      </c>
    </row>
    <row r="507">
      <c r="A507" s="47" t="str">
        <f>IFERROR(__xludf.DUMMYFUNCTION("""COMPUTED_VALUE"""),"Virtual Brown")</f>
        <v>Virtual Brown</v>
      </c>
      <c r="B507" s="47" t="str">
        <f>IFERROR(__xludf.DUMMYFUNCTION("""COMPUTED_VALUE"""),"Wangotango")</f>
        <v>Wangotango</v>
      </c>
      <c r="C507" s="78" t="str">
        <f>IFERROR(__xludf.DUMMYFUNCTION("""COMPUTED_VALUE"""),"https://www.munzee.com/m/Wangotango/1266")</f>
        <v>https://www.munzee.com/m/Wangotango/1266</v>
      </c>
      <c r="D507" s="47"/>
      <c r="E507" s="47" t="b">
        <f>IFERROR(__xludf.DUMMYFUNCTION("""COMPUTED_VALUE"""),TRUE)</f>
        <v>1</v>
      </c>
      <c r="F507" s="86" t="str">
        <f>IFERROR(__xludf.DUMMYFUNCTION("""COMPUTED_VALUE"""),"")</f>
        <v/>
      </c>
      <c r="G507" s="47" t="str">
        <f>IFERROR(__xludf.DUMMYFUNCTION("""COMPUTED_VALUE"""),"")</f>
        <v/>
      </c>
      <c r="H507" s="47"/>
      <c r="I507" s="47">
        <f>IFERROR(__xludf.DUMMYFUNCTION("""COMPUTED_VALUE"""),2.0)</f>
        <v>2</v>
      </c>
      <c r="J507" s="47" t="str">
        <f>IFERROR(__xludf.DUMMYFUNCTION("""COMPUTED_VALUE"""),"https:")</f>
        <v>https:</v>
      </c>
      <c r="K507" s="78" t="str">
        <f>IFERROR(__xludf.DUMMYFUNCTION("""COMPUTED_VALUE"""),"www.munzee.com")</f>
        <v>www.munzee.com</v>
      </c>
      <c r="L507" s="47" t="str">
        <f>IFERROR(__xludf.DUMMYFUNCTION("""COMPUTED_VALUE"""),"m")</f>
        <v>m</v>
      </c>
      <c r="M507" s="47" t="str">
        <f>IFERROR(__xludf.DUMMYFUNCTION("""COMPUTED_VALUE"""),"Wangotango")</f>
        <v>Wangotango</v>
      </c>
    </row>
    <row r="508">
      <c r="A508" s="47" t="str">
        <f>IFERROR(__xludf.DUMMYFUNCTION("""COMPUTED_VALUE"""),"Virtual Raw Sienna")</f>
        <v>Virtual Raw Sienna</v>
      </c>
      <c r="B508" s="47" t="str">
        <f>IFERROR(__xludf.DUMMYFUNCTION("""COMPUTED_VALUE"""),"mihul")</f>
        <v>mihul</v>
      </c>
      <c r="C508" s="78" t="str">
        <f>IFERROR(__xludf.DUMMYFUNCTION("""COMPUTED_VALUE"""),"https://www.munzee.com/m/mihul/4344/")</f>
        <v>https://www.munzee.com/m/mihul/4344/</v>
      </c>
      <c r="D508" s="47"/>
      <c r="E508" s="47" t="b">
        <f>IFERROR(__xludf.DUMMYFUNCTION("""COMPUTED_VALUE"""),TRUE)</f>
        <v>1</v>
      </c>
      <c r="F508" s="86" t="str">
        <f>IFERROR(__xludf.DUMMYFUNCTION("""COMPUTED_VALUE"""),"")</f>
        <v/>
      </c>
      <c r="G508" s="47" t="str">
        <f>IFERROR(__xludf.DUMMYFUNCTION("""COMPUTED_VALUE"""),"")</f>
        <v/>
      </c>
      <c r="H508" s="47"/>
      <c r="I508" s="47">
        <f>IFERROR(__xludf.DUMMYFUNCTION("""COMPUTED_VALUE"""),2.0)</f>
        <v>2</v>
      </c>
      <c r="J508" s="47" t="str">
        <f>IFERROR(__xludf.DUMMYFUNCTION("""COMPUTED_VALUE"""),"https:")</f>
        <v>https:</v>
      </c>
      <c r="K508" s="78" t="str">
        <f>IFERROR(__xludf.DUMMYFUNCTION("""COMPUTED_VALUE"""),"www.munzee.com")</f>
        <v>www.munzee.com</v>
      </c>
      <c r="L508" s="47" t="str">
        <f>IFERROR(__xludf.DUMMYFUNCTION("""COMPUTED_VALUE"""),"m")</f>
        <v>m</v>
      </c>
      <c r="M508" s="47" t="str">
        <f>IFERROR(__xludf.DUMMYFUNCTION("""COMPUTED_VALUE"""),"mihul")</f>
        <v>mihul</v>
      </c>
    </row>
    <row r="509">
      <c r="A509" s="47" t="str">
        <f>IFERROR(__xludf.DUMMYFUNCTION("""COMPUTED_VALUE"""),"Virtual Brown")</f>
        <v>Virtual Brown</v>
      </c>
      <c r="B509" s="47" t="str">
        <f>IFERROR(__xludf.DUMMYFUNCTION("""COMPUTED_VALUE"""),"TheFrog")</f>
        <v>TheFrog</v>
      </c>
      <c r="C509" s="78" t="str">
        <f>IFERROR(__xludf.DUMMYFUNCTION("""COMPUTED_VALUE"""),"https://www.munzee.com/m/TheFrog/4237/")</f>
        <v>https://www.munzee.com/m/TheFrog/4237/</v>
      </c>
      <c r="D509" s="47"/>
      <c r="E509" s="47" t="b">
        <f>IFERROR(__xludf.DUMMYFUNCTION("""COMPUTED_VALUE"""),TRUE)</f>
        <v>1</v>
      </c>
      <c r="F509" s="86" t="str">
        <f>IFERROR(__xludf.DUMMYFUNCTION("""COMPUTED_VALUE"""),"")</f>
        <v/>
      </c>
      <c r="G509" s="47" t="str">
        <f>IFERROR(__xludf.DUMMYFUNCTION("""COMPUTED_VALUE"""),"")</f>
        <v/>
      </c>
      <c r="H509" s="47"/>
      <c r="I509" s="47">
        <f>IFERROR(__xludf.DUMMYFUNCTION("""COMPUTED_VALUE"""),2.0)</f>
        <v>2</v>
      </c>
      <c r="J509" s="47" t="str">
        <f>IFERROR(__xludf.DUMMYFUNCTION("""COMPUTED_VALUE"""),"https:")</f>
        <v>https:</v>
      </c>
      <c r="K509" s="78" t="str">
        <f>IFERROR(__xludf.DUMMYFUNCTION("""COMPUTED_VALUE"""),"www.munzee.com")</f>
        <v>www.munzee.com</v>
      </c>
      <c r="L509" s="47" t="str">
        <f>IFERROR(__xludf.DUMMYFUNCTION("""COMPUTED_VALUE"""),"m")</f>
        <v>m</v>
      </c>
      <c r="M509" s="47" t="str">
        <f>IFERROR(__xludf.DUMMYFUNCTION("""COMPUTED_VALUE"""),"TheFrog")</f>
        <v>TheFrog</v>
      </c>
    </row>
    <row r="510">
      <c r="A510" s="47" t="str">
        <f>IFERROR(__xludf.DUMMYFUNCTION("""COMPUTED_VALUE"""),"Virtual Brown")</f>
        <v>Virtual Brown</v>
      </c>
      <c r="B510" s="47" t="str">
        <f>IFERROR(__xludf.DUMMYFUNCTION("""COMPUTED_VALUE"""),"123xilef")</f>
        <v>123xilef</v>
      </c>
      <c r="C510" s="78" t="str">
        <f>IFERROR(__xludf.DUMMYFUNCTION("""COMPUTED_VALUE"""),"https://www.munzee.com/m/123xilef/7166/")</f>
        <v>https://www.munzee.com/m/123xilef/7166/</v>
      </c>
      <c r="D510" s="47"/>
      <c r="E510" s="47" t="b">
        <f>IFERROR(__xludf.DUMMYFUNCTION("""COMPUTED_VALUE"""),TRUE)</f>
        <v>1</v>
      </c>
      <c r="F510" s="86" t="str">
        <f>IFERROR(__xludf.DUMMYFUNCTION("""COMPUTED_VALUE"""),"")</f>
        <v/>
      </c>
      <c r="G510" s="47" t="str">
        <f>IFERROR(__xludf.DUMMYFUNCTION("""COMPUTED_VALUE"""),"")</f>
        <v/>
      </c>
      <c r="H510" s="47"/>
      <c r="I510" s="47">
        <f>IFERROR(__xludf.DUMMYFUNCTION("""COMPUTED_VALUE"""),2.0)</f>
        <v>2</v>
      </c>
      <c r="J510" s="47" t="str">
        <f>IFERROR(__xludf.DUMMYFUNCTION("""COMPUTED_VALUE"""),"https:")</f>
        <v>https:</v>
      </c>
      <c r="K510" s="78" t="str">
        <f>IFERROR(__xludf.DUMMYFUNCTION("""COMPUTED_VALUE"""),"www.munzee.com")</f>
        <v>www.munzee.com</v>
      </c>
      <c r="L510" s="47" t="str">
        <f>IFERROR(__xludf.DUMMYFUNCTION("""COMPUTED_VALUE"""),"m")</f>
        <v>m</v>
      </c>
      <c r="M510" s="47" t="str">
        <f>IFERROR(__xludf.DUMMYFUNCTION("""COMPUTED_VALUE"""),"123xilef")</f>
        <v>123xilef</v>
      </c>
    </row>
    <row r="511">
      <c r="A511" s="47" t="str">
        <f>IFERROR(__xludf.DUMMYFUNCTION("""COMPUTED_VALUE"""),"Virtual Raw Sienna")</f>
        <v>Virtual Raw Sienna</v>
      </c>
      <c r="B511" s="47" t="str">
        <f>IFERROR(__xludf.DUMMYFUNCTION("""COMPUTED_VALUE"""),"KublaKhan")</f>
        <v>KublaKhan</v>
      </c>
      <c r="C511" s="78" t="str">
        <f>IFERROR(__xludf.DUMMYFUNCTION("""COMPUTED_VALUE"""),"https://www.munzee.com/m/KublaKhan/640/")</f>
        <v>https://www.munzee.com/m/KublaKhan/640/</v>
      </c>
      <c r="D511" s="47"/>
      <c r="E511" s="47" t="b">
        <f>IFERROR(__xludf.DUMMYFUNCTION("""COMPUTED_VALUE"""),TRUE)</f>
        <v>1</v>
      </c>
      <c r="F511" s="86" t="str">
        <f>IFERROR(__xludf.DUMMYFUNCTION("""COMPUTED_VALUE"""),"")</f>
        <v/>
      </c>
      <c r="G511" s="47" t="str">
        <f>IFERROR(__xludf.DUMMYFUNCTION("""COMPUTED_VALUE"""),"")</f>
        <v/>
      </c>
      <c r="H511" s="47"/>
      <c r="I511" s="47">
        <f>IFERROR(__xludf.DUMMYFUNCTION("""COMPUTED_VALUE"""),2.0)</f>
        <v>2</v>
      </c>
      <c r="J511" s="47" t="str">
        <f>IFERROR(__xludf.DUMMYFUNCTION("""COMPUTED_VALUE"""),"https:")</f>
        <v>https:</v>
      </c>
      <c r="K511" s="78" t="str">
        <f>IFERROR(__xludf.DUMMYFUNCTION("""COMPUTED_VALUE"""),"www.munzee.com")</f>
        <v>www.munzee.com</v>
      </c>
      <c r="L511" s="47" t="str">
        <f>IFERROR(__xludf.DUMMYFUNCTION("""COMPUTED_VALUE"""),"m")</f>
        <v>m</v>
      </c>
      <c r="M511" s="47" t="str">
        <f>IFERROR(__xludf.DUMMYFUNCTION("""COMPUTED_VALUE"""),"KublaKhan")</f>
        <v>KublaKhan</v>
      </c>
    </row>
    <row r="512">
      <c r="A512" s="47" t="str">
        <f>IFERROR(__xludf.DUMMYFUNCTION("""COMPUTED_VALUE"""),"Virtual Brown")</f>
        <v>Virtual Brown</v>
      </c>
      <c r="B512" s="47" t="str">
        <f>IFERROR(__xludf.DUMMYFUNCTION("""COMPUTED_VALUE"""),"FlatBlack")</f>
        <v>FlatBlack</v>
      </c>
      <c r="C512" s="78" t="str">
        <f>IFERROR(__xludf.DUMMYFUNCTION("""COMPUTED_VALUE"""),"https://www.munzee.com/m/FlatBlack/757")</f>
        <v>https://www.munzee.com/m/FlatBlack/757</v>
      </c>
      <c r="D512" s="47"/>
      <c r="E512" s="47" t="b">
        <f>IFERROR(__xludf.DUMMYFUNCTION("""COMPUTED_VALUE"""),TRUE)</f>
        <v>1</v>
      </c>
      <c r="F512" s="86" t="str">
        <f>IFERROR(__xludf.DUMMYFUNCTION("""COMPUTED_VALUE"""),"")</f>
        <v/>
      </c>
      <c r="G512" s="47" t="str">
        <f>IFERROR(__xludf.DUMMYFUNCTION("""COMPUTED_VALUE"""),"")</f>
        <v/>
      </c>
      <c r="H512" s="47"/>
      <c r="I512" s="47">
        <f>IFERROR(__xludf.DUMMYFUNCTION("""COMPUTED_VALUE"""),2.0)</f>
        <v>2</v>
      </c>
      <c r="J512" s="47" t="str">
        <f>IFERROR(__xludf.DUMMYFUNCTION("""COMPUTED_VALUE"""),"https:")</f>
        <v>https:</v>
      </c>
      <c r="K512" s="78" t="str">
        <f>IFERROR(__xludf.DUMMYFUNCTION("""COMPUTED_VALUE"""),"www.munzee.com")</f>
        <v>www.munzee.com</v>
      </c>
      <c r="L512" s="47" t="str">
        <f>IFERROR(__xludf.DUMMYFUNCTION("""COMPUTED_VALUE"""),"m")</f>
        <v>m</v>
      </c>
      <c r="M512" s="47" t="str">
        <f>IFERROR(__xludf.DUMMYFUNCTION("""COMPUTED_VALUE"""),"FlatBlack")</f>
        <v>FlatBlack</v>
      </c>
    </row>
    <row r="513">
      <c r="A513" s="47" t="str">
        <f>IFERROR(__xludf.DUMMYFUNCTION("""COMPUTED_VALUE"""),"Virtual Brown")</f>
        <v>Virtual Brown</v>
      </c>
      <c r="B513" s="47" t="str">
        <f>IFERROR(__xludf.DUMMYFUNCTION("""COMPUTED_VALUE"""),"Jawillia")</f>
        <v>Jawillia</v>
      </c>
      <c r="C513" s="78" t="str">
        <f>IFERROR(__xludf.DUMMYFUNCTION("""COMPUTED_VALUE"""),"https://www.munzee.com/m/Jawillia/4385/")</f>
        <v>https://www.munzee.com/m/Jawillia/4385/</v>
      </c>
      <c r="D513" s="47"/>
      <c r="E513" s="47" t="b">
        <f>IFERROR(__xludf.DUMMYFUNCTION("""COMPUTED_VALUE"""),TRUE)</f>
        <v>1</v>
      </c>
      <c r="F513" s="86" t="str">
        <f>IFERROR(__xludf.DUMMYFUNCTION("""COMPUTED_VALUE"""),"")</f>
        <v/>
      </c>
      <c r="G513" s="47" t="str">
        <f>IFERROR(__xludf.DUMMYFUNCTION("""COMPUTED_VALUE"""),"")</f>
        <v/>
      </c>
      <c r="H513" s="47"/>
      <c r="I513" s="47">
        <f>IFERROR(__xludf.DUMMYFUNCTION("""COMPUTED_VALUE"""),2.0)</f>
        <v>2</v>
      </c>
      <c r="J513" s="47" t="str">
        <f>IFERROR(__xludf.DUMMYFUNCTION("""COMPUTED_VALUE"""),"https:")</f>
        <v>https:</v>
      </c>
      <c r="K513" s="78" t="str">
        <f>IFERROR(__xludf.DUMMYFUNCTION("""COMPUTED_VALUE"""),"www.munzee.com")</f>
        <v>www.munzee.com</v>
      </c>
      <c r="L513" s="47" t="str">
        <f>IFERROR(__xludf.DUMMYFUNCTION("""COMPUTED_VALUE"""),"m")</f>
        <v>m</v>
      </c>
      <c r="M513" s="47" t="str">
        <f>IFERROR(__xludf.DUMMYFUNCTION("""COMPUTED_VALUE"""),"Jawillia")</f>
        <v>Jawillia</v>
      </c>
    </row>
    <row r="514">
      <c r="A514" s="47" t="str">
        <f>IFERROR(__xludf.DUMMYFUNCTION("""COMPUTED_VALUE"""),"Virtual Brown")</f>
        <v>Virtual Brown</v>
      </c>
      <c r="B514" s="47" t="str">
        <f>IFERROR(__xludf.DUMMYFUNCTION("""COMPUTED_VALUE"""),"KublaKhan")</f>
        <v>KublaKhan</v>
      </c>
      <c r="C514" s="78" t="str">
        <f>IFERROR(__xludf.DUMMYFUNCTION("""COMPUTED_VALUE"""),"https://www.munzee.com/m/KublaKhan/689/")</f>
        <v>https://www.munzee.com/m/KublaKhan/689/</v>
      </c>
      <c r="D514" s="47"/>
      <c r="E514" s="47" t="b">
        <f>IFERROR(__xludf.DUMMYFUNCTION("""COMPUTED_VALUE"""),TRUE)</f>
        <v>1</v>
      </c>
      <c r="F514" s="86" t="str">
        <f>IFERROR(__xludf.DUMMYFUNCTION("""COMPUTED_VALUE"""),"")</f>
        <v/>
      </c>
      <c r="G514" s="47" t="str">
        <f>IFERROR(__xludf.DUMMYFUNCTION("""COMPUTED_VALUE"""),"")</f>
        <v/>
      </c>
      <c r="H514" s="47"/>
      <c r="I514" s="47">
        <f>IFERROR(__xludf.DUMMYFUNCTION("""COMPUTED_VALUE"""),2.0)</f>
        <v>2</v>
      </c>
      <c r="J514" s="47" t="str">
        <f>IFERROR(__xludf.DUMMYFUNCTION("""COMPUTED_VALUE"""),"https:")</f>
        <v>https:</v>
      </c>
      <c r="K514" s="78" t="str">
        <f>IFERROR(__xludf.DUMMYFUNCTION("""COMPUTED_VALUE"""),"www.munzee.com")</f>
        <v>www.munzee.com</v>
      </c>
      <c r="L514" s="47" t="str">
        <f>IFERROR(__xludf.DUMMYFUNCTION("""COMPUTED_VALUE"""),"m")</f>
        <v>m</v>
      </c>
      <c r="M514" s="47" t="str">
        <f>IFERROR(__xludf.DUMMYFUNCTION("""COMPUTED_VALUE"""),"KublaKhan")</f>
        <v>KublaKhan</v>
      </c>
    </row>
    <row r="515">
      <c r="A515" s="47" t="str">
        <f>IFERROR(__xludf.DUMMYFUNCTION("""COMPUTED_VALUE"""),"Virtual Brown")</f>
        <v>Virtual Brown</v>
      </c>
      <c r="B515" s="47" t="str">
        <f>IFERROR(__xludf.DUMMYFUNCTION("""COMPUTED_VALUE"""),"PennyCat")</f>
        <v>PennyCat</v>
      </c>
      <c r="C515" s="78" t="str">
        <f>IFERROR(__xludf.DUMMYFUNCTION("""COMPUTED_VALUE"""),"https://www.munzee.com/m/PennyCat/136/")</f>
        <v>https://www.munzee.com/m/PennyCat/136/</v>
      </c>
      <c r="D515" s="47"/>
      <c r="E515" s="47" t="b">
        <f>IFERROR(__xludf.DUMMYFUNCTION("""COMPUTED_VALUE"""),TRUE)</f>
        <v>1</v>
      </c>
      <c r="F515" s="86" t="str">
        <f>IFERROR(__xludf.DUMMYFUNCTION("""COMPUTED_VALUE"""),"")</f>
        <v/>
      </c>
      <c r="G515" s="47" t="str">
        <f>IFERROR(__xludf.DUMMYFUNCTION("""COMPUTED_VALUE"""),"")</f>
        <v/>
      </c>
      <c r="H515" s="47"/>
      <c r="I515" s="47">
        <f>IFERROR(__xludf.DUMMYFUNCTION("""COMPUTED_VALUE"""),2.0)</f>
        <v>2</v>
      </c>
      <c r="J515" s="47" t="str">
        <f>IFERROR(__xludf.DUMMYFUNCTION("""COMPUTED_VALUE"""),"https:")</f>
        <v>https:</v>
      </c>
      <c r="K515" s="78" t="str">
        <f>IFERROR(__xludf.DUMMYFUNCTION("""COMPUTED_VALUE"""),"www.munzee.com")</f>
        <v>www.munzee.com</v>
      </c>
      <c r="L515" s="47" t="str">
        <f>IFERROR(__xludf.DUMMYFUNCTION("""COMPUTED_VALUE"""),"m")</f>
        <v>m</v>
      </c>
      <c r="M515" s="47" t="str">
        <f>IFERROR(__xludf.DUMMYFUNCTION("""COMPUTED_VALUE"""),"PennyCat")</f>
        <v>PennyCat</v>
      </c>
    </row>
    <row r="516">
      <c r="A516" s="47" t="str">
        <f>IFERROR(__xludf.DUMMYFUNCTION("""COMPUTED_VALUE"""),"Virtual Brown")</f>
        <v>Virtual Brown</v>
      </c>
      <c r="B516" s="47" t="str">
        <f>IFERROR(__xludf.DUMMYFUNCTION("""COMPUTED_VALUE"""),"barefootguru")</f>
        <v>barefootguru</v>
      </c>
      <c r="C516" s="78" t="str">
        <f>IFERROR(__xludf.DUMMYFUNCTION("""COMPUTED_VALUE"""),"https://www.munzee.com/m/barefootguru/3135/")</f>
        <v>https://www.munzee.com/m/barefootguru/3135/</v>
      </c>
      <c r="D516" s="47"/>
      <c r="E516" s="47" t="b">
        <f>IFERROR(__xludf.DUMMYFUNCTION("""COMPUTED_VALUE"""),TRUE)</f>
        <v>1</v>
      </c>
      <c r="F516" s="86" t="str">
        <f>IFERROR(__xludf.DUMMYFUNCTION("""COMPUTED_VALUE"""),"")</f>
        <v/>
      </c>
      <c r="G516" s="47" t="str">
        <f>IFERROR(__xludf.DUMMYFUNCTION("""COMPUTED_VALUE"""),"")</f>
        <v/>
      </c>
      <c r="H516" s="47"/>
      <c r="I516" s="47">
        <f>IFERROR(__xludf.DUMMYFUNCTION("""COMPUTED_VALUE"""),2.0)</f>
        <v>2</v>
      </c>
      <c r="J516" s="47" t="str">
        <f>IFERROR(__xludf.DUMMYFUNCTION("""COMPUTED_VALUE"""),"https:")</f>
        <v>https:</v>
      </c>
      <c r="K516" s="78" t="str">
        <f>IFERROR(__xludf.DUMMYFUNCTION("""COMPUTED_VALUE"""),"www.munzee.com")</f>
        <v>www.munzee.com</v>
      </c>
      <c r="L516" s="47" t="str">
        <f>IFERROR(__xludf.DUMMYFUNCTION("""COMPUTED_VALUE"""),"m")</f>
        <v>m</v>
      </c>
      <c r="M516" s="47" t="str">
        <f>IFERROR(__xludf.DUMMYFUNCTION("""COMPUTED_VALUE"""),"barefootguru")</f>
        <v>barefootguru</v>
      </c>
    </row>
    <row r="517">
      <c r="A517" s="47" t="str">
        <f>IFERROR(__xludf.DUMMYFUNCTION("""COMPUTED_VALUE"""),"Virtual Brown")</f>
        <v>Virtual Brown</v>
      </c>
      <c r="B517" s="47" t="str">
        <f>IFERROR(__xludf.DUMMYFUNCTION("""COMPUTED_VALUE"""),"TheFatCats")</f>
        <v>TheFatCats</v>
      </c>
      <c r="C517" s="78" t="str">
        <f>IFERROR(__xludf.DUMMYFUNCTION("""COMPUTED_VALUE"""),"https://www.munzee.com/m/TheFatCats/3554/")</f>
        <v>https://www.munzee.com/m/TheFatCats/3554/</v>
      </c>
      <c r="D517" s="47"/>
      <c r="E517" s="47" t="b">
        <f>IFERROR(__xludf.DUMMYFUNCTION("""COMPUTED_VALUE"""),TRUE)</f>
        <v>1</v>
      </c>
      <c r="F517" s="86" t="str">
        <f>IFERROR(__xludf.DUMMYFUNCTION("""COMPUTED_VALUE"""),"")</f>
        <v/>
      </c>
      <c r="G517" s="47" t="str">
        <f>IFERROR(__xludf.DUMMYFUNCTION("""COMPUTED_VALUE"""),"")</f>
        <v/>
      </c>
      <c r="H517" s="47"/>
      <c r="I517" s="47">
        <f>IFERROR(__xludf.DUMMYFUNCTION("""COMPUTED_VALUE"""),2.0)</f>
        <v>2</v>
      </c>
      <c r="J517" s="47" t="str">
        <f>IFERROR(__xludf.DUMMYFUNCTION("""COMPUTED_VALUE"""),"https:")</f>
        <v>https:</v>
      </c>
      <c r="K517" s="78" t="str">
        <f>IFERROR(__xludf.DUMMYFUNCTION("""COMPUTED_VALUE"""),"www.munzee.com")</f>
        <v>www.munzee.com</v>
      </c>
      <c r="L517" s="47" t="str">
        <f>IFERROR(__xludf.DUMMYFUNCTION("""COMPUTED_VALUE"""),"m")</f>
        <v>m</v>
      </c>
      <c r="M517" s="47" t="str">
        <f>IFERROR(__xludf.DUMMYFUNCTION("""COMPUTED_VALUE"""),"TheFatCats")</f>
        <v>TheFatCats</v>
      </c>
    </row>
    <row r="518">
      <c r="A518" s="47" t="str">
        <f>IFERROR(__xludf.DUMMYFUNCTION("""COMPUTED_VALUE"""),"Virtual Raw Sienna")</f>
        <v>Virtual Raw Sienna</v>
      </c>
      <c r="B518" s="47" t="str">
        <f>IFERROR(__xludf.DUMMYFUNCTION("""COMPUTED_VALUE"""),"Aniara")</f>
        <v>Aniara</v>
      </c>
      <c r="C518" s="78" t="str">
        <f>IFERROR(__xludf.DUMMYFUNCTION("""COMPUTED_VALUE"""),"https://www.munzee.com/m/Aniara/6633/")</f>
        <v>https://www.munzee.com/m/Aniara/6633/</v>
      </c>
      <c r="D518" s="84"/>
      <c r="E518" s="47" t="b">
        <f>IFERROR(__xludf.DUMMYFUNCTION("""COMPUTED_VALUE"""),TRUE)</f>
        <v>1</v>
      </c>
      <c r="F518" s="86" t="str">
        <f>IFERROR(__xludf.DUMMYFUNCTION("""COMPUTED_VALUE"""),"")</f>
        <v/>
      </c>
      <c r="G518" s="47" t="str">
        <f>IFERROR(__xludf.DUMMYFUNCTION("""COMPUTED_VALUE"""),"")</f>
        <v/>
      </c>
      <c r="H518" s="47"/>
      <c r="I518" s="47">
        <f>IFERROR(__xludf.DUMMYFUNCTION("""COMPUTED_VALUE"""),2.0)</f>
        <v>2</v>
      </c>
      <c r="J518" s="47" t="str">
        <f>IFERROR(__xludf.DUMMYFUNCTION("""COMPUTED_VALUE"""),"https:")</f>
        <v>https:</v>
      </c>
      <c r="K518" s="78" t="str">
        <f>IFERROR(__xludf.DUMMYFUNCTION("""COMPUTED_VALUE"""),"www.munzee.com")</f>
        <v>www.munzee.com</v>
      </c>
      <c r="L518" s="47" t="str">
        <f>IFERROR(__xludf.DUMMYFUNCTION("""COMPUTED_VALUE"""),"m")</f>
        <v>m</v>
      </c>
      <c r="M518" s="47" t="str">
        <f>IFERROR(__xludf.DUMMYFUNCTION("""COMPUTED_VALUE"""),"Aniara")</f>
        <v>Aniara</v>
      </c>
    </row>
    <row r="519">
      <c r="A519" s="47" t="str">
        <f>IFERROR(__xludf.DUMMYFUNCTION("""COMPUTED_VALUE"""),"Virtual Raw Sienna")</f>
        <v>Virtual Raw Sienna</v>
      </c>
      <c r="B519" s="47" t="str">
        <f>IFERROR(__xludf.DUMMYFUNCTION("""COMPUTED_VALUE"""),"Fossillady")</f>
        <v>Fossillady</v>
      </c>
      <c r="C519" s="78" t="str">
        <f>IFERROR(__xludf.DUMMYFUNCTION("""COMPUTED_VALUE"""),"https://www.munzee.com/m/Fossillady/3677")</f>
        <v>https://www.munzee.com/m/Fossillady/3677</v>
      </c>
      <c r="D519" s="47"/>
      <c r="E519" s="47" t="b">
        <f>IFERROR(__xludf.DUMMYFUNCTION("""COMPUTED_VALUE"""),TRUE)</f>
        <v>1</v>
      </c>
      <c r="F519" s="86" t="str">
        <f>IFERROR(__xludf.DUMMYFUNCTION("""COMPUTED_VALUE"""),"")</f>
        <v/>
      </c>
      <c r="G519" s="47" t="str">
        <f>IFERROR(__xludf.DUMMYFUNCTION("""COMPUTED_VALUE"""),"")</f>
        <v/>
      </c>
      <c r="H519" s="47"/>
      <c r="I519" s="47">
        <f>IFERROR(__xludf.DUMMYFUNCTION("""COMPUTED_VALUE"""),2.0)</f>
        <v>2</v>
      </c>
      <c r="J519" s="47" t="str">
        <f>IFERROR(__xludf.DUMMYFUNCTION("""COMPUTED_VALUE"""),"https:")</f>
        <v>https:</v>
      </c>
      <c r="K519" s="78" t="str">
        <f>IFERROR(__xludf.DUMMYFUNCTION("""COMPUTED_VALUE"""),"www.munzee.com")</f>
        <v>www.munzee.com</v>
      </c>
      <c r="L519" s="47" t="str">
        <f>IFERROR(__xludf.DUMMYFUNCTION("""COMPUTED_VALUE"""),"m")</f>
        <v>m</v>
      </c>
      <c r="M519" s="47" t="str">
        <f>IFERROR(__xludf.DUMMYFUNCTION("""COMPUTED_VALUE"""),"Fossillady")</f>
        <v>Fossillady</v>
      </c>
    </row>
    <row r="520">
      <c r="A520" s="47" t="str">
        <f>IFERROR(__xludf.DUMMYFUNCTION("""COMPUTED_VALUE"""),"Virtual Brown")</f>
        <v>Virtual Brown</v>
      </c>
      <c r="B520" s="47" t="str">
        <f>IFERROR(__xludf.DUMMYFUNCTION("""COMPUTED_VALUE"""),"TheFatCats")</f>
        <v>TheFatCats</v>
      </c>
      <c r="C520" s="78" t="str">
        <f>IFERROR(__xludf.DUMMYFUNCTION("""COMPUTED_VALUE"""),"https://www.munzee.com/m/TheFatCats/3836/")</f>
        <v>https://www.munzee.com/m/TheFatCats/3836/</v>
      </c>
      <c r="D520" s="47"/>
      <c r="E520" s="47" t="b">
        <f>IFERROR(__xludf.DUMMYFUNCTION("""COMPUTED_VALUE"""),TRUE)</f>
        <v>1</v>
      </c>
      <c r="F520" s="86" t="str">
        <f>IFERROR(__xludf.DUMMYFUNCTION("""COMPUTED_VALUE"""),"")</f>
        <v/>
      </c>
      <c r="G520" s="47" t="str">
        <f>IFERROR(__xludf.DUMMYFUNCTION("""COMPUTED_VALUE"""),"")</f>
        <v/>
      </c>
      <c r="H520" s="47"/>
      <c r="I520" s="47">
        <f>IFERROR(__xludf.DUMMYFUNCTION("""COMPUTED_VALUE"""),2.0)</f>
        <v>2</v>
      </c>
      <c r="J520" s="47" t="str">
        <f>IFERROR(__xludf.DUMMYFUNCTION("""COMPUTED_VALUE"""),"https:")</f>
        <v>https:</v>
      </c>
      <c r="K520" s="78" t="str">
        <f>IFERROR(__xludf.DUMMYFUNCTION("""COMPUTED_VALUE"""),"www.munzee.com")</f>
        <v>www.munzee.com</v>
      </c>
      <c r="L520" s="47" t="str">
        <f>IFERROR(__xludf.DUMMYFUNCTION("""COMPUTED_VALUE"""),"m")</f>
        <v>m</v>
      </c>
      <c r="M520" s="47" t="str">
        <f>IFERROR(__xludf.DUMMYFUNCTION("""COMPUTED_VALUE"""),"TheFatCats")</f>
        <v>TheFatCats</v>
      </c>
    </row>
    <row r="521">
      <c r="A521" s="47" t="str">
        <f>IFERROR(__xludf.DUMMYFUNCTION("""COMPUTED_VALUE"""),"Virtual Brown")</f>
        <v>Virtual Brown</v>
      </c>
      <c r="B521" s="47" t="str">
        <f>IFERROR(__xludf.DUMMYFUNCTION("""COMPUTED_VALUE"""),"Belladivadee")</f>
        <v>Belladivadee</v>
      </c>
      <c r="C521" s="78" t="str">
        <f>IFERROR(__xludf.DUMMYFUNCTION("""COMPUTED_VALUE"""),"http://www.munzee.com/m/belladivadee/3039")</f>
        <v>http://www.munzee.com/m/belladivadee/3039</v>
      </c>
      <c r="D521" s="47"/>
      <c r="E521" s="47" t="b">
        <f>IFERROR(__xludf.DUMMYFUNCTION("""COMPUTED_VALUE"""),TRUE)</f>
        <v>1</v>
      </c>
      <c r="F521" s="47" t="str">
        <f>IFERROR(__xludf.DUMMYFUNCTION("""COMPUTED_VALUE"""),"")</f>
        <v/>
      </c>
      <c r="G521" s="47" t="str">
        <f>IFERROR(__xludf.DUMMYFUNCTION("""COMPUTED_VALUE"""),"")</f>
        <v/>
      </c>
      <c r="H521" s="47"/>
      <c r="I521" s="47">
        <f>IFERROR(__xludf.DUMMYFUNCTION("""COMPUTED_VALUE"""),2.0)</f>
        <v>2</v>
      </c>
      <c r="J521" s="47" t="str">
        <f>IFERROR(__xludf.DUMMYFUNCTION("""COMPUTED_VALUE"""),"http:")</f>
        <v>http:</v>
      </c>
      <c r="K521" s="78" t="str">
        <f>IFERROR(__xludf.DUMMYFUNCTION("""COMPUTED_VALUE"""),"www.munzee.com")</f>
        <v>www.munzee.com</v>
      </c>
      <c r="L521" s="47" t="str">
        <f>IFERROR(__xludf.DUMMYFUNCTION("""COMPUTED_VALUE"""),"m")</f>
        <v>m</v>
      </c>
      <c r="M521" s="47" t="str">
        <f>IFERROR(__xludf.DUMMYFUNCTION("""COMPUTED_VALUE"""),"belladivadee")</f>
        <v>belladivadee</v>
      </c>
    </row>
    <row r="522">
      <c r="A522" s="47" t="str">
        <f>IFERROR(__xludf.DUMMYFUNCTION("""COMPUTED_VALUE"""),"Virtual Brown")</f>
        <v>Virtual Brown</v>
      </c>
      <c r="B522" s="47" t="str">
        <f>IFERROR(__xludf.DUMMYFUNCTION("""COMPUTED_VALUE"""),"sverlaan")</f>
        <v>sverlaan</v>
      </c>
      <c r="C522" s="78" t="str">
        <f>IFERROR(__xludf.DUMMYFUNCTION("""COMPUTED_VALUE"""),"https://www.munzee.com/m/sverlaan/4394/")</f>
        <v>https://www.munzee.com/m/sverlaan/4394/</v>
      </c>
      <c r="D522" s="47"/>
      <c r="E522" s="47" t="b">
        <f>IFERROR(__xludf.DUMMYFUNCTION("""COMPUTED_VALUE"""),TRUE)</f>
        <v>1</v>
      </c>
      <c r="F522" s="47" t="str">
        <f>IFERROR(__xludf.DUMMYFUNCTION("""COMPUTED_VALUE"""),"")</f>
        <v/>
      </c>
      <c r="G522" s="47" t="str">
        <f>IFERROR(__xludf.DUMMYFUNCTION("""COMPUTED_VALUE"""),"")</f>
        <v/>
      </c>
      <c r="H522" s="47"/>
      <c r="I522" s="47">
        <f>IFERROR(__xludf.DUMMYFUNCTION("""COMPUTED_VALUE"""),2.0)</f>
        <v>2</v>
      </c>
      <c r="J522" s="47" t="str">
        <f>IFERROR(__xludf.DUMMYFUNCTION("""COMPUTED_VALUE"""),"https:")</f>
        <v>https:</v>
      </c>
      <c r="K522" s="78" t="str">
        <f>IFERROR(__xludf.DUMMYFUNCTION("""COMPUTED_VALUE"""),"www.munzee.com")</f>
        <v>www.munzee.com</v>
      </c>
      <c r="L522" s="47" t="str">
        <f>IFERROR(__xludf.DUMMYFUNCTION("""COMPUTED_VALUE"""),"m")</f>
        <v>m</v>
      </c>
      <c r="M522" s="47" t="str">
        <f>IFERROR(__xludf.DUMMYFUNCTION("""COMPUTED_VALUE"""),"sverlaan")</f>
        <v>sverlaan</v>
      </c>
    </row>
    <row r="523">
      <c r="A523" s="47" t="str">
        <f>IFERROR(__xludf.DUMMYFUNCTION("""COMPUTED_VALUE"""),"Virtual Raw Sienna")</f>
        <v>Virtual Raw Sienna</v>
      </c>
      <c r="B523" s="47" t="str">
        <f>IFERROR(__xludf.DUMMYFUNCTION("""COMPUTED_VALUE"""),"PawPatrolThomas")</f>
        <v>PawPatrolThomas</v>
      </c>
      <c r="C523" s="78" t="str">
        <f>IFERROR(__xludf.DUMMYFUNCTION("""COMPUTED_VALUE"""),"https://www.munzee.com/m/PawPatrolThomas/2451/")</f>
        <v>https://www.munzee.com/m/PawPatrolThomas/2451/</v>
      </c>
      <c r="D523" s="47"/>
      <c r="E523" s="47" t="b">
        <f>IFERROR(__xludf.DUMMYFUNCTION("""COMPUTED_VALUE"""),TRUE)</f>
        <v>1</v>
      </c>
      <c r="F523" s="47" t="str">
        <f>IFERROR(__xludf.DUMMYFUNCTION("""COMPUTED_VALUE"""),"")</f>
        <v/>
      </c>
      <c r="G523" s="47" t="str">
        <f>IFERROR(__xludf.DUMMYFUNCTION("""COMPUTED_VALUE"""),"")</f>
        <v/>
      </c>
      <c r="H523" s="47"/>
      <c r="I523" s="47">
        <f>IFERROR(__xludf.DUMMYFUNCTION("""COMPUTED_VALUE"""),2.0)</f>
        <v>2</v>
      </c>
      <c r="J523" s="47" t="str">
        <f>IFERROR(__xludf.DUMMYFUNCTION("""COMPUTED_VALUE"""),"https:")</f>
        <v>https:</v>
      </c>
      <c r="K523" s="78" t="str">
        <f>IFERROR(__xludf.DUMMYFUNCTION("""COMPUTED_VALUE"""),"www.munzee.com")</f>
        <v>www.munzee.com</v>
      </c>
      <c r="L523" s="47" t="str">
        <f>IFERROR(__xludf.DUMMYFUNCTION("""COMPUTED_VALUE"""),"m")</f>
        <v>m</v>
      </c>
      <c r="M523" s="47" t="str">
        <f>IFERROR(__xludf.DUMMYFUNCTION("""COMPUTED_VALUE"""),"PawPatrolThomas")</f>
        <v>PawPatrolThomas</v>
      </c>
    </row>
    <row r="524">
      <c r="A524" s="47" t="str">
        <f>IFERROR(__xludf.DUMMYFUNCTION("""COMPUTED_VALUE"""),"Virtual Raw Sienna")</f>
        <v>Virtual Raw Sienna</v>
      </c>
      <c r="B524" s="47" t="str">
        <f>IFERROR(__xludf.DUMMYFUNCTION("""COMPUTED_VALUE"""),"EmileP68")</f>
        <v>EmileP68</v>
      </c>
      <c r="C524" s="78" t="str">
        <f>IFERROR(__xludf.DUMMYFUNCTION("""COMPUTED_VALUE"""),"https://www.munzee.com/m/EmileP68/3155/")</f>
        <v>https://www.munzee.com/m/EmileP68/3155/</v>
      </c>
      <c r="D524" s="47"/>
      <c r="E524" s="47" t="b">
        <f>IFERROR(__xludf.DUMMYFUNCTION("""COMPUTED_VALUE"""),TRUE)</f>
        <v>1</v>
      </c>
      <c r="F524" s="47" t="str">
        <f>IFERROR(__xludf.DUMMYFUNCTION("""COMPUTED_VALUE"""),"")</f>
        <v/>
      </c>
      <c r="G524" s="47" t="str">
        <f>IFERROR(__xludf.DUMMYFUNCTION("""COMPUTED_VALUE"""),"")</f>
        <v/>
      </c>
      <c r="H524" s="47"/>
      <c r="I524" s="47">
        <f>IFERROR(__xludf.DUMMYFUNCTION("""COMPUTED_VALUE"""),2.0)</f>
        <v>2</v>
      </c>
      <c r="J524" s="47" t="str">
        <f>IFERROR(__xludf.DUMMYFUNCTION("""COMPUTED_VALUE"""),"https:")</f>
        <v>https:</v>
      </c>
      <c r="K524" s="78" t="str">
        <f>IFERROR(__xludf.DUMMYFUNCTION("""COMPUTED_VALUE"""),"www.munzee.com")</f>
        <v>www.munzee.com</v>
      </c>
      <c r="L524" s="47" t="str">
        <f>IFERROR(__xludf.DUMMYFUNCTION("""COMPUTED_VALUE"""),"m")</f>
        <v>m</v>
      </c>
      <c r="M524" s="47" t="str">
        <f>IFERROR(__xludf.DUMMYFUNCTION("""COMPUTED_VALUE"""),"EmileP68")</f>
        <v>EmileP68</v>
      </c>
    </row>
    <row r="525">
      <c r="A525" s="47" t="str">
        <f>IFERROR(__xludf.DUMMYFUNCTION("""COMPUTED_VALUE"""),"Virtual Brown")</f>
        <v>Virtual Brown</v>
      </c>
      <c r="B525" s="47" t="str">
        <f>IFERROR(__xludf.DUMMYFUNCTION("""COMPUTED_VALUE"""),"drazoria")</f>
        <v>drazoria</v>
      </c>
      <c r="C525" s="78" t="str">
        <f>IFERROR(__xludf.DUMMYFUNCTION("""COMPUTED_VALUE"""),"https://www.munzee.com/m/Drazoria/761/")</f>
        <v>https://www.munzee.com/m/Drazoria/761/</v>
      </c>
      <c r="D525" s="47"/>
      <c r="E525" s="47" t="b">
        <f>IFERROR(__xludf.DUMMYFUNCTION("""COMPUTED_VALUE"""),TRUE)</f>
        <v>1</v>
      </c>
      <c r="F525" s="47" t="str">
        <f>IFERROR(__xludf.DUMMYFUNCTION("""COMPUTED_VALUE"""),"")</f>
        <v/>
      </c>
      <c r="G525" s="47" t="str">
        <f>IFERROR(__xludf.DUMMYFUNCTION("""COMPUTED_VALUE"""),"")</f>
        <v/>
      </c>
      <c r="H525" s="47"/>
      <c r="I525" s="47">
        <f>IFERROR(__xludf.DUMMYFUNCTION("""COMPUTED_VALUE"""),2.0)</f>
        <v>2</v>
      </c>
      <c r="J525" s="47" t="str">
        <f>IFERROR(__xludf.DUMMYFUNCTION("""COMPUTED_VALUE"""),"https:")</f>
        <v>https:</v>
      </c>
      <c r="K525" s="78" t="str">
        <f>IFERROR(__xludf.DUMMYFUNCTION("""COMPUTED_VALUE"""),"www.munzee.com")</f>
        <v>www.munzee.com</v>
      </c>
      <c r="L525" s="47" t="str">
        <f>IFERROR(__xludf.DUMMYFUNCTION("""COMPUTED_VALUE"""),"m")</f>
        <v>m</v>
      </c>
      <c r="M525" s="47" t="str">
        <f>IFERROR(__xludf.DUMMYFUNCTION("""COMPUTED_VALUE"""),"Drazoria")</f>
        <v>Drazoria</v>
      </c>
    </row>
    <row r="526">
      <c r="A526" s="47" t="str">
        <f>IFERROR(__xludf.DUMMYFUNCTION("""COMPUTED_VALUE"""),"Virtual Brown")</f>
        <v>Virtual Brown</v>
      </c>
      <c r="B526" s="47" t="str">
        <f>IFERROR(__xludf.DUMMYFUNCTION("""COMPUTED_VALUE"""),"tinake1309")</f>
        <v>tinake1309</v>
      </c>
      <c r="C526" s="78" t="str">
        <f>IFERROR(__xludf.DUMMYFUNCTION("""COMPUTED_VALUE"""),"https://www.munzee.com/m/Tinake1309/754/")</f>
        <v>https://www.munzee.com/m/Tinake1309/754/</v>
      </c>
      <c r="D526" s="47"/>
      <c r="E526" s="47" t="b">
        <f>IFERROR(__xludf.DUMMYFUNCTION("""COMPUTED_VALUE"""),TRUE)</f>
        <v>1</v>
      </c>
      <c r="F526" s="47" t="str">
        <f>IFERROR(__xludf.DUMMYFUNCTION("""COMPUTED_VALUE"""),"")</f>
        <v/>
      </c>
      <c r="G526" s="47" t="str">
        <f>IFERROR(__xludf.DUMMYFUNCTION("""COMPUTED_VALUE"""),"")</f>
        <v/>
      </c>
      <c r="H526" s="47"/>
      <c r="I526" s="47">
        <f>IFERROR(__xludf.DUMMYFUNCTION("""COMPUTED_VALUE"""),2.0)</f>
        <v>2</v>
      </c>
      <c r="J526" s="47" t="str">
        <f>IFERROR(__xludf.DUMMYFUNCTION("""COMPUTED_VALUE"""),"https:")</f>
        <v>https:</v>
      </c>
      <c r="K526" s="78" t="str">
        <f>IFERROR(__xludf.DUMMYFUNCTION("""COMPUTED_VALUE"""),"www.munzee.com")</f>
        <v>www.munzee.com</v>
      </c>
      <c r="L526" s="47" t="str">
        <f>IFERROR(__xludf.DUMMYFUNCTION("""COMPUTED_VALUE"""),"m")</f>
        <v>m</v>
      </c>
      <c r="M526" s="47" t="str">
        <f>IFERROR(__xludf.DUMMYFUNCTION("""COMPUTED_VALUE"""),"Tinake1309")</f>
        <v>Tinake1309</v>
      </c>
    </row>
    <row r="527">
      <c r="A527" s="47" t="str">
        <f>IFERROR(__xludf.DUMMYFUNCTION("""COMPUTED_VALUE"""),"Virtual Brown")</f>
        <v>Virtual Brown</v>
      </c>
      <c r="B527" s="47" t="str">
        <f>IFERROR(__xludf.DUMMYFUNCTION("""COMPUTED_VALUE"""),"niks13")</f>
        <v>niks13</v>
      </c>
      <c r="C527" s="78" t="str">
        <f>IFERROR(__xludf.DUMMYFUNCTION("""COMPUTED_VALUE"""),"https://www.munzee.com/m/Niks13/581")</f>
        <v>https://www.munzee.com/m/Niks13/581</v>
      </c>
      <c r="D527" s="47"/>
      <c r="E527" s="47" t="b">
        <f>IFERROR(__xludf.DUMMYFUNCTION("""COMPUTED_VALUE"""),TRUE)</f>
        <v>1</v>
      </c>
      <c r="F527" s="47" t="str">
        <f>IFERROR(__xludf.DUMMYFUNCTION("""COMPUTED_VALUE"""),"")</f>
        <v/>
      </c>
      <c r="G527" s="47" t="str">
        <f>IFERROR(__xludf.DUMMYFUNCTION("""COMPUTED_VALUE"""),"")</f>
        <v/>
      </c>
      <c r="H527" s="47"/>
      <c r="I527" s="47">
        <f>IFERROR(__xludf.DUMMYFUNCTION("""COMPUTED_VALUE"""),2.0)</f>
        <v>2</v>
      </c>
      <c r="J527" s="47" t="str">
        <f>IFERROR(__xludf.DUMMYFUNCTION("""COMPUTED_VALUE"""),"https:")</f>
        <v>https:</v>
      </c>
      <c r="K527" s="78" t="str">
        <f>IFERROR(__xludf.DUMMYFUNCTION("""COMPUTED_VALUE"""),"www.munzee.com")</f>
        <v>www.munzee.com</v>
      </c>
      <c r="L527" s="47" t="str">
        <f>IFERROR(__xludf.DUMMYFUNCTION("""COMPUTED_VALUE"""),"m")</f>
        <v>m</v>
      </c>
      <c r="M527" s="47" t="str">
        <f>IFERROR(__xludf.DUMMYFUNCTION("""COMPUTED_VALUE"""),"Niks13")</f>
        <v>Niks13</v>
      </c>
    </row>
    <row r="528">
      <c r="A528" s="47" t="str">
        <f>IFERROR(__xludf.DUMMYFUNCTION("""COMPUTED_VALUE"""),"Virtual Raw Sienna")</f>
        <v>Virtual Raw Sienna</v>
      </c>
      <c r="B528" s="47" t="str">
        <f>IFERROR(__xludf.DUMMYFUNCTION("""COMPUTED_VALUE"""),"berg14")</f>
        <v>berg14</v>
      </c>
      <c r="C528" s="78" t="str">
        <f>IFERROR(__xludf.DUMMYFUNCTION("""COMPUTED_VALUE"""),"https://www.munzee.com/m/Berg14/594/")</f>
        <v>https://www.munzee.com/m/Berg14/594/</v>
      </c>
      <c r="D528" s="47"/>
      <c r="E528" s="47" t="b">
        <f>IFERROR(__xludf.DUMMYFUNCTION("""COMPUTED_VALUE"""),TRUE)</f>
        <v>1</v>
      </c>
      <c r="F528" s="47" t="str">
        <f>IFERROR(__xludf.DUMMYFUNCTION("""COMPUTED_VALUE"""),"")</f>
        <v/>
      </c>
      <c r="G528" s="47" t="str">
        <f>IFERROR(__xludf.DUMMYFUNCTION("""COMPUTED_VALUE"""),"")</f>
        <v/>
      </c>
      <c r="H528" s="47"/>
      <c r="I528" s="47">
        <f>IFERROR(__xludf.DUMMYFUNCTION("""COMPUTED_VALUE"""),2.0)</f>
        <v>2</v>
      </c>
      <c r="J528" s="47" t="str">
        <f>IFERROR(__xludf.DUMMYFUNCTION("""COMPUTED_VALUE"""),"https:")</f>
        <v>https:</v>
      </c>
      <c r="K528" s="78" t="str">
        <f>IFERROR(__xludf.DUMMYFUNCTION("""COMPUTED_VALUE"""),"www.munzee.com")</f>
        <v>www.munzee.com</v>
      </c>
      <c r="L528" s="47" t="str">
        <f>IFERROR(__xludf.DUMMYFUNCTION("""COMPUTED_VALUE"""),"m")</f>
        <v>m</v>
      </c>
      <c r="M528" s="47" t="str">
        <f>IFERROR(__xludf.DUMMYFUNCTION("""COMPUTED_VALUE"""),"Berg14")</f>
        <v>Berg14</v>
      </c>
    </row>
    <row r="529">
      <c r="A529" s="47" t="str">
        <f>IFERROR(__xludf.DUMMYFUNCTION("""COMPUTED_VALUE"""),"Virtual Brown")</f>
        <v>Virtual Brown</v>
      </c>
      <c r="B529" s="47" t="str">
        <f>IFERROR(__xludf.DUMMYFUNCTION("""COMPUTED_VALUE"""),"xrayneex")</f>
        <v>xrayneex</v>
      </c>
      <c r="C529" s="78" t="str">
        <f>IFERROR(__xludf.DUMMYFUNCTION("""COMPUTED_VALUE"""),"https://www.munzee.com/m/xrayneex/1398/")</f>
        <v>https://www.munzee.com/m/xrayneex/1398/</v>
      </c>
      <c r="D529" s="47"/>
      <c r="E529" s="47" t="b">
        <f>IFERROR(__xludf.DUMMYFUNCTION("""COMPUTED_VALUE"""),TRUE)</f>
        <v>1</v>
      </c>
      <c r="F529" s="47" t="str">
        <f>IFERROR(__xludf.DUMMYFUNCTION("""COMPUTED_VALUE"""),"")</f>
        <v/>
      </c>
      <c r="G529" s="47" t="str">
        <f>IFERROR(__xludf.DUMMYFUNCTION("""COMPUTED_VALUE"""),"")</f>
        <v/>
      </c>
      <c r="H529" s="47"/>
      <c r="I529" s="47">
        <f>IFERROR(__xludf.DUMMYFUNCTION("""COMPUTED_VALUE"""),2.0)</f>
        <v>2</v>
      </c>
      <c r="J529" s="47" t="str">
        <f>IFERROR(__xludf.DUMMYFUNCTION("""COMPUTED_VALUE"""),"https:")</f>
        <v>https:</v>
      </c>
      <c r="K529" s="78" t="str">
        <f>IFERROR(__xludf.DUMMYFUNCTION("""COMPUTED_VALUE"""),"www.munzee.com")</f>
        <v>www.munzee.com</v>
      </c>
      <c r="L529" s="47" t="str">
        <f>IFERROR(__xludf.DUMMYFUNCTION("""COMPUTED_VALUE"""),"m")</f>
        <v>m</v>
      </c>
      <c r="M529" s="47" t="str">
        <f>IFERROR(__xludf.DUMMYFUNCTION("""COMPUTED_VALUE"""),"xrayneex")</f>
        <v>xrayneex</v>
      </c>
    </row>
    <row r="530">
      <c r="A530" s="47" t="str">
        <f>IFERROR(__xludf.DUMMYFUNCTION("""COMPUTED_VALUE"""),"Virtual Brown")</f>
        <v>Virtual Brown</v>
      </c>
      <c r="B530" s="47" t="str">
        <f>IFERROR(__xludf.DUMMYFUNCTION("""COMPUTED_VALUE"""),"fsafranek")</f>
        <v>fsafranek</v>
      </c>
      <c r="C530" s="78" t="str">
        <f>IFERROR(__xludf.DUMMYFUNCTION("""COMPUTED_VALUE"""),"https://www.munzee.com/m/fsafranek/4409/")</f>
        <v>https://www.munzee.com/m/fsafranek/4409/</v>
      </c>
      <c r="D530" s="47"/>
      <c r="E530" s="47" t="b">
        <f>IFERROR(__xludf.DUMMYFUNCTION("""COMPUTED_VALUE"""),TRUE)</f>
        <v>1</v>
      </c>
      <c r="F530" s="47"/>
      <c r="G530" s="47" t="str">
        <f>IFERROR(__xludf.DUMMYFUNCTION("""COMPUTED_VALUE"""),"")</f>
        <v/>
      </c>
      <c r="H530" s="47"/>
      <c r="I530" s="47">
        <f>IFERROR(__xludf.DUMMYFUNCTION("""COMPUTED_VALUE"""),2.0)</f>
        <v>2</v>
      </c>
      <c r="J530" s="47" t="str">
        <f>IFERROR(__xludf.DUMMYFUNCTION("""COMPUTED_VALUE"""),"https:")</f>
        <v>https:</v>
      </c>
      <c r="K530" s="78" t="str">
        <f>IFERROR(__xludf.DUMMYFUNCTION("""COMPUTED_VALUE"""),"www.munzee.com")</f>
        <v>www.munzee.com</v>
      </c>
      <c r="L530" s="47" t="str">
        <f>IFERROR(__xludf.DUMMYFUNCTION("""COMPUTED_VALUE"""),"m")</f>
        <v>m</v>
      </c>
      <c r="M530" s="47" t="str">
        <f>IFERROR(__xludf.DUMMYFUNCTION("""COMPUTED_VALUE"""),"fsafranek")</f>
        <v>fsafranek</v>
      </c>
    </row>
    <row r="531">
      <c r="A531" s="47" t="str">
        <f>IFERROR(__xludf.DUMMYFUNCTION("""COMPUTED_VALUE"""),"Virtual Brown")</f>
        <v>Virtual Brown</v>
      </c>
      <c r="B531" s="47" t="str">
        <f>IFERROR(__xludf.DUMMYFUNCTION("""COMPUTED_VALUE"""),"5Star")</f>
        <v>5Star</v>
      </c>
      <c r="C531" s="78" t="str">
        <f>IFERROR(__xludf.DUMMYFUNCTION("""COMPUTED_VALUE"""),"https://www.munzee.com/m/5Star/5839/")</f>
        <v>https://www.munzee.com/m/5Star/5839/</v>
      </c>
      <c r="D531" s="47"/>
      <c r="E531" s="47" t="b">
        <f>IFERROR(__xludf.DUMMYFUNCTION("""COMPUTED_VALUE"""),TRUE)</f>
        <v>1</v>
      </c>
      <c r="F531" s="47" t="str">
        <f>IFERROR(__xludf.DUMMYFUNCTION("""COMPUTED_VALUE"""),"")</f>
        <v/>
      </c>
      <c r="G531" s="47" t="str">
        <f>IFERROR(__xludf.DUMMYFUNCTION("""COMPUTED_VALUE"""),"")</f>
        <v/>
      </c>
      <c r="H531" s="47"/>
      <c r="I531" s="47">
        <f>IFERROR(__xludf.DUMMYFUNCTION("""COMPUTED_VALUE"""),2.0)</f>
        <v>2</v>
      </c>
      <c r="J531" s="47" t="str">
        <f>IFERROR(__xludf.DUMMYFUNCTION("""COMPUTED_VALUE"""),"https:")</f>
        <v>https:</v>
      </c>
      <c r="K531" s="78" t="str">
        <f>IFERROR(__xludf.DUMMYFUNCTION("""COMPUTED_VALUE"""),"www.munzee.com")</f>
        <v>www.munzee.com</v>
      </c>
      <c r="L531" s="47" t="str">
        <f>IFERROR(__xludf.DUMMYFUNCTION("""COMPUTED_VALUE"""),"m")</f>
        <v>m</v>
      </c>
      <c r="M531" s="47" t="str">
        <f>IFERROR(__xludf.DUMMYFUNCTION("""COMPUTED_VALUE"""),"5Star")</f>
        <v>5Star</v>
      </c>
    </row>
    <row r="532">
      <c r="A532" s="47" t="str">
        <f>IFERROR(__xludf.DUMMYFUNCTION("""COMPUTED_VALUE"""),"Virtual Brown")</f>
        <v>Virtual Brown</v>
      </c>
      <c r="B532" s="47" t="str">
        <f>IFERROR(__xludf.DUMMYFUNCTION("""COMPUTED_VALUE"""),"TheFatCats")</f>
        <v>TheFatCats</v>
      </c>
      <c r="C532" s="78" t="str">
        <f>IFERROR(__xludf.DUMMYFUNCTION("""COMPUTED_VALUE"""),"https://www.munzee.com/m/TheFatCats/3465/")</f>
        <v>https://www.munzee.com/m/TheFatCats/3465/</v>
      </c>
      <c r="D532" s="47"/>
      <c r="E532" s="47" t="b">
        <f>IFERROR(__xludf.DUMMYFUNCTION("""COMPUTED_VALUE"""),TRUE)</f>
        <v>1</v>
      </c>
      <c r="F532" s="47" t="str">
        <f>IFERROR(__xludf.DUMMYFUNCTION("""COMPUTED_VALUE"""),"")</f>
        <v/>
      </c>
      <c r="G532" s="47" t="str">
        <f>IFERROR(__xludf.DUMMYFUNCTION("""COMPUTED_VALUE"""),"")</f>
        <v/>
      </c>
      <c r="H532" s="47"/>
      <c r="I532" s="47">
        <f>IFERROR(__xludf.DUMMYFUNCTION("""COMPUTED_VALUE"""),2.0)</f>
        <v>2</v>
      </c>
      <c r="J532" s="47" t="str">
        <f>IFERROR(__xludf.DUMMYFUNCTION("""COMPUTED_VALUE"""),"https:")</f>
        <v>https:</v>
      </c>
      <c r="K532" s="78" t="str">
        <f>IFERROR(__xludf.DUMMYFUNCTION("""COMPUTED_VALUE"""),"www.munzee.com")</f>
        <v>www.munzee.com</v>
      </c>
      <c r="L532" s="47" t="str">
        <f>IFERROR(__xludf.DUMMYFUNCTION("""COMPUTED_VALUE"""),"m")</f>
        <v>m</v>
      </c>
      <c r="M532" s="47" t="str">
        <f>IFERROR(__xludf.DUMMYFUNCTION("""COMPUTED_VALUE"""),"TheFatCats")</f>
        <v>TheFatCats</v>
      </c>
    </row>
    <row r="533">
      <c r="A533" s="47" t="str">
        <f>IFERROR(__xludf.DUMMYFUNCTION("""COMPUTED_VALUE"""),"Virtual Brown")</f>
        <v>Virtual Brown</v>
      </c>
      <c r="B533" s="47" t="str">
        <f>IFERROR(__xludf.DUMMYFUNCTION("""COMPUTED_VALUE"""),"OdinsFiRe")</f>
        <v>OdinsFiRe</v>
      </c>
      <c r="C533" s="78" t="str">
        <f>IFERROR(__xludf.DUMMYFUNCTION("""COMPUTED_VALUE"""),"https://www.munzee.com/m/OdinsFiRe/1637/")</f>
        <v>https://www.munzee.com/m/OdinsFiRe/1637/</v>
      </c>
      <c r="D533" s="47" t="str">
        <f>IFERROR(__xludf.DUMMYFUNCTION("""COMPUTED_VALUE"""),"24/8")</f>
        <v>24/8</v>
      </c>
      <c r="E533" s="47" t="b">
        <f>IFERROR(__xludf.DUMMYFUNCTION("""COMPUTED_VALUE"""),TRUE)</f>
        <v>1</v>
      </c>
      <c r="F533" s="47" t="str">
        <f>IFERROR(__xludf.DUMMYFUNCTION("""COMPUTED_VALUE"""),"")</f>
        <v/>
      </c>
      <c r="G533" s="47" t="str">
        <f>IFERROR(__xludf.DUMMYFUNCTION("""COMPUTED_VALUE"""),"")</f>
        <v/>
      </c>
      <c r="H533" s="47"/>
      <c r="I533" s="47">
        <f>IFERROR(__xludf.DUMMYFUNCTION("""COMPUTED_VALUE"""),2.0)</f>
        <v>2</v>
      </c>
      <c r="J533" s="47" t="str">
        <f>IFERROR(__xludf.DUMMYFUNCTION("""COMPUTED_VALUE"""),"https:")</f>
        <v>https:</v>
      </c>
      <c r="K533" s="78" t="str">
        <f>IFERROR(__xludf.DUMMYFUNCTION("""COMPUTED_VALUE"""),"www.munzee.com")</f>
        <v>www.munzee.com</v>
      </c>
      <c r="L533" s="47" t="str">
        <f>IFERROR(__xludf.DUMMYFUNCTION("""COMPUTED_VALUE"""),"m")</f>
        <v>m</v>
      </c>
      <c r="M533" s="47" t="str">
        <f>IFERROR(__xludf.DUMMYFUNCTION("""COMPUTED_VALUE"""),"OdinsFiRe")</f>
        <v>OdinsFiRe</v>
      </c>
    </row>
    <row r="534">
      <c r="A534" s="47" t="str">
        <f>IFERROR(__xludf.DUMMYFUNCTION("""COMPUTED_VALUE"""),"Virtual Brown")</f>
        <v>Virtual Brown</v>
      </c>
      <c r="B534" s="47" t="str">
        <f>IFERROR(__xludf.DUMMYFUNCTION("""COMPUTED_VALUE"""),"J1Huisman")</f>
        <v>J1Huisman</v>
      </c>
      <c r="C534" s="78" t="str">
        <f>IFERROR(__xludf.DUMMYFUNCTION("""COMPUTED_VALUE"""),"https://www.munzee.com/m/J1Huisman/11416/")</f>
        <v>https://www.munzee.com/m/J1Huisman/11416/</v>
      </c>
      <c r="D534" s="47"/>
      <c r="E534" s="47" t="b">
        <f>IFERROR(__xludf.DUMMYFUNCTION("""COMPUTED_VALUE"""),TRUE)</f>
        <v>1</v>
      </c>
      <c r="F534" s="47" t="str">
        <f>IFERROR(__xludf.DUMMYFUNCTION("""COMPUTED_VALUE"""),"")</f>
        <v/>
      </c>
      <c r="G534" s="47" t="str">
        <f>IFERROR(__xludf.DUMMYFUNCTION("""COMPUTED_VALUE"""),"")</f>
        <v/>
      </c>
      <c r="H534" s="47"/>
      <c r="I534" s="47">
        <f>IFERROR(__xludf.DUMMYFUNCTION("""COMPUTED_VALUE"""),2.0)</f>
        <v>2</v>
      </c>
      <c r="J534" s="47" t="str">
        <f>IFERROR(__xludf.DUMMYFUNCTION("""COMPUTED_VALUE"""),"https:")</f>
        <v>https:</v>
      </c>
      <c r="K534" s="78" t="str">
        <f>IFERROR(__xludf.DUMMYFUNCTION("""COMPUTED_VALUE"""),"www.munzee.com")</f>
        <v>www.munzee.com</v>
      </c>
      <c r="L534" s="47" t="str">
        <f>IFERROR(__xludf.DUMMYFUNCTION("""COMPUTED_VALUE"""),"m")</f>
        <v>m</v>
      </c>
      <c r="M534" s="47" t="str">
        <f>IFERROR(__xludf.DUMMYFUNCTION("""COMPUTED_VALUE"""),"J1Huisman")</f>
        <v>J1Huisman</v>
      </c>
    </row>
    <row r="535">
      <c r="A535" s="47" t="str">
        <f>IFERROR(__xludf.DUMMYFUNCTION("""COMPUTED_VALUE"""),"Virtual Brown")</f>
        <v>Virtual Brown</v>
      </c>
      <c r="B535" s="47" t="str">
        <f>IFERROR(__xludf.DUMMYFUNCTION("""COMPUTED_VALUE"""),"TheFatCats")</f>
        <v>TheFatCats</v>
      </c>
      <c r="C535" s="78" t="str">
        <f>IFERROR(__xludf.DUMMYFUNCTION("""COMPUTED_VALUE"""),"https://www.munzee.com/m/TheFatCats/3484/")</f>
        <v>https://www.munzee.com/m/TheFatCats/3484/</v>
      </c>
      <c r="D535" s="47"/>
      <c r="E535" s="47" t="b">
        <f>IFERROR(__xludf.DUMMYFUNCTION("""COMPUTED_VALUE"""),TRUE)</f>
        <v>1</v>
      </c>
      <c r="F535" s="47" t="str">
        <f>IFERROR(__xludf.DUMMYFUNCTION("""COMPUTED_VALUE"""),"")</f>
        <v/>
      </c>
      <c r="G535" s="47" t="str">
        <f>IFERROR(__xludf.DUMMYFUNCTION("""COMPUTED_VALUE"""),"")</f>
        <v/>
      </c>
      <c r="H535" s="47"/>
      <c r="I535" s="47">
        <f>IFERROR(__xludf.DUMMYFUNCTION("""COMPUTED_VALUE"""),2.0)</f>
        <v>2</v>
      </c>
      <c r="J535" s="47" t="str">
        <f>IFERROR(__xludf.DUMMYFUNCTION("""COMPUTED_VALUE"""),"https:")</f>
        <v>https:</v>
      </c>
      <c r="K535" s="78" t="str">
        <f>IFERROR(__xludf.DUMMYFUNCTION("""COMPUTED_VALUE"""),"www.munzee.com")</f>
        <v>www.munzee.com</v>
      </c>
      <c r="L535" s="47" t="str">
        <f>IFERROR(__xludf.DUMMYFUNCTION("""COMPUTED_VALUE"""),"m")</f>
        <v>m</v>
      </c>
      <c r="M535" s="47" t="str">
        <f>IFERROR(__xludf.DUMMYFUNCTION("""COMPUTED_VALUE"""),"TheFatCats")</f>
        <v>TheFatCats</v>
      </c>
    </row>
    <row r="536">
      <c r="A536" s="47" t="str">
        <f>IFERROR(__xludf.DUMMYFUNCTION("""COMPUTED_VALUE"""),"Virtual Brown")</f>
        <v>Virtual Brown</v>
      </c>
      <c r="B536" s="47" t="str">
        <f>IFERROR(__xludf.DUMMYFUNCTION("""COMPUTED_VALUE"""),"OdinsFiRe")</f>
        <v>OdinsFiRe</v>
      </c>
      <c r="C536" s="78" t="str">
        <f>IFERROR(__xludf.DUMMYFUNCTION("""COMPUTED_VALUE"""),"https://www.munzee.com/m/OdinsFiRe/1639/")</f>
        <v>https://www.munzee.com/m/OdinsFiRe/1639/</v>
      </c>
      <c r="D536" s="47" t="str">
        <f>IFERROR(__xludf.DUMMYFUNCTION("""COMPUTED_VALUE"""),"25/8")</f>
        <v>25/8</v>
      </c>
      <c r="E536" s="47" t="b">
        <f>IFERROR(__xludf.DUMMYFUNCTION("""COMPUTED_VALUE"""),TRUE)</f>
        <v>1</v>
      </c>
      <c r="F536" s="47" t="str">
        <f>IFERROR(__xludf.DUMMYFUNCTION("""COMPUTED_VALUE"""),"")</f>
        <v/>
      </c>
      <c r="G536" s="47" t="str">
        <f>IFERROR(__xludf.DUMMYFUNCTION("""COMPUTED_VALUE"""),"")</f>
        <v/>
      </c>
      <c r="H536" s="47"/>
      <c r="I536" s="47">
        <f>IFERROR(__xludf.DUMMYFUNCTION("""COMPUTED_VALUE"""),2.0)</f>
        <v>2</v>
      </c>
      <c r="J536" s="47" t="str">
        <f>IFERROR(__xludf.DUMMYFUNCTION("""COMPUTED_VALUE"""),"https:")</f>
        <v>https:</v>
      </c>
      <c r="K536" s="78" t="str">
        <f>IFERROR(__xludf.DUMMYFUNCTION("""COMPUTED_VALUE"""),"www.munzee.com")</f>
        <v>www.munzee.com</v>
      </c>
      <c r="L536" s="47" t="str">
        <f>IFERROR(__xludf.DUMMYFUNCTION("""COMPUTED_VALUE"""),"m")</f>
        <v>m</v>
      </c>
      <c r="M536" s="47" t="str">
        <f>IFERROR(__xludf.DUMMYFUNCTION("""COMPUTED_VALUE"""),"OdinsFiRe")</f>
        <v>OdinsFiRe</v>
      </c>
    </row>
    <row r="537">
      <c r="A537" s="47" t="str">
        <f>IFERROR(__xludf.DUMMYFUNCTION("""COMPUTED_VALUE"""),"Virtual Brown")</f>
        <v>Virtual Brown</v>
      </c>
      <c r="B537" s="47" t="str">
        <f>IFERROR(__xludf.DUMMYFUNCTION("""COMPUTED_VALUE"""),"Pinkeltje")</f>
        <v>Pinkeltje</v>
      </c>
      <c r="C537" s="78" t="str">
        <f>IFERROR(__xludf.DUMMYFUNCTION("""COMPUTED_VALUE"""),"https://www.munzee.com/m/Pinkeltje/1287/")</f>
        <v>https://www.munzee.com/m/Pinkeltje/1287/</v>
      </c>
      <c r="D537" s="47"/>
      <c r="E537" s="47" t="b">
        <f>IFERROR(__xludf.DUMMYFUNCTION("""COMPUTED_VALUE"""),TRUE)</f>
        <v>1</v>
      </c>
      <c r="F537" s="47" t="str">
        <f>IFERROR(__xludf.DUMMYFUNCTION("""COMPUTED_VALUE"""),"")</f>
        <v/>
      </c>
      <c r="G537" s="47" t="str">
        <f>IFERROR(__xludf.DUMMYFUNCTION("""COMPUTED_VALUE"""),"")</f>
        <v/>
      </c>
      <c r="H537" s="47"/>
      <c r="I537" s="47">
        <f>IFERROR(__xludf.DUMMYFUNCTION("""COMPUTED_VALUE"""),2.0)</f>
        <v>2</v>
      </c>
      <c r="J537" s="47" t="str">
        <f>IFERROR(__xludf.DUMMYFUNCTION("""COMPUTED_VALUE"""),"https:")</f>
        <v>https:</v>
      </c>
      <c r="K537" s="78" t="str">
        <f>IFERROR(__xludf.DUMMYFUNCTION("""COMPUTED_VALUE"""),"www.munzee.com")</f>
        <v>www.munzee.com</v>
      </c>
      <c r="L537" s="47" t="str">
        <f>IFERROR(__xludf.DUMMYFUNCTION("""COMPUTED_VALUE"""),"m")</f>
        <v>m</v>
      </c>
      <c r="M537" s="47" t="str">
        <f>IFERROR(__xludf.DUMMYFUNCTION("""COMPUTED_VALUE"""),"Pinkeltje")</f>
        <v>Pinkeltje</v>
      </c>
    </row>
    <row r="538">
      <c r="A538" s="47" t="str">
        <f>IFERROR(__xludf.DUMMYFUNCTION("""COMPUTED_VALUE"""),"Virtual Brown")</f>
        <v>Virtual Brown</v>
      </c>
      <c r="B538" s="47" t="str">
        <f>IFERROR(__xludf.DUMMYFUNCTION("""COMPUTED_VALUE"""),"barefootguru")</f>
        <v>barefootguru</v>
      </c>
      <c r="C538" s="78" t="str">
        <f>IFERROR(__xludf.DUMMYFUNCTION("""COMPUTED_VALUE"""),"https://www.munzee.com/m/barefootguru/3144/")</f>
        <v>https://www.munzee.com/m/barefootguru/3144/</v>
      </c>
      <c r="D538" s="47"/>
      <c r="E538" s="47" t="b">
        <f>IFERROR(__xludf.DUMMYFUNCTION("""COMPUTED_VALUE"""),TRUE)</f>
        <v>1</v>
      </c>
      <c r="F538" s="47" t="str">
        <f>IFERROR(__xludf.DUMMYFUNCTION("""COMPUTED_VALUE"""),"")</f>
        <v/>
      </c>
      <c r="G538" s="47" t="str">
        <f>IFERROR(__xludf.DUMMYFUNCTION("""COMPUTED_VALUE"""),"")</f>
        <v/>
      </c>
      <c r="H538" s="47"/>
      <c r="I538" s="47">
        <f>IFERROR(__xludf.DUMMYFUNCTION("""COMPUTED_VALUE"""),2.0)</f>
        <v>2</v>
      </c>
      <c r="J538" s="47" t="str">
        <f>IFERROR(__xludf.DUMMYFUNCTION("""COMPUTED_VALUE"""),"https:")</f>
        <v>https:</v>
      </c>
      <c r="K538" s="78" t="str">
        <f>IFERROR(__xludf.DUMMYFUNCTION("""COMPUTED_VALUE"""),"www.munzee.com")</f>
        <v>www.munzee.com</v>
      </c>
      <c r="L538" s="47" t="str">
        <f>IFERROR(__xludf.DUMMYFUNCTION("""COMPUTED_VALUE"""),"m")</f>
        <v>m</v>
      </c>
      <c r="M538" s="47" t="str">
        <f>IFERROR(__xludf.DUMMYFUNCTION("""COMPUTED_VALUE"""),"barefootguru")</f>
        <v>barefootguru</v>
      </c>
    </row>
    <row r="539">
      <c r="A539" s="47" t="str">
        <f>IFERROR(__xludf.DUMMYFUNCTION("""COMPUTED_VALUE"""),"Virtual Brown")</f>
        <v>Virtual Brown</v>
      </c>
      <c r="B539" s="47" t="str">
        <f>IFERROR(__xludf.DUMMYFUNCTION("""COMPUTED_VALUE"""),"Wangotango")</f>
        <v>Wangotango</v>
      </c>
      <c r="C539" s="78" t="str">
        <f>IFERROR(__xludf.DUMMYFUNCTION("""COMPUTED_VALUE"""),"https://www.munzee.com/m/Wangotango/1273")</f>
        <v>https://www.munzee.com/m/Wangotango/1273</v>
      </c>
      <c r="D539" s="47"/>
      <c r="E539" s="47" t="b">
        <f>IFERROR(__xludf.DUMMYFUNCTION("""COMPUTED_VALUE"""),TRUE)</f>
        <v>1</v>
      </c>
      <c r="F539" s="47" t="str">
        <f>IFERROR(__xludf.DUMMYFUNCTION("""COMPUTED_VALUE"""),"")</f>
        <v/>
      </c>
      <c r="G539" s="47" t="str">
        <f>IFERROR(__xludf.DUMMYFUNCTION("""COMPUTED_VALUE"""),"")</f>
        <v/>
      </c>
      <c r="H539" s="47"/>
      <c r="I539" s="47">
        <f>IFERROR(__xludf.DUMMYFUNCTION("""COMPUTED_VALUE"""),2.0)</f>
        <v>2</v>
      </c>
      <c r="J539" s="47" t="str">
        <f>IFERROR(__xludf.DUMMYFUNCTION("""COMPUTED_VALUE"""),"https:")</f>
        <v>https:</v>
      </c>
      <c r="K539" s="78" t="str">
        <f>IFERROR(__xludf.DUMMYFUNCTION("""COMPUTED_VALUE"""),"www.munzee.com")</f>
        <v>www.munzee.com</v>
      </c>
      <c r="L539" s="47" t="str">
        <f>IFERROR(__xludf.DUMMYFUNCTION("""COMPUTED_VALUE"""),"m")</f>
        <v>m</v>
      </c>
      <c r="M539" s="47" t="str">
        <f>IFERROR(__xludf.DUMMYFUNCTION("""COMPUTED_VALUE"""),"Wangotango")</f>
        <v>Wangotango</v>
      </c>
    </row>
    <row r="540">
      <c r="A540" s="47" t="str">
        <f>IFERROR(__xludf.DUMMYFUNCTION("""COMPUTED_VALUE"""),"Virtual Raw Sienna")</f>
        <v>Virtual Raw Sienna</v>
      </c>
      <c r="B540" s="47" t="str">
        <f>IFERROR(__xludf.DUMMYFUNCTION("""COMPUTED_VALUE"""),"IggiePiggie")</f>
        <v>IggiePiggie</v>
      </c>
      <c r="C540" s="78" t="str">
        <f>IFERROR(__xludf.DUMMYFUNCTION("""COMPUTED_VALUE"""),"https://www.munzee.com/m/IggiePiggie/1878/")</f>
        <v>https://www.munzee.com/m/IggiePiggie/1878/</v>
      </c>
      <c r="D540" s="47"/>
      <c r="E540" s="47" t="b">
        <f>IFERROR(__xludf.DUMMYFUNCTION("""COMPUTED_VALUE"""),TRUE)</f>
        <v>1</v>
      </c>
      <c r="F540" s="47" t="str">
        <f>IFERROR(__xludf.DUMMYFUNCTION("""COMPUTED_VALUE"""),"")</f>
        <v/>
      </c>
      <c r="G540" s="47" t="str">
        <f>IFERROR(__xludf.DUMMYFUNCTION("""COMPUTED_VALUE"""),"")</f>
        <v/>
      </c>
      <c r="H540" s="47"/>
      <c r="I540" s="47">
        <f>IFERROR(__xludf.DUMMYFUNCTION("""COMPUTED_VALUE"""),2.0)</f>
        <v>2</v>
      </c>
      <c r="J540" s="47" t="str">
        <f>IFERROR(__xludf.DUMMYFUNCTION("""COMPUTED_VALUE"""),"https:")</f>
        <v>https:</v>
      </c>
      <c r="K540" s="78" t="str">
        <f>IFERROR(__xludf.DUMMYFUNCTION("""COMPUTED_VALUE"""),"www.munzee.com")</f>
        <v>www.munzee.com</v>
      </c>
      <c r="L540" s="47" t="str">
        <f>IFERROR(__xludf.DUMMYFUNCTION("""COMPUTED_VALUE"""),"m")</f>
        <v>m</v>
      </c>
      <c r="M540" s="47" t="str">
        <f>IFERROR(__xludf.DUMMYFUNCTION("""COMPUTED_VALUE"""),"IggiePiggie")</f>
        <v>IggiePiggie</v>
      </c>
    </row>
    <row r="541">
      <c r="A541" s="47" t="str">
        <f>IFERROR(__xludf.DUMMYFUNCTION("""COMPUTED_VALUE"""),"Virtual Brown")</f>
        <v>Virtual Brown</v>
      </c>
      <c r="B541" s="47" t="str">
        <f>IFERROR(__xludf.DUMMYFUNCTION("""COMPUTED_VALUE"""),"BrotherWilliam")</f>
        <v>BrotherWilliam</v>
      </c>
      <c r="C541" s="78" t="str">
        <f>IFERROR(__xludf.DUMMYFUNCTION("""COMPUTED_VALUE"""),"https://www.munzee.com/m/BrotherWilliam/4045/")</f>
        <v>https://www.munzee.com/m/BrotherWilliam/4045/</v>
      </c>
      <c r="D541" s="47"/>
      <c r="E541" s="47" t="b">
        <f>IFERROR(__xludf.DUMMYFUNCTION("""COMPUTED_VALUE"""),TRUE)</f>
        <v>1</v>
      </c>
      <c r="F541" s="47" t="str">
        <f>IFERROR(__xludf.DUMMYFUNCTION("""COMPUTED_VALUE"""),"")</f>
        <v/>
      </c>
      <c r="G541" s="47" t="str">
        <f>IFERROR(__xludf.DUMMYFUNCTION("""COMPUTED_VALUE"""),"")</f>
        <v/>
      </c>
      <c r="H541" s="47"/>
      <c r="I541" s="47">
        <f>IFERROR(__xludf.DUMMYFUNCTION("""COMPUTED_VALUE"""),2.0)</f>
        <v>2</v>
      </c>
      <c r="J541" s="47" t="str">
        <f>IFERROR(__xludf.DUMMYFUNCTION("""COMPUTED_VALUE"""),"https:")</f>
        <v>https:</v>
      </c>
      <c r="K541" s="78" t="str">
        <f>IFERROR(__xludf.DUMMYFUNCTION("""COMPUTED_VALUE"""),"www.munzee.com")</f>
        <v>www.munzee.com</v>
      </c>
      <c r="L541" s="47" t="str">
        <f>IFERROR(__xludf.DUMMYFUNCTION("""COMPUTED_VALUE"""),"m")</f>
        <v>m</v>
      </c>
      <c r="M541" s="47" t="str">
        <f>IFERROR(__xludf.DUMMYFUNCTION("""COMPUTED_VALUE"""),"BrotherWilliam")</f>
        <v>BrotherWilliam</v>
      </c>
    </row>
    <row r="542">
      <c r="A542" s="47" t="str">
        <f>IFERROR(__xludf.DUMMYFUNCTION("""COMPUTED_VALUE"""),"Virtual Brown")</f>
        <v>Virtual Brown</v>
      </c>
      <c r="B542" s="47" t="str">
        <f>IFERROR(__xludf.DUMMYFUNCTION("""COMPUTED_VALUE"""),"Anetzet")</f>
        <v>Anetzet</v>
      </c>
      <c r="C542" s="78" t="str">
        <f>IFERROR(__xludf.DUMMYFUNCTION("""COMPUTED_VALUE"""),"https://www.munzee.com/m/Anetzet/2878/")</f>
        <v>https://www.munzee.com/m/Anetzet/2878/</v>
      </c>
      <c r="D542" s="47"/>
      <c r="E542" s="47" t="b">
        <f>IFERROR(__xludf.DUMMYFUNCTION("""COMPUTED_VALUE"""),TRUE)</f>
        <v>1</v>
      </c>
      <c r="F542" s="47" t="str">
        <f>IFERROR(__xludf.DUMMYFUNCTION("""COMPUTED_VALUE"""),"")</f>
        <v/>
      </c>
      <c r="G542" s="47" t="str">
        <f>IFERROR(__xludf.DUMMYFUNCTION("""COMPUTED_VALUE"""),"")</f>
        <v/>
      </c>
      <c r="H542" s="47"/>
      <c r="I542" s="47">
        <f>IFERROR(__xludf.DUMMYFUNCTION("""COMPUTED_VALUE"""),2.0)</f>
        <v>2</v>
      </c>
      <c r="J542" s="47" t="str">
        <f>IFERROR(__xludf.DUMMYFUNCTION("""COMPUTED_VALUE"""),"https:")</f>
        <v>https:</v>
      </c>
      <c r="K542" s="78" t="str">
        <f>IFERROR(__xludf.DUMMYFUNCTION("""COMPUTED_VALUE"""),"www.munzee.com")</f>
        <v>www.munzee.com</v>
      </c>
      <c r="L542" s="47" t="str">
        <f>IFERROR(__xludf.DUMMYFUNCTION("""COMPUTED_VALUE"""),"m")</f>
        <v>m</v>
      </c>
      <c r="M542" s="47" t="str">
        <f>IFERROR(__xludf.DUMMYFUNCTION("""COMPUTED_VALUE"""),"Anetzet")</f>
        <v>Anetzet</v>
      </c>
    </row>
    <row r="543">
      <c r="A543" s="47" t="str">
        <f>IFERROR(__xludf.DUMMYFUNCTION("""COMPUTED_VALUE"""),"Virtual Brown")</f>
        <v>Virtual Brown</v>
      </c>
      <c r="B543" s="47" t="str">
        <f>IFERROR(__xludf.DUMMYFUNCTION("""COMPUTED_VALUE"""),"WiseOldWizard")</f>
        <v>WiseOldWizard</v>
      </c>
      <c r="C543" s="78" t="str">
        <f>IFERROR(__xludf.DUMMYFUNCTION("""COMPUTED_VALUE"""),"https://www.munzee.com/m/WiseOldWizard/3991/")</f>
        <v>https://www.munzee.com/m/WiseOldWizard/3991/</v>
      </c>
      <c r="D543" s="47"/>
      <c r="E543" s="47" t="b">
        <f>IFERROR(__xludf.DUMMYFUNCTION("""COMPUTED_VALUE"""),TRUE)</f>
        <v>1</v>
      </c>
      <c r="F543" s="47" t="str">
        <f>IFERROR(__xludf.DUMMYFUNCTION("""COMPUTED_VALUE"""),"")</f>
        <v/>
      </c>
      <c r="G543" s="47" t="str">
        <f>IFERROR(__xludf.DUMMYFUNCTION("""COMPUTED_VALUE"""),"")</f>
        <v/>
      </c>
      <c r="H543" s="47"/>
      <c r="I543" s="47">
        <f>IFERROR(__xludf.DUMMYFUNCTION("""COMPUTED_VALUE"""),2.0)</f>
        <v>2</v>
      </c>
      <c r="J543" s="47" t="str">
        <f>IFERROR(__xludf.DUMMYFUNCTION("""COMPUTED_VALUE"""),"https:")</f>
        <v>https:</v>
      </c>
      <c r="K543" s="78" t="str">
        <f>IFERROR(__xludf.DUMMYFUNCTION("""COMPUTED_VALUE"""),"www.munzee.com")</f>
        <v>www.munzee.com</v>
      </c>
      <c r="L543" s="47" t="str">
        <f>IFERROR(__xludf.DUMMYFUNCTION("""COMPUTED_VALUE"""),"m")</f>
        <v>m</v>
      </c>
      <c r="M543" s="47" t="str">
        <f>IFERROR(__xludf.DUMMYFUNCTION("""COMPUTED_VALUE"""),"WiseOldWizard")</f>
        <v>WiseOldWizard</v>
      </c>
    </row>
    <row r="544">
      <c r="A544" s="47" t="str">
        <f>IFERROR(__xludf.DUMMYFUNCTION("""COMPUTED_VALUE"""),"Virtual Raw Sienna")</f>
        <v>Virtual Raw Sienna</v>
      </c>
      <c r="B544" s="47" t="str">
        <f>IFERROR(__xludf.DUMMYFUNCTION("""COMPUTED_VALUE"""),"ArtofEco")</f>
        <v>ArtofEco</v>
      </c>
      <c r="C544" s="78" t="str">
        <f>IFERROR(__xludf.DUMMYFUNCTION("""COMPUTED_VALUE"""),"https://www.munzee.com/m/ArtofEco/2978/")</f>
        <v>https://www.munzee.com/m/ArtofEco/2978/</v>
      </c>
      <c r="D544" s="47"/>
      <c r="E544" s="47" t="b">
        <f>IFERROR(__xludf.DUMMYFUNCTION("""COMPUTED_VALUE"""),TRUE)</f>
        <v>1</v>
      </c>
      <c r="F544" s="47" t="str">
        <f>IFERROR(__xludf.DUMMYFUNCTION("""COMPUTED_VALUE"""),"")</f>
        <v/>
      </c>
      <c r="G544" s="47" t="str">
        <f>IFERROR(__xludf.DUMMYFUNCTION("""COMPUTED_VALUE"""),"")</f>
        <v/>
      </c>
      <c r="H544" s="47"/>
      <c r="I544" s="47">
        <f>IFERROR(__xludf.DUMMYFUNCTION("""COMPUTED_VALUE"""),2.0)</f>
        <v>2</v>
      </c>
      <c r="J544" s="47" t="str">
        <f>IFERROR(__xludf.DUMMYFUNCTION("""COMPUTED_VALUE"""),"https:")</f>
        <v>https:</v>
      </c>
      <c r="K544" s="78" t="str">
        <f>IFERROR(__xludf.DUMMYFUNCTION("""COMPUTED_VALUE"""),"www.munzee.com")</f>
        <v>www.munzee.com</v>
      </c>
      <c r="L544" s="47" t="str">
        <f>IFERROR(__xludf.DUMMYFUNCTION("""COMPUTED_VALUE"""),"m")</f>
        <v>m</v>
      </c>
      <c r="M544" s="47" t="str">
        <f>IFERROR(__xludf.DUMMYFUNCTION("""COMPUTED_VALUE"""),"ArtofEco")</f>
        <v>ArtofEco</v>
      </c>
    </row>
    <row r="545">
      <c r="A545" s="47" t="str">
        <f>IFERROR(__xludf.DUMMYFUNCTION("""COMPUTED_VALUE"""),"Virtual Brown")</f>
        <v>Virtual Brown</v>
      </c>
      <c r="B545" s="47" t="str">
        <f>IFERROR(__xludf.DUMMYFUNCTION("""COMPUTED_VALUE"""),"lanyasummer")</f>
        <v>lanyasummer</v>
      </c>
      <c r="C545" s="78" t="str">
        <f>IFERROR(__xludf.DUMMYFUNCTION("""COMPUTED_VALUE"""),"https://www.munzee.com/m/Lanyasummer/4434/")</f>
        <v>https://www.munzee.com/m/Lanyasummer/4434/</v>
      </c>
      <c r="D545" s="47" t="str">
        <f>IFERROR(__xludf.DUMMYFUNCTION("""COMPUTED_VALUE"""),"deploy today")</f>
        <v>deploy today</v>
      </c>
      <c r="E545" s="47" t="b">
        <f>IFERROR(__xludf.DUMMYFUNCTION("""COMPUTED_VALUE"""),TRUE)</f>
        <v>1</v>
      </c>
      <c r="F545" s="47" t="str">
        <f>IFERROR(__xludf.DUMMYFUNCTION("""COMPUTED_VALUE"""),"")</f>
        <v/>
      </c>
      <c r="G545" s="47" t="str">
        <f>IFERROR(__xludf.DUMMYFUNCTION("""COMPUTED_VALUE"""),"")</f>
        <v/>
      </c>
      <c r="H545" s="47"/>
      <c r="I545" s="47">
        <f>IFERROR(__xludf.DUMMYFUNCTION("""COMPUTED_VALUE"""),2.0)</f>
        <v>2</v>
      </c>
      <c r="J545" s="47" t="str">
        <f>IFERROR(__xludf.DUMMYFUNCTION("""COMPUTED_VALUE"""),"https:")</f>
        <v>https:</v>
      </c>
      <c r="K545" s="78" t="str">
        <f>IFERROR(__xludf.DUMMYFUNCTION("""COMPUTED_VALUE"""),"www.munzee.com")</f>
        <v>www.munzee.com</v>
      </c>
      <c r="L545" s="47" t="str">
        <f>IFERROR(__xludf.DUMMYFUNCTION("""COMPUTED_VALUE"""),"m")</f>
        <v>m</v>
      </c>
      <c r="M545" s="47" t="str">
        <f>IFERROR(__xludf.DUMMYFUNCTION("""COMPUTED_VALUE"""),"Lanyasummer")</f>
        <v>Lanyasummer</v>
      </c>
    </row>
    <row r="546">
      <c r="A546" s="47" t="str">
        <f>IFERROR(__xludf.DUMMYFUNCTION("""COMPUTED_VALUE"""),"Virtual Brown")</f>
        <v>Virtual Brown</v>
      </c>
      <c r="B546" s="47" t="str">
        <f>IFERROR(__xludf.DUMMYFUNCTION("""COMPUTED_VALUE"""),"babyw")</f>
        <v>babyw</v>
      </c>
      <c r="C546" s="78" t="str">
        <f>IFERROR(__xludf.DUMMYFUNCTION("""COMPUTED_VALUE"""),"https://www.munzee.com/m/babyw/3127/")</f>
        <v>https://www.munzee.com/m/babyw/3127/</v>
      </c>
      <c r="D546" s="47"/>
      <c r="E546" s="47" t="b">
        <f>IFERROR(__xludf.DUMMYFUNCTION("""COMPUTED_VALUE"""),TRUE)</f>
        <v>1</v>
      </c>
      <c r="F546" s="47" t="str">
        <f>IFERROR(__xludf.DUMMYFUNCTION("""COMPUTED_VALUE"""),"")</f>
        <v/>
      </c>
      <c r="G546" s="47" t="str">
        <f>IFERROR(__xludf.DUMMYFUNCTION("""COMPUTED_VALUE"""),"")</f>
        <v/>
      </c>
      <c r="H546" s="47"/>
      <c r="I546" s="47">
        <f>IFERROR(__xludf.DUMMYFUNCTION("""COMPUTED_VALUE"""),2.0)</f>
        <v>2</v>
      </c>
      <c r="J546" s="47" t="str">
        <f>IFERROR(__xludf.DUMMYFUNCTION("""COMPUTED_VALUE"""),"https:")</f>
        <v>https:</v>
      </c>
      <c r="K546" s="78" t="str">
        <f>IFERROR(__xludf.DUMMYFUNCTION("""COMPUTED_VALUE"""),"www.munzee.com")</f>
        <v>www.munzee.com</v>
      </c>
      <c r="L546" s="47" t="str">
        <f>IFERROR(__xludf.DUMMYFUNCTION("""COMPUTED_VALUE"""),"m")</f>
        <v>m</v>
      </c>
      <c r="M546" s="47" t="str">
        <f>IFERROR(__xludf.DUMMYFUNCTION("""COMPUTED_VALUE"""),"babyw")</f>
        <v>babyw</v>
      </c>
    </row>
    <row r="547">
      <c r="A547" s="47" t="str">
        <f>IFERROR(__xludf.DUMMYFUNCTION("""COMPUTED_VALUE"""),"Virtual Raw Sienna")</f>
        <v>Virtual Raw Sienna</v>
      </c>
      <c r="B547" s="47" t="str">
        <f>IFERROR(__xludf.DUMMYFUNCTION("""COMPUTED_VALUE"""),"lison55")</f>
        <v>lison55</v>
      </c>
      <c r="C547" s="78" t="str">
        <f>IFERROR(__xludf.DUMMYFUNCTION("""COMPUTED_VALUE"""),"https://www.munzee.com/m/lison55/5412")</f>
        <v>https://www.munzee.com/m/lison55/5412</v>
      </c>
      <c r="D547" s="47"/>
      <c r="E547" s="47" t="b">
        <f>IFERROR(__xludf.DUMMYFUNCTION("""COMPUTED_VALUE"""),TRUE)</f>
        <v>1</v>
      </c>
      <c r="F547" s="47" t="str">
        <f>IFERROR(__xludf.DUMMYFUNCTION("""COMPUTED_VALUE"""),"")</f>
        <v/>
      </c>
      <c r="G547" s="47" t="str">
        <f>IFERROR(__xludf.DUMMYFUNCTION("""COMPUTED_VALUE"""),"")</f>
        <v/>
      </c>
      <c r="H547" s="47"/>
      <c r="I547" s="47">
        <f>IFERROR(__xludf.DUMMYFUNCTION("""COMPUTED_VALUE"""),2.0)</f>
        <v>2</v>
      </c>
      <c r="J547" s="47" t="str">
        <f>IFERROR(__xludf.DUMMYFUNCTION("""COMPUTED_VALUE"""),"https:")</f>
        <v>https:</v>
      </c>
      <c r="K547" s="78" t="str">
        <f>IFERROR(__xludf.DUMMYFUNCTION("""COMPUTED_VALUE"""),"www.munzee.com")</f>
        <v>www.munzee.com</v>
      </c>
      <c r="L547" s="47" t="str">
        <f>IFERROR(__xludf.DUMMYFUNCTION("""COMPUTED_VALUE"""),"m")</f>
        <v>m</v>
      </c>
      <c r="M547" s="47" t="str">
        <f>IFERROR(__xludf.DUMMYFUNCTION("""COMPUTED_VALUE"""),"lison55")</f>
        <v>lison55</v>
      </c>
    </row>
    <row r="548">
      <c r="A548" s="47" t="str">
        <f>IFERROR(__xludf.DUMMYFUNCTION("""COMPUTED_VALUE"""),"Virtual Brown")</f>
        <v>Virtual Brown</v>
      </c>
      <c r="B548" s="47" t="str">
        <f>IFERROR(__xludf.DUMMYFUNCTION("""COMPUTED_VALUE"""),"cbf600")</f>
        <v>cbf600</v>
      </c>
      <c r="C548" s="78" t="str">
        <f>IFERROR(__xludf.DUMMYFUNCTION("""COMPUTED_VALUE"""),"https://www.munzee.com/m/cbf600/2411/")</f>
        <v>https://www.munzee.com/m/cbf600/2411/</v>
      </c>
      <c r="D548" s="47"/>
      <c r="E548" s="47" t="b">
        <f>IFERROR(__xludf.DUMMYFUNCTION("""COMPUTED_VALUE"""),TRUE)</f>
        <v>1</v>
      </c>
      <c r="F548" s="47" t="str">
        <f>IFERROR(__xludf.DUMMYFUNCTION("""COMPUTED_VALUE"""),"")</f>
        <v/>
      </c>
      <c r="G548" s="47" t="str">
        <f>IFERROR(__xludf.DUMMYFUNCTION("""COMPUTED_VALUE"""),"")</f>
        <v/>
      </c>
      <c r="H548" s="47"/>
      <c r="I548" s="47">
        <f>IFERROR(__xludf.DUMMYFUNCTION("""COMPUTED_VALUE"""),2.0)</f>
        <v>2</v>
      </c>
      <c r="J548" s="47" t="str">
        <f>IFERROR(__xludf.DUMMYFUNCTION("""COMPUTED_VALUE"""),"https:")</f>
        <v>https:</v>
      </c>
      <c r="K548" s="78" t="str">
        <f>IFERROR(__xludf.DUMMYFUNCTION("""COMPUTED_VALUE"""),"www.munzee.com")</f>
        <v>www.munzee.com</v>
      </c>
      <c r="L548" s="47" t="str">
        <f>IFERROR(__xludf.DUMMYFUNCTION("""COMPUTED_VALUE"""),"m")</f>
        <v>m</v>
      </c>
      <c r="M548" s="47" t="str">
        <f>IFERROR(__xludf.DUMMYFUNCTION("""COMPUTED_VALUE"""),"cbf600")</f>
        <v>cbf600</v>
      </c>
    </row>
    <row r="549">
      <c r="A549" s="47" t="str">
        <f>IFERROR(__xludf.DUMMYFUNCTION("""COMPUTED_VALUE"""),"Virtual Raw Sienna")</f>
        <v>Virtual Raw Sienna</v>
      </c>
      <c r="B549" s="47" t="str">
        <f>IFERROR(__xludf.DUMMYFUNCTION("""COMPUTED_VALUE"""),"FromTheTardis")</f>
        <v>FromTheTardis</v>
      </c>
      <c r="C549" s="78" t="str">
        <f>IFERROR(__xludf.DUMMYFUNCTION("""COMPUTED_VALUE"""),"https://www.munzee.com/m/FromTheTardis/1411/")</f>
        <v>https://www.munzee.com/m/FromTheTardis/1411/</v>
      </c>
      <c r="D549" s="47"/>
      <c r="E549" s="47" t="b">
        <f>IFERROR(__xludf.DUMMYFUNCTION("""COMPUTED_VALUE"""),TRUE)</f>
        <v>1</v>
      </c>
      <c r="F549" s="47" t="str">
        <f>IFERROR(__xludf.DUMMYFUNCTION("""COMPUTED_VALUE"""),"")</f>
        <v/>
      </c>
      <c r="G549" s="47" t="str">
        <f>IFERROR(__xludf.DUMMYFUNCTION("""COMPUTED_VALUE"""),"")</f>
        <v/>
      </c>
      <c r="H549" s="47"/>
      <c r="I549" s="47">
        <f>IFERROR(__xludf.DUMMYFUNCTION("""COMPUTED_VALUE"""),2.0)</f>
        <v>2</v>
      </c>
      <c r="J549" s="47" t="str">
        <f>IFERROR(__xludf.DUMMYFUNCTION("""COMPUTED_VALUE"""),"https:")</f>
        <v>https:</v>
      </c>
      <c r="K549" s="78" t="str">
        <f>IFERROR(__xludf.DUMMYFUNCTION("""COMPUTED_VALUE"""),"www.munzee.com")</f>
        <v>www.munzee.com</v>
      </c>
      <c r="L549" s="47" t="str">
        <f>IFERROR(__xludf.DUMMYFUNCTION("""COMPUTED_VALUE"""),"m")</f>
        <v>m</v>
      </c>
      <c r="M549" s="47" t="str">
        <f>IFERROR(__xludf.DUMMYFUNCTION("""COMPUTED_VALUE"""),"FromTheTardis")</f>
        <v>FromTheTardis</v>
      </c>
    </row>
    <row r="550">
      <c r="A550" s="47" t="str">
        <f>IFERROR(__xludf.DUMMYFUNCTION("""COMPUTED_VALUE"""),"Virtual Brown")</f>
        <v>Virtual Brown</v>
      </c>
      <c r="B550" s="47" t="str">
        <f>IFERROR(__xludf.DUMMYFUNCTION("""COMPUTED_VALUE"""),"GroteSufferd")</f>
        <v>GroteSufferd</v>
      </c>
      <c r="C550" s="78" t="str">
        <f>IFERROR(__xludf.DUMMYFUNCTION("""COMPUTED_VALUE"""),"https://www.munzee.com/m/GroteSufferd/402/")</f>
        <v>https://www.munzee.com/m/GroteSufferd/402/</v>
      </c>
      <c r="D550" s="47"/>
      <c r="E550" s="47" t="b">
        <f>IFERROR(__xludf.DUMMYFUNCTION("""COMPUTED_VALUE"""),TRUE)</f>
        <v>1</v>
      </c>
      <c r="F550" s="47" t="str">
        <f>IFERROR(__xludf.DUMMYFUNCTION("""COMPUTED_VALUE"""),"")</f>
        <v/>
      </c>
      <c r="G550" s="47" t="str">
        <f>IFERROR(__xludf.DUMMYFUNCTION("""COMPUTED_VALUE"""),"")</f>
        <v/>
      </c>
      <c r="H550" s="47"/>
      <c r="I550" s="47">
        <f>IFERROR(__xludf.DUMMYFUNCTION("""COMPUTED_VALUE"""),2.0)</f>
        <v>2</v>
      </c>
      <c r="J550" s="47" t="str">
        <f>IFERROR(__xludf.DUMMYFUNCTION("""COMPUTED_VALUE"""),"https:")</f>
        <v>https:</v>
      </c>
      <c r="K550" s="78" t="str">
        <f>IFERROR(__xludf.DUMMYFUNCTION("""COMPUTED_VALUE"""),"www.munzee.com")</f>
        <v>www.munzee.com</v>
      </c>
      <c r="L550" s="47" t="str">
        <f>IFERROR(__xludf.DUMMYFUNCTION("""COMPUTED_VALUE"""),"m")</f>
        <v>m</v>
      </c>
      <c r="M550" s="47" t="str">
        <f>IFERROR(__xludf.DUMMYFUNCTION("""COMPUTED_VALUE"""),"GroteSufferd")</f>
        <v>GroteSufferd</v>
      </c>
    </row>
    <row r="551">
      <c r="A551" s="47" t="str">
        <f>IFERROR(__xludf.DUMMYFUNCTION("""COMPUTED_VALUE"""),"Virtual Brown")</f>
        <v>Virtual Brown</v>
      </c>
      <c r="B551" s="47" t="str">
        <f>IFERROR(__xludf.DUMMYFUNCTION("""COMPUTED_VALUE"""),"MeanderingMonkeys")</f>
        <v>MeanderingMonkeys</v>
      </c>
      <c r="C551" s="78" t="str">
        <f>IFERROR(__xludf.DUMMYFUNCTION("""COMPUTED_VALUE"""),"https://www.munzee.com/m/MeanderingMonkeys/17482")</f>
        <v>https://www.munzee.com/m/MeanderingMonkeys/17482</v>
      </c>
      <c r="D551" s="47"/>
      <c r="E551" s="47" t="b">
        <f>IFERROR(__xludf.DUMMYFUNCTION("""COMPUTED_VALUE"""),TRUE)</f>
        <v>1</v>
      </c>
      <c r="F551" s="47" t="str">
        <f>IFERROR(__xludf.DUMMYFUNCTION("""COMPUTED_VALUE"""),"")</f>
        <v/>
      </c>
      <c r="G551" s="47" t="str">
        <f>IFERROR(__xludf.DUMMYFUNCTION("""COMPUTED_VALUE"""),"")</f>
        <v/>
      </c>
      <c r="H551" s="47"/>
      <c r="I551" s="47">
        <f>IFERROR(__xludf.DUMMYFUNCTION("""COMPUTED_VALUE"""),2.0)</f>
        <v>2</v>
      </c>
      <c r="J551" s="47" t="str">
        <f>IFERROR(__xludf.DUMMYFUNCTION("""COMPUTED_VALUE"""),"https:")</f>
        <v>https:</v>
      </c>
      <c r="K551" s="78" t="str">
        <f>IFERROR(__xludf.DUMMYFUNCTION("""COMPUTED_VALUE"""),"www.munzee.com")</f>
        <v>www.munzee.com</v>
      </c>
      <c r="L551" s="47" t="str">
        <f>IFERROR(__xludf.DUMMYFUNCTION("""COMPUTED_VALUE"""),"m")</f>
        <v>m</v>
      </c>
      <c r="M551" s="47" t="str">
        <f>IFERROR(__xludf.DUMMYFUNCTION("""COMPUTED_VALUE"""),"MeanderingMonkeys")</f>
        <v>MeanderingMonkeys</v>
      </c>
    </row>
    <row r="552">
      <c r="A552" s="47" t="str">
        <f>IFERROR(__xludf.DUMMYFUNCTION("""COMPUTED_VALUE"""),"Virtual Brown")</f>
        <v>Virtual Brown</v>
      </c>
      <c r="B552" s="47" t="str">
        <f>IFERROR(__xludf.DUMMYFUNCTION("""COMPUTED_VALUE"""),"BartWullems")</f>
        <v>BartWullems</v>
      </c>
      <c r="C552" s="78" t="str">
        <f>IFERROR(__xludf.DUMMYFUNCTION("""COMPUTED_VALUE"""),"https://www.munzee.com/m/BartWullems/5607")</f>
        <v>https://www.munzee.com/m/BartWullems/5607</v>
      </c>
      <c r="D552" s="47"/>
      <c r="E552" s="47" t="b">
        <f>IFERROR(__xludf.DUMMYFUNCTION("""COMPUTED_VALUE"""),TRUE)</f>
        <v>1</v>
      </c>
      <c r="F552" s="47" t="str">
        <f>IFERROR(__xludf.DUMMYFUNCTION("""COMPUTED_VALUE"""),"")</f>
        <v/>
      </c>
      <c r="G552" s="47" t="str">
        <f>IFERROR(__xludf.DUMMYFUNCTION("""COMPUTED_VALUE"""),"")</f>
        <v/>
      </c>
      <c r="H552" s="47"/>
      <c r="I552" s="47">
        <f>IFERROR(__xludf.DUMMYFUNCTION("""COMPUTED_VALUE"""),2.0)</f>
        <v>2</v>
      </c>
      <c r="J552" s="47" t="str">
        <f>IFERROR(__xludf.DUMMYFUNCTION("""COMPUTED_VALUE"""),"https:")</f>
        <v>https:</v>
      </c>
      <c r="K552" s="78" t="str">
        <f>IFERROR(__xludf.DUMMYFUNCTION("""COMPUTED_VALUE"""),"www.munzee.com")</f>
        <v>www.munzee.com</v>
      </c>
      <c r="L552" s="47" t="str">
        <f>IFERROR(__xludf.DUMMYFUNCTION("""COMPUTED_VALUE"""),"m")</f>
        <v>m</v>
      </c>
      <c r="M552" s="47" t="str">
        <f>IFERROR(__xludf.DUMMYFUNCTION("""COMPUTED_VALUE"""),"BartWullems")</f>
        <v>BartWullems</v>
      </c>
    </row>
    <row r="553">
      <c r="A553" s="47" t="str">
        <f>IFERROR(__xludf.DUMMYFUNCTION("""COMPUTED_VALUE"""),"Virtual Brown")</f>
        <v>Virtual Brown</v>
      </c>
      <c r="B553" s="47" t="str">
        <f>IFERROR(__xludf.DUMMYFUNCTION("""COMPUTED_VALUE"""),"Fossillady")</f>
        <v>Fossillady</v>
      </c>
      <c r="C553" s="78" t="str">
        <f>IFERROR(__xludf.DUMMYFUNCTION("""COMPUTED_VALUE"""),"https://www.munzee.com/m/Fossillady/3391")</f>
        <v>https://www.munzee.com/m/Fossillady/3391</v>
      </c>
      <c r="D553" s="47"/>
      <c r="E553" s="47" t="b">
        <f>IFERROR(__xludf.DUMMYFUNCTION("""COMPUTED_VALUE"""),TRUE)</f>
        <v>1</v>
      </c>
      <c r="F553" s="47" t="str">
        <f>IFERROR(__xludf.DUMMYFUNCTION("""COMPUTED_VALUE"""),"")</f>
        <v/>
      </c>
      <c r="G553" s="47" t="str">
        <f>IFERROR(__xludf.DUMMYFUNCTION("""COMPUTED_VALUE"""),"")</f>
        <v/>
      </c>
      <c r="H553" s="47"/>
      <c r="I553" s="47">
        <f>IFERROR(__xludf.DUMMYFUNCTION("""COMPUTED_VALUE"""),2.0)</f>
        <v>2</v>
      </c>
      <c r="J553" s="47" t="str">
        <f>IFERROR(__xludf.DUMMYFUNCTION("""COMPUTED_VALUE"""),"https:")</f>
        <v>https:</v>
      </c>
      <c r="K553" s="78" t="str">
        <f>IFERROR(__xludf.DUMMYFUNCTION("""COMPUTED_VALUE"""),"www.munzee.com")</f>
        <v>www.munzee.com</v>
      </c>
      <c r="L553" s="47" t="str">
        <f>IFERROR(__xludf.DUMMYFUNCTION("""COMPUTED_VALUE"""),"m")</f>
        <v>m</v>
      </c>
      <c r="M553" s="47" t="str">
        <f>IFERROR(__xludf.DUMMYFUNCTION("""COMPUTED_VALUE"""),"Fossillady")</f>
        <v>Fossillady</v>
      </c>
    </row>
    <row r="554">
      <c r="A554" s="47" t="str">
        <f>IFERROR(__xludf.DUMMYFUNCTION("""COMPUTED_VALUE"""),"Virtual Brown")</f>
        <v>Virtual Brown</v>
      </c>
      <c r="B554" s="47" t="str">
        <f>IFERROR(__xludf.DUMMYFUNCTION("""COMPUTED_VALUE"""),"Aniara")</f>
        <v>Aniara</v>
      </c>
      <c r="C554" s="78" t="str">
        <f>IFERROR(__xludf.DUMMYFUNCTION("""COMPUTED_VALUE"""),"https://www.munzee.com/m/Aniara/6946")</f>
        <v>https://www.munzee.com/m/Aniara/6946</v>
      </c>
      <c r="D554" s="47"/>
      <c r="E554" s="47" t="b">
        <f>IFERROR(__xludf.DUMMYFUNCTION("""COMPUTED_VALUE"""),TRUE)</f>
        <v>1</v>
      </c>
      <c r="F554" s="47" t="str">
        <f>IFERROR(__xludf.DUMMYFUNCTION("""COMPUTED_VALUE"""),"")</f>
        <v/>
      </c>
      <c r="G554" s="47" t="str">
        <f>IFERROR(__xludf.DUMMYFUNCTION("""COMPUTED_VALUE"""),"")</f>
        <v/>
      </c>
      <c r="H554" s="47"/>
      <c r="I554" s="47">
        <f>IFERROR(__xludf.DUMMYFUNCTION("""COMPUTED_VALUE"""),2.0)</f>
        <v>2</v>
      </c>
      <c r="J554" s="47" t="str">
        <f>IFERROR(__xludf.DUMMYFUNCTION("""COMPUTED_VALUE"""),"https:")</f>
        <v>https:</v>
      </c>
      <c r="K554" s="78" t="str">
        <f>IFERROR(__xludf.DUMMYFUNCTION("""COMPUTED_VALUE"""),"www.munzee.com")</f>
        <v>www.munzee.com</v>
      </c>
      <c r="L554" s="47" t="str">
        <f>IFERROR(__xludf.DUMMYFUNCTION("""COMPUTED_VALUE"""),"m")</f>
        <v>m</v>
      </c>
      <c r="M554" s="47" t="str">
        <f>IFERROR(__xludf.DUMMYFUNCTION("""COMPUTED_VALUE"""),"Aniara")</f>
        <v>Aniara</v>
      </c>
    </row>
    <row r="555">
      <c r="A555" s="47" t="str">
        <f>IFERROR(__xludf.DUMMYFUNCTION("""COMPUTED_VALUE"""),"Virtual Brown")</f>
        <v>Virtual Brown</v>
      </c>
      <c r="B555" s="47" t="str">
        <f>IFERROR(__xludf.DUMMYFUNCTION("""COMPUTED_VALUE"""),"Bisquick2")</f>
        <v>Bisquick2</v>
      </c>
      <c r="C555" s="78" t="str">
        <f>IFERROR(__xludf.DUMMYFUNCTION("""COMPUTED_VALUE"""),"https://www.munzee.com/m/Bisquick2/4551/")</f>
        <v>https://www.munzee.com/m/Bisquick2/4551/</v>
      </c>
      <c r="D555" s="47"/>
      <c r="E555" s="47" t="b">
        <f>IFERROR(__xludf.DUMMYFUNCTION("""COMPUTED_VALUE"""),TRUE)</f>
        <v>1</v>
      </c>
      <c r="F555" s="47" t="str">
        <f>IFERROR(__xludf.DUMMYFUNCTION("""COMPUTED_VALUE"""),"")</f>
        <v/>
      </c>
      <c r="G555" s="47" t="str">
        <f>IFERROR(__xludf.DUMMYFUNCTION("""COMPUTED_VALUE"""),"")</f>
        <v/>
      </c>
      <c r="H555" s="47"/>
      <c r="I555" s="47">
        <f>IFERROR(__xludf.DUMMYFUNCTION("""COMPUTED_VALUE"""),2.0)</f>
        <v>2</v>
      </c>
      <c r="J555" s="47" t="str">
        <f>IFERROR(__xludf.DUMMYFUNCTION("""COMPUTED_VALUE"""),"https:")</f>
        <v>https:</v>
      </c>
      <c r="K555" s="78" t="str">
        <f>IFERROR(__xludf.DUMMYFUNCTION("""COMPUTED_VALUE"""),"www.munzee.com")</f>
        <v>www.munzee.com</v>
      </c>
      <c r="L555" s="47" t="str">
        <f>IFERROR(__xludf.DUMMYFUNCTION("""COMPUTED_VALUE"""),"m")</f>
        <v>m</v>
      </c>
      <c r="M555" s="47" t="str">
        <f>IFERROR(__xludf.DUMMYFUNCTION("""COMPUTED_VALUE"""),"Bisquick2")</f>
        <v>Bisquick2</v>
      </c>
    </row>
    <row r="556">
      <c r="A556" s="47" t="str">
        <f>IFERROR(__xludf.DUMMYFUNCTION("""COMPUTED_VALUE"""),"Virtual Brown")</f>
        <v>Virtual Brown</v>
      </c>
      <c r="B556" s="47" t="str">
        <f>IFERROR(__xludf.DUMMYFUNCTION("""COMPUTED_VALUE"""),"Amadoreugen")</f>
        <v>Amadoreugen</v>
      </c>
      <c r="C556" s="78" t="str">
        <f>IFERROR(__xludf.DUMMYFUNCTION("""COMPUTED_VALUE"""),"https://www.munzee.com/m/amadoreugen/5768")</f>
        <v>https://www.munzee.com/m/amadoreugen/5768</v>
      </c>
      <c r="D556" s="47"/>
      <c r="E556" s="47" t="b">
        <f>IFERROR(__xludf.DUMMYFUNCTION("""COMPUTED_VALUE"""),TRUE)</f>
        <v>1</v>
      </c>
      <c r="F556" s="47" t="str">
        <f>IFERROR(__xludf.DUMMYFUNCTION("""COMPUTED_VALUE"""),"")</f>
        <v/>
      </c>
      <c r="G556" s="47" t="str">
        <f>IFERROR(__xludf.DUMMYFUNCTION("""COMPUTED_VALUE"""),"")</f>
        <v/>
      </c>
      <c r="H556" s="47"/>
      <c r="I556" s="47">
        <f>IFERROR(__xludf.DUMMYFUNCTION("""COMPUTED_VALUE"""),2.0)</f>
        <v>2</v>
      </c>
      <c r="J556" s="47" t="str">
        <f>IFERROR(__xludf.DUMMYFUNCTION("""COMPUTED_VALUE"""),"https:")</f>
        <v>https:</v>
      </c>
      <c r="K556" s="78" t="str">
        <f>IFERROR(__xludf.DUMMYFUNCTION("""COMPUTED_VALUE"""),"www.munzee.com")</f>
        <v>www.munzee.com</v>
      </c>
      <c r="L556" s="47" t="str">
        <f>IFERROR(__xludf.DUMMYFUNCTION("""COMPUTED_VALUE"""),"m")</f>
        <v>m</v>
      </c>
      <c r="M556" s="47" t="str">
        <f>IFERROR(__xludf.DUMMYFUNCTION("""COMPUTED_VALUE"""),"amadoreugen")</f>
        <v>amadoreugen</v>
      </c>
    </row>
    <row r="557">
      <c r="A557" s="47" t="str">
        <f>IFERROR(__xludf.DUMMYFUNCTION("""COMPUTED_VALUE"""),"Virtual Raw Sienna")</f>
        <v>Virtual Raw Sienna</v>
      </c>
      <c r="B557" s="47" t="str">
        <f>IFERROR(__xludf.DUMMYFUNCTION("""COMPUTED_VALUE"""),"denali407")</f>
        <v>denali407</v>
      </c>
      <c r="C557" s="78" t="str">
        <f>IFERROR(__xludf.DUMMYFUNCTION("""COMPUTED_VALUE"""),"https://www.munzee.com/m/denali0407/14436/")</f>
        <v>https://www.munzee.com/m/denali0407/14436/</v>
      </c>
      <c r="D557" s="47"/>
      <c r="E557" s="47" t="b">
        <f>IFERROR(__xludf.DUMMYFUNCTION("""COMPUTED_VALUE"""),TRUE)</f>
        <v>1</v>
      </c>
      <c r="F557" s="47" t="str">
        <f>IFERROR(__xludf.DUMMYFUNCTION("""COMPUTED_VALUE"""),"")</f>
        <v/>
      </c>
      <c r="G557" s="47" t="str">
        <f>IFERROR(__xludf.DUMMYFUNCTION("""COMPUTED_VALUE"""),"")</f>
        <v/>
      </c>
      <c r="H557" s="47"/>
      <c r="I557" s="47">
        <f>IFERROR(__xludf.DUMMYFUNCTION("""COMPUTED_VALUE"""),2.0)</f>
        <v>2</v>
      </c>
      <c r="J557" s="47" t="str">
        <f>IFERROR(__xludf.DUMMYFUNCTION("""COMPUTED_VALUE"""),"https:")</f>
        <v>https:</v>
      </c>
      <c r="K557" s="78" t="str">
        <f>IFERROR(__xludf.DUMMYFUNCTION("""COMPUTED_VALUE"""),"www.munzee.com")</f>
        <v>www.munzee.com</v>
      </c>
      <c r="L557" s="47" t="str">
        <f>IFERROR(__xludf.DUMMYFUNCTION("""COMPUTED_VALUE"""),"m")</f>
        <v>m</v>
      </c>
      <c r="M557" s="47" t="str">
        <f>IFERROR(__xludf.DUMMYFUNCTION("""COMPUTED_VALUE"""),"denali0407")</f>
        <v>denali0407</v>
      </c>
    </row>
    <row r="558">
      <c r="A558" s="47" t="str">
        <f>IFERROR(__xludf.DUMMYFUNCTION("""COMPUTED_VALUE"""),"Virtual Brown")</f>
        <v>Virtual Brown</v>
      </c>
      <c r="B558" s="47" t="str">
        <f>IFERROR(__xludf.DUMMYFUNCTION("""COMPUTED_VALUE"""),"krauseengineer")</f>
        <v>krauseengineer</v>
      </c>
      <c r="C558" s="78" t="str">
        <f>IFERROR(__xludf.DUMMYFUNCTION("""COMPUTED_VALUE"""),"https://www.munzee.com/m/Krauseengineer/2428")</f>
        <v>https://www.munzee.com/m/Krauseengineer/2428</v>
      </c>
      <c r="D558" s="47"/>
      <c r="E558" s="47" t="b">
        <f>IFERROR(__xludf.DUMMYFUNCTION("""COMPUTED_VALUE"""),TRUE)</f>
        <v>1</v>
      </c>
      <c r="F558" s="47" t="str">
        <f>IFERROR(__xludf.DUMMYFUNCTION("""COMPUTED_VALUE"""),"")</f>
        <v/>
      </c>
      <c r="G558" s="47" t="str">
        <f>IFERROR(__xludf.DUMMYFUNCTION("""COMPUTED_VALUE"""),"")</f>
        <v/>
      </c>
      <c r="H558" s="47"/>
      <c r="I558" s="47">
        <f>IFERROR(__xludf.DUMMYFUNCTION("""COMPUTED_VALUE"""),2.0)</f>
        <v>2</v>
      </c>
      <c r="J558" s="47" t="str">
        <f>IFERROR(__xludf.DUMMYFUNCTION("""COMPUTED_VALUE"""),"https:")</f>
        <v>https:</v>
      </c>
      <c r="K558" s="78" t="str">
        <f>IFERROR(__xludf.DUMMYFUNCTION("""COMPUTED_VALUE"""),"www.munzee.com")</f>
        <v>www.munzee.com</v>
      </c>
      <c r="L558" s="47" t="str">
        <f>IFERROR(__xludf.DUMMYFUNCTION("""COMPUTED_VALUE"""),"m")</f>
        <v>m</v>
      </c>
      <c r="M558" s="47" t="str">
        <f>IFERROR(__xludf.DUMMYFUNCTION("""COMPUTED_VALUE"""),"Krauseengineer")</f>
        <v>Krauseengineer</v>
      </c>
    </row>
    <row r="559">
      <c r="A559" s="47" t="str">
        <f>IFERROR(__xludf.DUMMYFUNCTION("""COMPUTED_VALUE"""),"Virtual Brown")</f>
        <v>Virtual Brown</v>
      </c>
      <c r="B559" s="47" t="str">
        <f>IFERROR(__xludf.DUMMYFUNCTION("""COMPUTED_VALUE"""),"wally62")</f>
        <v>wally62</v>
      </c>
      <c r="C559" s="78" t="str">
        <f>IFERROR(__xludf.DUMMYFUNCTION("""COMPUTED_VALUE"""),"https://www.munzee.com/m/wally62/4432/")</f>
        <v>https://www.munzee.com/m/wally62/4432/</v>
      </c>
      <c r="D559" s="47"/>
      <c r="E559" s="47" t="b">
        <f>IFERROR(__xludf.DUMMYFUNCTION("""COMPUTED_VALUE"""),TRUE)</f>
        <v>1</v>
      </c>
      <c r="F559" s="47" t="str">
        <f>IFERROR(__xludf.DUMMYFUNCTION("""COMPUTED_VALUE"""),"")</f>
        <v/>
      </c>
      <c r="G559" s="47" t="str">
        <f>IFERROR(__xludf.DUMMYFUNCTION("""COMPUTED_VALUE"""),"")</f>
        <v/>
      </c>
      <c r="H559" s="47"/>
      <c r="I559" s="47">
        <f>IFERROR(__xludf.DUMMYFUNCTION("""COMPUTED_VALUE"""),2.0)</f>
        <v>2</v>
      </c>
      <c r="J559" s="47" t="str">
        <f>IFERROR(__xludf.DUMMYFUNCTION("""COMPUTED_VALUE"""),"https:")</f>
        <v>https:</v>
      </c>
      <c r="K559" s="78" t="str">
        <f>IFERROR(__xludf.DUMMYFUNCTION("""COMPUTED_VALUE"""),"www.munzee.com")</f>
        <v>www.munzee.com</v>
      </c>
      <c r="L559" s="47" t="str">
        <f>IFERROR(__xludf.DUMMYFUNCTION("""COMPUTED_VALUE"""),"m")</f>
        <v>m</v>
      </c>
      <c r="M559" s="47" t="str">
        <f>IFERROR(__xludf.DUMMYFUNCTION("""COMPUTED_VALUE"""),"wally62")</f>
        <v>wally62</v>
      </c>
    </row>
    <row r="560">
      <c r="A560" s="47" t="str">
        <f>IFERROR(__xludf.DUMMYFUNCTION("""COMPUTED_VALUE"""),"Virtual Raw Sienna")</f>
        <v>Virtual Raw Sienna</v>
      </c>
      <c r="B560" s="47" t="str">
        <f>IFERROR(__xludf.DUMMYFUNCTION("""COMPUTED_VALUE"""),"Derlame")</f>
        <v>Derlame</v>
      </c>
      <c r="C560" s="78" t="str">
        <f>IFERROR(__xludf.DUMMYFUNCTION("""COMPUTED_VALUE"""),"https://www.munzee.com/m/Derlame/12633/")</f>
        <v>https://www.munzee.com/m/Derlame/12633/</v>
      </c>
      <c r="D560" s="47"/>
      <c r="E560" s="47" t="b">
        <f>IFERROR(__xludf.DUMMYFUNCTION("""COMPUTED_VALUE"""),TRUE)</f>
        <v>1</v>
      </c>
      <c r="F560" s="47" t="str">
        <f>IFERROR(__xludf.DUMMYFUNCTION("""COMPUTED_VALUE"""),"")</f>
        <v/>
      </c>
      <c r="G560" s="47" t="str">
        <f>IFERROR(__xludf.DUMMYFUNCTION("""COMPUTED_VALUE"""),"")</f>
        <v/>
      </c>
      <c r="H560" s="47"/>
      <c r="I560" s="47">
        <f>IFERROR(__xludf.DUMMYFUNCTION("""COMPUTED_VALUE"""),2.0)</f>
        <v>2</v>
      </c>
      <c r="J560" s="47" t="str">
        <f>IFERROR(__xludf.DUMMYFUNCTION("""COMPUTED_VALUE"""),"https:")</f>
        <v>https:</v>
      </c>
      <c r="K560" s="78" t="str">
        <f>IFERROR(__xludf.DUMMYFUNCTION("""COMPUTED_VALUE"""),"www.munzee.com")</f>
        <v>www.munzee.com</v>
      </c>
      <c r="L560" s="47" t="str">
        <f>IFERROR(__xludf.DUMMYFUNCTION("""COMPUTED_VALUE"""),"m")</f>
        <v>m</v>
      </c>
      <c r="M560" s="47" t="str">
        <f>IFERROR(__xludf.DUMMYFUNCTION("""COMPUTED_VALUE"""),"Derlame")</f>
        <v>Derlame</v>
      </c>
    </row>
    <row r="561">
      <c r="A561" s="47" t="str">
        <f>IFERROR(__xludf.DUMMYFUNCTION("""COMPUTED_VALUE"""),"Virtual Brown")</f>
        <v>Virtual Brown</v>
      </c>
      <c r="B561" s="47" t="str">
        <f>IFERROR(__xludf.DUMMYFUNCTION("""COMPUTED_VALUE"""),"TheFrog")</f>
        <v>TheFrog</v>
      </c>
      <c r="C561" s="78" t="str">
        <f>IFERROR(__xludf.DUMMYFUNCTION("""COMPUTED_VALUE"""),"https://www.munzee.com/m/TheFrog/4234/")</f>
        <v>https://www.munzee.com/m/TheFrog/4234/</v>
      </c>
      <c r="D561" s="47"/>
      <c r="E561" s="47" t="b">
        <f>IFERROR(__xludf.DUMMYFUNCTION("""COMPUTED_VALUE"""),TRUE)</f>
        <v>1</v>
      </c>
      <c r="F561" s="47" t="str">
        <f>IFERROR(__xludf.DUMMYFUNCTION("""COMPUTED_VALUE"""),"")</f>
        <v/>
      </c>
      <c r="G561" s="47" t="str">
        <f>IFERROR(__xludf.DUMMYFUNCTION("""COMPUTED_VALUE"""),"")</f>
        <v/>
      </c>
      <c r="H561" s="47"/>
      <c r="I561" s="47">
        <f>IFERROR(__xludf.DUMMYFUNCTION("""COMPUTED_VALUE"""),2.0)</f>
        <v>2</v>
      </c>
      <c r="J561" s="47" t="str">
        <f>IFERROR(__xludf.DUMMYFUNCTION("""COMPUTED_VALUE"""),"https:")</f>
        <v>https:</v>
      </c>
      <c r="K561" s="78" t="str">
        <f>IFERROR(__xludf.DUMMYFUNCTION("""COMPUTED_VALUE"""),"www.munzee.com")</f>
        <v>www.munzee.com</v>
      </c>
      <c r="L561" s="47" t="str">
        <f>IFERROR(__xludf.DUMMYFUNCTION("""COMPUTED_VALUE"""),"m")</f>
        <v>m</v>
      </c>
      <c r="M561" s="47" t="str">
        <f>IFERROR(__xludf.DUMMYFUNCTION("""COMPUTED_VALUE"""),"TheFrog")</f>
        <v>TheFrog</v>
      </c>
    </row>
    <row r="562">
      <c r="A562" s="47" t="str">
        <f>IFERROR(__xludf.DUMMYFUNCTION("""COMPUTED_VALUE"""),"Virtual Brown")</f>
        <v>Virtual Brown</v>
      </c>
      <c r="B562" s="47" t="str">
        <f>IFERROR(__xludf.DUMMYFUNCTION("""COMPUTED_VALUE"""),"123xilef")</f>
        <v>123xilef</v>
      </c>
      <c r="C562" s="78" t="str">
        <f>IFERROR(__xludf.DUMMYFUNCTION("""COMPUTED_VALUE"""),"https://www.munzee.com/m/123xilef/6605/")</f>
        <v>https://www.munzee.com/m/123xilef/6605/</v>
      </c>
      <c r="D562" s="47"/>
      <c r="E562" s="47" t="b">
        <f>IFERROR(__xludf.DUMMYFUNCTION("""COMPUTED_VALUE"""),TRUE)</f>
        <v>1</v>
      </c>
      <c r="F562" s="47" t="str">
        <f>IFERROR(__xludf.DUMMYFUNCTION("""COMPUTED_VALUE"""),"")</f>
        <v/>
      </c>
      <c r="G562" s="47" t="str">
        <f>IFERROR(__xludf.DUMMYFUNCTION("""COMPUTED_VALUE"""),"")</f>
        <v/>
      </c>
      <c r="H562" s="47"/>
      <c r="I562" s="47">
        <f>IFERROR(__xludf.DUMMYFUNCTION("""COMPUTED_VALUE"""),2.0)</f>
        <v>2</v>
      </c>
      <c r="J562" s="47" t="str">
        <f>IFERROR(__xludf.DUMMYFUNCTION("""COMPUTED_VALUE"""),"https:")</f>
        <v>https:</v>
      </c>
      <c r="K562" s="78" t="str">
        <f>IFERROR(__xludf.DUMMYFUNCTION("""COMPUTED_VALUE"""),"www.munzee.com")</f>
        <v>www.munzee.com</v>
      </c>
      <c r="L562" s="47" t="str">
        <f>IFERROR(__xludf.DUMMYFUNCTION("""COMPUTED_VALUE"""),"m")</f>
        <v>m</v>
      </c>
      <c r="M562" s="47" t="str">
        <f>IFERROR(__xludf.DUMMYFUNCTION("""COMPUTED_VALUE"""),"123xilef")</f>
        <v>123xilef</v>
      </c>
    </row>
    <row r="563">
      <c r="A563" s="47" t="str">
        <f>IFERROR(__xludf.DUMMYFUNCTION("""COMPUTED_VALUE"""),"Virtual Raw Sienna")</f>
        <v>Virtual Raw Sienna</v>
      </c>
      <c r="B563" s="47" t="str">
        <f>IFERROR(__xludf.DUMMYFUNCTION("""COMPUTED_VALUE"""),"TheFatCats")</f>
        <v>TheFatCats</v>
      </c>
      <c r="C563" s="78" t="str">
        <f>IFERROR(__xludf.DUMMYFUNCTION("""COMPUTED_VALUE"""),"https://www.munzee.com/m/TheFatCats/3486/")</f>
        <v>https://www.munzee.com/m/TheFatCats/3486/</v>
      </c>
      <c r="D563" s="47"/>
      <c r="E563" s="47" t="b">
        <f>IFERROR(__xludf.DUMMYFUNCTION("""COMPUTED_VALUE"""),TRUE)</f>
        <v>1</v>
      </c>
      <c r="F563" s="47" t="str">
        <f>IFERROR(__xludf.DUMMYFUNCTION("""COMPUTED_VALUE"""),"")</f>
        <v/>
      </c>
      <c r="G563" s="47" t="str">
        <f>IFERROR(__xludf.DUMMYFUNCTION("""COMPUTED_VALUE"""),"")</f>
        <v/>
      </c>
      <c r="H563" s="47"/>
      <c r="I563" s="47">
        <f>IFERROR(__xludf.DUMMYFUNCTION("""COMPUTED_VALUE"""),2.0)</f>
        <v>2</v>
      </c>
      <c r="J563" s="47" t="str">
        <f>IFERROR(__xludf.DUMMYFUNCTION("""COMPUTED_VALUE"""),"https:")</f>
        <v>https:</v>
      </c>
      <c r="K563" s="78" t="str">
        <f>IFERROR(__xludf.DUMMYFUNCTION("""COMPUTED_VALUE"""),"www.munzee.com")</f>
        <v>www.munzee.com</v>
      </c>
      <c r="L563" s="47" t="str">
        <f>IFERROR(__xludf.DUMMYFUNCTION("""COMPUTED_VALUE"""),"m")</f>
        <v>m</v>
      </c>
      <c r="M563" s="47" t="str">
        <f>IFERROR(__xludf.DUMMYFUNCTION("""COMPUTED_VALUE"""),"TheFatCats")</f>
        <v>TheFatCats</v>
      </c>
    </row>
    <row r="564">
      <c r="A564" s="47" t="str">
        <f>IFERROR(__xludf.DUMMYFUNCTION("""COMPUTED_VALUE"""),"Virtual Brown")</f>
        <v>Virtual Brown</v>
      </c>
      <c r="B564" s="47" t="str">
        <f>IFERROR(__xludf.DUMMYFUNCTION("""COMPUTED_VALUE"""),"Bungle")</f>
        <v>Bungle</v>
      </c>
      <c r="C564" s="78" t="str">
        <f>IFERROR(__xludf.DUMMYFUNCTION("""COMPUTED_VALUE"""),"https://www.munzee.com/m/Bungle/3149")</f>
        <v>https://www.munzee.com/m/Bungle/3149</v>
      </c>
      <c r="D564" s="47"/>
      <c r="E564" s="47" t="b">
        <f>IFERROR(__xludf.DUMMYFUNCTION("""COMPUTED_VALUE"""),TRUE)</f>
        <v>1</v>
      </c>
      <c r="F564" s="47" t="str">
        <f>IFERROR(__xludf.DUMMYFUNCTION("""COMPUTED_VALUE"""),"")</f>
        <v/>
      </c>
      <c r="G564" s="47" t="str">
        <f>IFERROR(__xludf.DUMMYFUNCTION("""COMPUTED_VALUE"""),"")</f>
        <v/>
      </c>
      <c r="H564" s="47"/>
      <c r="I564" s="47">
        <f>IFERROR(__xludf.DUMMYFUNCTION("""COMPUTED_VALUE"""),2.0)</f>
        <v>2</v>
      </c>
      <c r="J564" s="47" t="str">
        <f>IFERROR(__xludf.DUMMYFUNCTION("""COMPUTED_VALUE"""),"https:")</f>
        <v>https:</v>
      </c>
      <c r="K564" s="78" t="str">
        <f>IFERROR(__xludf.DUMMYFUNCTION("""COMPUTED_VALUE"""),"www.munzee.com")</f>
        <v>www.munzee.com</v>
      </c>
      <c r="L564" s="47" t="str">
        <f>IFERROR(__xludf.DUMMYFUNCTION("""COMPUTED_VALUE"""),"m")</f>
        <v>m</v>
      </c>
      <c r="M564" s="47" t="str">
        <f>IFERROR(__xludf.DUMMYFUNCTION("""COMPUTED_VALUE"""),"Bungle")</f>
        <v>Bungle</v>
      </c>
    </row>
    <row r="565">
      <c r="A565" s="47" t="str">
        <f>IFERROR(__xludf.DUMMYFUNCTION("""COMPUTED_VALUE"""),"Virtual Brown")</f>
        <v>Virtual Brown</v>
      </c>
      <c r="B565" s="47" t="str">
        <f>IFERROR(__xludf.DUMMYFUNCTION("""COMPUTED_VALUE"""),"mding4gold")</f>
        <v>mding4gold</v>
      </c>
      <c r="C565" s="78" t="str">
        <f>IFERROR(__xludf.DUMMYFUNCTION("""COMPUTED_VALUE"""),"https://www.munzee.com/m/mding4gold/4864")</f>
        <v>https://www.munzee.com/m/mding4gold/4864</v>
      </c>
      <c r="D565" s="47"/>
      <c r="E565" s="47" t="b">
        <f>IFERROR(__xludf.DUMMYFUNCTION("""COMPUTED_VALUE"""),TRUE)</f>
        <v>1</v>
      </c>
      <c r="F565" s="47" t="str">
        <f>IFERROR(__xludf.DUMMYFUNCTION("""COMPUTED_VALUE"""),"")</f>
        <v/>
      </c>
      <c r="G565" s="47" t="str">
        <f>IFERROR(__xludf.DUMMYFUNCTION("""COMPUTED_VALUE"""),"")</f>
        <v/>
      </c>
      <c r="H565" s="47"/>
      <c r="I565" s="47">
        <f>IFERROR(__xludf.DUMMYFUNCTION("""COMPUTED_VALUE"""),2.0)</f>
        <v>2</v>
      </c>
      <c r="J565" s="47" t="str">
        <f>IFERROR(__xludf.DUMMYFUNCTION("""COMPUTED_VALUE"""),"https:")</f>
        <v>https:</v>
      </c>
      <c r="K565" s="78" t="str">
        <f>IFERROR(__xludf.DUMMYFUNCTION("""COMPUTED_VALUE"""),"www.munzee.com")</f>
        <v>www.munzee.com</v>
      </c>
      <c r="L565" s="47" t="str">
        <f>IFERROR(__xludf.DUMMYFUNCTION("""COMPUTED_VALUE"""),"m")</f>
        <v>m</v>
      </c>
      <c r="M565" s="47" t="str">
        <f>IFERROR(__xludf.DUMMYFUNCTION("""COMPUTED_VALUE"""),"mding4gold")</f>
        <v>mding4gold</v>
      </c>
    </row>
    <row r="566">
      <c r="A566" s="47" t="str">
        <f>IFERROR(__xludf.DUMMYFUNCTION("""COMPUTED_VALUE"""),"Virtual Brown")</f>
        <v>Virtual Brown</v>
      </c>
      <c r="B566" s="47" t="str">
        <f>IFERROR(__xludf.DUMMYFUNCTION("""COMPUTED_VALUE"""),"fsafranek")</f>
        <v>fsafranek</v>
      </c>
      <c r="C566" s="78" t="str">
        <f>IFERROR(__xludf.DUMMYFUNCTION("""COMPUTED_VALUE"""),"https://www.munzee.com/m/fsafranek/4294/")</f>
        <v>https://www.munzee.com/m/fsafranek/4294/</v>
      </c>
      <c r="D566" s="47"/>
      <c r="E566" s="47" t="b">
        <f>IFERROR(__xludf.DUMMYFUNCTION("""COMPUTED_VALUE"""),TRUE)</f>
        <v>1</v>
      </c>
      <c r="F566" s="47" t="str">
        <f>IFERROR(__xludf.DUMMYFUNCTION("""COMPUTED_VALUE"""),"")</f>
        <v/>
      </c>
      <c r="G566" s="47" t="str">
        <f>IFERROR(__xludf.DUMMYFUNCTION("""COMPUTED_VALUE"""),"")</f>
        <v/>
      </c>
      <c r="H566" s="47"/>
      <c r="I566" s="47">
        <f>IFERROR(__xludf.DUMMYFUNCTION("""COMPUTED_VALUE"""),2.0)</f>
        <v>2</v>
      </c>
      <c r="J566" s="47" t="str">
        <f>IFERROR(__xludf.DUMMYFUNCTION("""COMPUTED_VALUE"""),"https:")</f>
        <v>https:</v>
      </c>
      <c r="K566" s="78" t="str">
        <f>IFERROR(__xludf.DUMMYFUNCTION("""COMPUTED_VALUE"""),"www.munzee.com")</f>
        <v>www.munzee.com</v>
      </c>
      <c r="L566" s="47" t="str">
        <f>IFERROR(__xludf.DUMMYFUNCTION("""COMPUTED_VALUE"""),"m")</f>
        <v>m</v>
      </c>
      <c r="M566" s="47" t="str">
        <f>IFERROR(__xludf.DUMMYFUNCTION("""COMPUTED_VALUE"""),"fsafranek")</f>
        <v>fsafranek</v>
      </c>
    </row>
    <row r="567">
      <c r="A567" s="47" t="str">
        <f>IFERROR(__xludf.DUMMYFUNCTION("""COMPUTED_VALUE"""),"Virtual Brown")</f>
        <v>Virtual Brown</v>
      </c>
      <c r="B567" s="47" t="str">
        <f>IFERROR(__xludf.DUMMYFUNCTION("""COMPUTED_VALUE"""),"TheFatCats")</f>
        <v>TheFatCats</v>
      </c>
      <c r="C567" s="78" t="str">
        <f>IFERROR(__xludf.DUMMYFUNCTION("""COMPUTED_VALUE"""),"https://www.munzee.com/m/TheFatCats/3871/")</f>
        <v>https://www.munzee.com/m/TheFatCats/3871/</v>
      </c>
      <c r="D567" s="47"/>
      <c r="E567" s="47" t="b">
        <f>IFERROR(__xludf.DUMMYFUNCTION("""COMPUTED_VALUE"""),TRUE)</f>
        <v>1</v>
      </c>
      <c r="F567" s="47" t="str">
        <f>IFERROR(__xludf.DUMMYFUNCTION("""COMPUTED_VALUE"""),"")</f>
        <v/>
      </c>
      <c r="G567" s="47" t="str">
        <f>IFERROR(__xludf.DUMMYFUNCTION("""COMPUTED_VALUE"""),"")</f>
        <v/>
      </c>
      <c r="H567" s="47"/>
      <c r="I567" s="47">
        <f>IFERROR(__xludf.DUMMYFUNCTION("""COMPUTED_VALUE"""),2.0)</f>
        <v>2</v>
      </c>
      <c r="J567" s="47" t="str">
        <f>IFERROR(__xludf.DUMMYFUNCTION("""COMPUTED_VALUE"""),"https:")</f>
        <v>https:</v>
      </c>
      <c r="K567" s="78" t="str">
        <f>IFERROR(__xludf.DUMMYFUNCTION("""COMPUTED_VALUE"""),"www.munzee.com")</f>
        <v>www.munzee.com</v>
      </c>
      <c r="L567" s="47" t="str">
        <f>IFERROR(__xludf.DUMMYFUNCTION("""COMPUTED_VALUE"""),"m")</f>
        <v>m</v>
      </c>
      <c r="M567" s="47" t="str">
        <f>IFERROR(__xludf.DUMMYFUNCTION("""COMPUTED_VALUE"""),"TheFatCats")</f>
        <v>TheFatCats</v>
      </c>
    </row>
    <row r="568">
      <c r="A568" s="47" t="str">
        <f>IFERROR(__xludf.DUMMYFUNCTION("""COMPUTED_VALUE"""),"Virtual Brown")</f>
        <v>Virtual Brown</v>
      </c>
      <c r="B568" s="47" t="str">
        <f>IFERROR(__xludf.DUMMYFUNCTION("""COMPUTED_VALUE"""),"Amadoreugen")</f>
        <v>Amadoreugen</v>
      </c>
      <c r="C568" s="78" t="str">
        <f>IFERROR(__xludf.DUMMYFUNCTION("""COMPUTED_VALUE"""),"https://www.munzee.com/m/amadoreugen/5767")</f>
        <v>https://www.munzee.com/m/amadoreugen/5767</v>
      </c>
      <c r="D568" s="47"/>
      <c r="E568" s="47" t="b">
        <f>IFERROR(__xludf.DUMMYFUNCTION("""COMPUTED_VALUE"""),TRUE)</f>
        <v>1</v>
      </c>
      <c r="F568" s="47" t="str">
        <f>IFERROR(__xludf.DUMMYFUNCTION("""COMPUTED_VALUE"""),"")</f>
        <v/>
      </c>
      <c r="G568" s="47" t="str">
        <f>IFERROR(__xludf.DUMMYFUNCTION("""COMPUTED_VALUE"""),"")</f>
        <v/>
      </c>
      <c r="H568" s="47"/>
      <c r="I568" s="47">
        <f>IFERROR(__xludf.DUMMYFUNCTION("""COMPUTED_VALUE"""),2.0)</f>
        <v>2</v>
      </c>
      <c r="J568" s="47" t="str">
        <f>IFERROR(__xludf.DUMMYFUNCTION("""COMPUTED_VALUE"""),"https:")</f>
        <v>https:</v>
      </c>
      <c r="K568" s="78" t="str">
        <f>IFERROR(__xludf.DUMMYFUNCTION("""COMPUTED_VALUE"""),"www.munzee.com")</f>
        <v>www.munzee.com</v>
      </c>
      <c r="L568" s="47" t="str">
        <f>IFERROR(__xludf.DUMMYFUNCTION("""COMPUTED_VALUE"""),"m")</f>
        <v>m</v>
      </c>
      <c r="M568" s="47" t="str">
        <f>IFERROR(__xludf.DUMMYFUNCTION("""COMPUTED_VALUE"""),"amadoreugen")</f>
        <v>amadoreugen</v>
      </c>
    </row>
    <row r="569">
      <c r="A569" s="47" t="str">
        <f>IFERROR(__xludf.DUMMYFUNCTION("""COMPUTED_VALUE"""),"Virtual Brown")</f>
        <v>Virtual Brown</v>
      </c>
      <c r="B569" s="47" t="str">
        <f>IFERROR(__xludf.DUMMYFUNCTION("""COMPUTED_VALUE"""),"GroteSufferd")</f>
        <v>GroteSufferd</v>
      </c>
      <c r="C569" s="78" t="str">
        <f>IFERROR(__xludf.DUMMYFUNCTION("""COMPUTED_VALUE"""),"https://www.munzee.com/m/GroteSufferd/487/")</f>
        <v>https://www.munzee.com/m/GroteSufferd/487/</v>
      </c>
      <c r="D569" s="47"/>
      <c r="E569" s="47" t="b">
        <f>IFERROR(__xludf.DUMMYFUNCTION("""COMPUTED_VALUE"""),TRUE)</f>
        <v>1</v>
      </c>
      <c r="F569" s="47" t="str">
        <f>IFERROR(__xludf.DUMMYFUNCTION("""COMPUTED_VALUE"""),"")</f>
        <v/>
      </c>
      <c r="G569" s="47" t="str">
        <f>IFERROR(__xludf.DUMMYFUNCTION("""COMPUTED_VALUE"""),"")</f>
        <v/>
      </c>
      <c r="H569" s="47"/>
      <c r="I569" s="47">
        <f>IFERROR(__xludf.DUMMYFUNCTION("""COMPUTED_VALUE"""),2.0)</f>
        <v>2</v>
      </c>
      <c r="J569" s="47" t="str">
        <f>IFERROR(__xludf.DUMMYFUNCTION("""COMPUTED_VALUE"""),"https:")</f>
        <v>https:</v>
      </c>
      <c r="K569" s="78" t="str">
        <f>IFERROR(__xludf.DUMMYFUNCTION("""COMPUTED_VALUE"""),"www.munzee.com")</f>
        <v>www.munzee.com</v>
      </c>
      <c r="L569" s="47" t="str">
        <f>IFERROR(__xludf.DUMMYFUNCTION("""COMPUTED_VALUE"""),"m")</f>
        <v>m</v>
      </c>
      <c r="M569" s="47" t="str">
        <f>IFERROR(__xludf.DUMMYFUNCTION("""COMPUTED_VALUE"""),"GroteSufferd")</f>
        <v>GroteSufferd</v>
      </c>
    </row>
    <row r="570">
      <c r="A570" s="47" t="str">
        <f>IFERROR(__xludf.DUMMYFUNCTION("""COMPUTED_VALUE"""),"Virtual Raw Sienna")</f>
        <v>Virtual Raw Sienna</v>
      </c>
      <c r="B570" s="47" t="str">
        <f>IFERROR(__xludf.DUMMYFUNCTION("""COMPUTED_VALUE"""),"BrotherWlliam")</f>
        <v>BrotherWlliam</v>
      </c>
      <c r="C570" s="78" t="str">
        <f>IFERROR(__xludf.DUMMYFUNCTION("""COMPUTED_VALUE"""),"https://www.munzee.com/m/BrotherWilliam/4277/")</f>
        <v>https://www.munzee.com/m/BrotherWilliam/4277/</v>
      </c>
      <c r="D570" s="47"/>
      <c r="E570" s="47" t="b">
        <f>IFERROR(__xludf.DUMMYFUNCTION("""COMPUTED_VALUE"""),TRUE)</f>
        <v>1</v>
      </c>
      <c r="F570" s="47" t="str">
        <f>IFERROR(__xludf.DUMMYFUNCTION("""COMPUTED_VALUE"""),"")</f>
        <v/>
      </c>
      <c r="G570" s="47" t="str">
        <f>IFERROR(__xludf.DUMMYFUNCTION("""COMPUTED_VALUE"""),"")</f>
        <v/>
      </c>
      <c r="H570" s="47"/>
      <c r="I570" s="47">
        <f>IFERROR(__xludf.DUMMYFUNCTION("""COMPUTED_VALUE"""),2.0)</f>
        <v>2</v>
      </c>
      <c r="J570" s="47" t="str">
        <f>IFERROR(__xludf.DUMMYFUNCTION("""COMPUTED_VALUE"""),"https:")</f>
        <v>https:</v>
      </c>
      <c r="K570" s="78" t="str">
        <f>IFERROR(__xludf.DUMMYFUNCTION("""COMPUTED_VALUE"""),"www.munzee.com")</f>
        <v>www.munzee.com</v>
      </c>
      <c r="L570" s="47" t="str">
        <f>IFERROR(__xludf.DUMMYFUNCTION("""COMPUTED_VALUE"""),"m")</f>
        <v>m</v>
      </c>
      <c r="M570" s="47" t="str">
        <f>IFERROR(__xludf.DUMMYFUNCTION("""COMPUTED_VALUE"""),"BrotherWilliam")</f>
        <v>BrotherWilliam</v>
      </c>
    </row>
    <row r="571">
      <c r="A571" s="47" t="str">
        <f>IFERROR(__xludf.DUMMYFUNCTION("""COMPUTED_VALUE"""),"Virtual Raw Sienna")</f>
        <v>Virtual Raw Sienna</v>
      </c>
      <c r="B571" s="47" t="str">
        <f>IFERROR(__xludf.DUMMYFUNCTION("""COMPUTED_VALUE"""),"ArtofEco")</f>
        <v>ArtofEco</v>
      </c>
      <c r="C571" s="78" t="str">
        <f>IFERROR(__xludf.DUMMYFUNCTION("""COMPUTED_VALUE"""),"https://www.munzee.com/m/ArtofEco/3081/")</f>
        <v>https://www.munzee.com/m/ArtofEco/3081/</v>
      </c>
      <c r="D571" s="47"/>
      <c r="E571" s="47" t="b">
        <f>IFERROR(__xludf.DUMMYFUNCTION("""COMPUTED_VALUE"""),TRUE)</f>
        <v>1</v>
      </c>
      <c r="F571" s="47" t="str">
        <f>IFERROR(__xludf.DUMMYFUNCTION("""COMPUTED_VALUE"""),"")</f>
        <v/>
      </c>
      <c r="G571" s="47" t="str">
        <f>IFERROR(__xludf.DUMMYFUNCTION("""COMPUTED_VALUE"""),"")</f>
        <v/>
      </c>
      <c r="H571" s="47"/>
      <c r="I571" s="47">
        <f>IFERROR(__xludf.DUMMYFUNCTION("""COMPUTED_VALUE"""),2.0)</f>
        <v>2</v>
      </c>
      <c r="J571" s="47" t="str">
        <f>IFERROR(__xludf.DUMMYFUNCTION("""COMPUTED_VALUE"""),"https:")</f>
        <v>https:</v>
      </c>
      <c r="K571" s="78" t="str">
        <f>IFERROR(__xludf.DUMMYFUNCTION("""COMPUTED_VALUE"""),"www.munzee.com")</f>
        <v>www.munzee.com</v>
      </c>
      <c r="L571" s="47" t="str">
        <f>IFERROR(__xludf.DUMMYFUNCTION("""COMPUTED_VALUE"""),"m")</f>
        <v>m</v>
      </c>
      <c r="M571" s="47" t="str">
        <f>IFERROR(__xludf.DUMMYFUNCTION("""COMPUTED_VALUE"""),"ArtofEco")</f>
        <v>ArtofEco</v>
      </c>
    </row>
    <row r="572">
      <c r="A572" s="47" t="str">
        <f>IFERROR(__xludf.DUMMYFUNCTION("""COMPUTED_VALUE"""),"Virtual Brown")</f>
        <v>Virtual Brown</v>
      </c>
      <c r="B572" s="47" t="str">
        <f>IFERROR(__xludf.DUMMYFUNCTION("""COMPUTED_VALUE"""),"Fossillady")</f>
        <v>Fossillady</v>
      </c>
      <c r="C572" s="78" t="str">
        <f>IFERROR(__xludf.DUMMYFUNCTION("""COMPUTED_VALUE"""),"https://www.munzee.com/m/Fossillady/3478")</f>
        <v>https://www.munzee.com/m/Fossillady/3478</v>
      </c>
      <c r="D572" s="47"/>
      <c r="E572" s="47" t="b">
        <f>IFERROR(__xludf.DUMMYFUNCTION("""COMPUTED_VALUE"""),TRUE)</f>
        <v>1</v>
      </c>
      <c r="F572" s="47" t="str">
        <f>IFERROR(__xludf.DUMMYFUNCTION("""COMPUTED_VALUE"""),"")</f>
        <v/>
      </c>
      <c r="G572" s="47" t="str">
        <f>IFERROR(__xludf.DUMMYFUNCTION("""COMPUTED_VALUE"""),"")</f>
        <v/>
      </c>
      <c r="H572" s="47"/>
      <c r="I572" s="47">
        <f>IFERROR(__xludf.DUMMYFUNCTION("""COMPUTED_VALUE"""),2.0)</f>
        <v>2</v>
      </c>
      <c r="J572" s="47" t="str">
        <f>IFERROR(__xludf.DUMMYFUNCTION("""COMPUTED_VALUE"""),"https:")</f>
        <v>https:</v>
      </c>
      <c r="K572" s="78" t="str">
        <f>IFERROR(__xludf.DUMMYFUNCTION("""COMPUTED_VALUE"""),"www.munzee.com")</f>
        <v>www.munzee.com</v>
      </c>
      <c r="L572" s="47" t="str">
        <f>IFERROR(__xludf.DUMMYFUNCTION("""COMPUTED_VALUE"""),"m")</f>
        <v>m</v>
      </c>
      <c r="M572" s="47" t="str">
        <f>IFERROR(__xludf.DUMMYFUNCTION("""COMPUTED_VALUE"""),"Fossillady")</f>
        <v>Fossillady</v>
      </c>
    </row>
    <row r="573">
      <c r="A573" s="47" t="str">
        <f>IFERROR(__xludf.DUMMYFUNCTION("""COMPUTED_VALUE"""),"Virtual Brown")</f>
        <v>Virtual Brown</v>
      </c>
      <c r="B573" s="47" t="str">
        <f>IFERROR(__xludf.DUMMYFUNCTION("""COMPUTED_VALUE"""),"belladivadee")</f>
        <v>belladivadee</v>
      </c>
      <c r="C573" s="78" t="str">
        <f>IFERROR(__xludf.DUMMYFUNCTION("""COMPUTED_VALUE"""),"https://www.munzee.com/m/belladivadee/3124/")</f>
        <v>https://www.munzee.com/m/belladivadee/3124/</v>
      </c>
      <c r="D573" s="47"/>
      <c r="E573" s="47" t="b">
        <f>IFERROR(__xludf.DUMMYFUNCTION("""COMPUTED_VALUE"""),TRUE)</f>
        <v>1</v>
      </c>
      <c r="F573" s="47" t="str">
        <f>IFERROR(__xludf.DUMMYFUNCTION("""COMPUTED_VALUE"""),"")</f>
        <v/>
      </c>
      <c r="G573" s="47" t="str">
        <f>IFERROR(__xludf.DUMMYFUNCTION("""COMPUTED_VALUE"""),"")</f>
        <v/>
      </c>
      <c r="H573" s="47"/>
      <c r="I573" s="47">
        <f>IFERROR(__xludf.DUMMYFUNCTION("""COMPUTED_VALUE"""),2.0)</f>
        <v>2</v>
      </c>
      <c r="J573" s="47" t="str">
        <f>IFERROR(__xludf.DUMMYFUNCTION("""COMPUTED_VALUE"""),"https:")</f>
        <v>https:</v>
      </c>
      <c r="K573" s="78" t="str">
        <f>IFERROR(__xludf.DUMMYFUNCTION("""COMPUTED_VALUE"""),"www.munzee.com")</f>
        <v>www.munzee.com</v>
      </c>
      <c r="L573" s="47" t="str">
        <f>IFERROR(__xludf.DUMMYFUNCTION("""COMPUTED_VALUE"""),"m")</f>
        <v>m</v>
      </c>
      <c r="M573" s="47" t="str">
        <f>IFERROR(__xludf.DUMMYFUNCTION("""COMPUTED_VALUE"""),"belladivadee")</f>
        <v>belladivadee</v>
      </c>
    </row>
    <row r="574">
      <c r="A574" s="47" t="str">
        <f>IFERROR(__xludf.DUMMYFUNCTION("""COMPUTED_VALUE"""),"Virtual Brown")</f>
        <v>Virtual Brown</v>
      </c>
      <c r="B574" s="47" t="str">
        <f>IFERROR(__xludf.DUMMYFUNCTION("""COMPUTED_VALUE"""),"sverlaan")</f>
        <v>sverlaan</v>
      </c>
      <c r="C574" s="78" t="str">
        <f>IFERROR(__xludf.DUMMYFUNCTION("""COMPUTED_VALUE"""),"https://www.munzee.com/m/sverlaan/4397/")</f>
        <v>https://www.munzee.com/m/sverlaan/4397/</v>
      </c>
      <c r="D574" s="47"/>
      <c r="E574" s="47" t="b">
        <f>IFERROR(__xludf.DUMMYFUNCTION("""COMPUTED_VALUE"""),TRUE)</f>
        <v>1</v>
      </c>
      <c r="F574" s="47" t="str">
        <f>IFERROR(__xludf.DUMMYFUNCTION("""COMPUTED_VALUE"""),"")</f>
        <v/>
      </c>
      <c r="G574" s="47" t="str">
        <f>IFERROR(__xludf.DUMMYFUNCTION("""COMPUTED_VALUE"""),"")</f>
        <v/>
      </c>
      <c r="H574" s="47"/>
      <c r="I574" s="47">
        <f>IFERROR(__xludf.DUMMYFUNCTION("""COMPUTED_VALUE"""),2.0)</f>
        <v>2</v>
      </c>
      <c r="J574" s="47" t="str">
        <f>IFERROR(__xludf.DUMMYFUNCTION("""COMPUTED_VALUE"""),"https:")</f>
        <v>https:</v>
      </c>
      <c r="K574" s="78" t="str">
        <f>IFERROR(__xludf.DUMMYFUNCTION("""COMPUTED_VALUE"""),"www.munzee.com")</f>
        <v>www.munzee.com</v>
      </c>
      <c r="L574" s="47" t="str">
        <f>IFERROR(__xludf.DUMMYFUNCTION("""COMPUTED_VALUE"""),"m")</f>
        <v>m</v>
      </c>
      <c r="M574" s="47" t="str">
        <f>IFERROR(__xludf.DUMMYFUNCTION("""COMPUTED_VALUE"""),"sverlaan")</f>
        <v>sverlaan</v>
      </c>
    </row>
    <row r="575">
      <c r="A575" s="47" t="str">
        <f>IFERROR(__xludf.DUMMYFUNCTION("""COMPUTED_VALUE"""),"Virtual Raw Sienna")</f>
        <v>Virtual Raw Sienna</v>
      </c>
      <c r="B575" s="47" t="str">
        <f>IFERROR(__xludf.DUMMYFUNCTION("""COMPUTED_VALUE"""),"PawPatrolThomas")</f>
        <v>PawPatrolThomas</v>
      </c>
      <c r="C575" s="78" t="str">
        <f>IFERROR(__xludf.DUMMYFUNCTION("""COMPUTED_VALUE"""),"https://www.munzee.com/m/PawPatrolThomas/2458/")</f>
        <v>https://www.munzee.com/m/PawPatrolThomas/2458/</v>
      </c>
      <c r="D575" s="47"/>
      <c r="E575" s="47" t="b">
        <f>IFERROR(__xludf.DUMMYFUNCTION("""COMPUTED_VALUE"""),TRUE)</f>
        <v>1</v>
      </c>
      <c r="F575" s="47" t="str">
        <f>IFERROR(__xludf.DUMMYFUNCTION("""COMPUTED_VALUE"""),"")</f>
        <v/>
      </c>
      <c r="G575" s="47" t="str">
        <f>IFERROR(__xludf.DUMMYFUNCTION("""COMPUTED_VALUE"""),"")</f>
        <v/>
      </c>
      <c r="H575" s="47"/>
      <c r="I575" s="47">
        <f>IFERROR(__xludf.DUMMYFUNCTION("""COMPUTED_VALUE"""),2.0)</f>
        <v>2</v>
      </c>
      <c r="J575" s="47" t="str">
        <f>IFERROR(__xludf.DUMMYFUNCTION("""COMPUTED_VALUE"""),"https:")</f>
        <v>https:</v>
      </c>
      <c r="K575" s="78" t="str">
        <f>IFERROR(__xludf.DUMMYFUNCTION("""COMPUTED_VALUE"""),"www.munzee.com")</f>
        <v>www.munzee.com</v>
      </c>
      <c r="L575" s="47" t="str">
        <f>IFERROR(__xludf.DUMMYFUNCTION("""COMPUTED_VALUE"""),"m")</f>
        <v>m</v>
      </c>
      <c r="M575" s="47" t="str">
        <f>IFERROR(__xludf.DUMMYFUNCTION("""COMPUTED_VALUE"""),"PawPatrolThomas")</f>
        <v>PawPatrolThomas</v>
      </c>
    </row>
    <row r="576">
      <c r="A576" s="47" t="str">
        <f>IFERROR(__xludf.DUMMYFUNCTION("""COMPUTED_VALUE"""),"Virtual Raw Sienna")</f>
        <v>Virtual Raw Sienna</v>
      </c>
      <c r="B576" s="47" t="str">
        <f>IFERROR(__xludf.DUMMYFUNCTION("""COMPUTED_VALUE"""),"EmileP68")</f>
        <v>EmileP68</v>
      </c>
      <c r="C576" s="78" t="str">
        <f>IFERROR(__xludf.DUMMYFUNCTION("""COMPUTED_VALUE"""),"https://www.munzee.com/m/EmileP68/3159/")</f>
        <v>https://www.munzee.com/m/EmileP68/3159/</v>
      </c>
      <c r="D576" s="47"/>
      <c r="E576" s="47" t="b">
        <f>IFERROR(__xludf.DUMMYFUNCTION("""COMPUTED_VALUE"""),TRUE)</f>
        <v>1</v>
      </c>
      <c r="F576" s="47" t="str">
        <f>IFERROR(__xludf.DUMMYFUNCTION("""COMPUTED_VALUE"""),"")</f>
        <v/>
      </c>
      <c r="G576" s="47" t="str">
        <f>IFERROR(__xludf.DUMMYFUNCTION("""COMPUTED_VALUE"""),"")</f>
        <v/>
      </c>
      <c r="H576" s="47"/>
      <c r="I576" s="47">
        <f>IFERROR(__xludf.DUMMYFUNCTION("""COMPUTED_VALUE"""),2.0)</f>
        <v>2</v>
      </c>
      <c r="J576" s="47" t="str">
        <f>IFERROR(__xludf.DUMMYFUNCTION("""COMPUTED_VALUE"""),"https:")</f>
        <v>https:</v>
      </c>
      <c r="K576" s="78" t="str">
        <f>IFERROR(__xludf.DUMMYFUNCTION("""COMPUTED_VALUE"""),"www.munzee.com")</f>
        <v>www.munzee.com</v>
      </c>
      <c r="L576" s="47" t="str">
        <f>IFERROR(__xludf.DUMMYFUNCTION("""COMPUTED_VALUE"""),"m")</f>
        <v>m</v>
      </c>
      <c r="M576" s="47" t="str">
        <f>IFERROR(__xludf.DUMMYFUNCTION("""COMPUTED_VALUE"""),"EmileP68")</f>
        <v>EmileP68</v>
      </c>
    </row>
    <row r="577">
      <c r="A577" s="47" t="str">
        <f>IFERROR(__xludf.DUMMYFUNCTION("""COMPUTED_VALUE"""),"Virtual Brown")</f>
        <v>Virtual Brown</v>
      </c>
      <c r="B577" s="47" t="str">
        <f>IFERROR(__xludf.DUMMYFUNCTION("""COMPUTED_VALUE"""),"OdinsFiRe ")</f>
        <v>OdinsFiRe </v>
      </c>
      <c r="C577" s="78" t="str">
        <f>IFERROR(__xludf.DUMMYFUNCTION("""COMPUTED_VALUE"""),"https://www.munzee.com/m/OdinsFiRe/1642/")</f>
        <v>https://www.munzee.com/m/OdinsFiRe/1642/</v>
      </c>
      <c r="D577" s="47"/>
      <c r="E577" s="47" t="b">
        <f>IFERROR(__xludf.DUMMYFUNCTION("""COMPUTED_VALUE"""),TRUE)</f>
        <v>1</v>
      </c>
      <c r="F577" s="47" t="str">
        <f>IFERROR(__xludf.DUMMYFUNCTION("""COMPUTED_VALUE"""),"")</f>
        <v/>
      </c>
      <c r="G577" s="47" t="str">
        <f>IFERROR(__xludf.DUMMYFUNCTION("""COMPUTED_VALUE"""),"")</f>
        <v/>
      </c>
      <c r="H577" s="47"/>
      <c r="I577" s="47">
        <f>IFERROR(__xludf.DUMMYFUNCTION("""COMPUTED_VALUE"""),2.0)</f>
        <v>2</v>
      </c>
      <c r="J577" s="47" t="str">
        <f>IFERROR(__xludf.DUMMYFUNCTION("""COMPUTED_VALUE"""),"https:")</f>
        <v>https:</v>
      </c>
      <c r="K577" s="78" t="str">
        <f>IFERROR(__xludf.DUMMYFUNCTION("""COMPUTED_VALUE"""),"www.munzee.com")</f>
        <v>www.munzee.com</v>
      </c>
      <c r="L577" s="47" t="str">
        <f>IFERROR(__xludf.DUMMYFUNCTION("""COMPUTED_VALUE"""),"m")</f>
        <v>m</v>
      </c>
      <c r="M577" s="47" t="str">
        <f>IFERROR(__xludf.DUMMYFUNCTION("""COMPUTED_VALUE"""),"OdinsFiRe")</f>
        <v>OdinsFiRe</v>
      </c>
    </row>
    <row r="578">
      <c r="A578" s="47" t="str">
        <f>IFERROR(__xludf.DUMMYFUNCTION("""COMPUTED_VALUE"""),"Virtual Brown")</f>
        <v>Virtual Brown</v>
      </c>
      <c r="B578" s="47" t="str">
        <f>IFERROR(__xludf.DUMMYFUNCTION("""COMPUTED_VALUE"""),"Drazoria")</f>
        <v>Drazoria</v>
      </c>
      <c r="C578" s="78" t="str">
        <f>IFERROR(__xludf.DUMMYFUNCTION("""COMPUTED_VALUE"""),"https://www.munzee.com/m/Drazoria/793/")</f>
        <v>https://www.munzee.com/m/Drazoria/793/</v>
      </c>
      <c r="D578" s="47"/>
      <c r="E578" s="47" t="b">
        <f>IFERROR(__xludf.DUMMYFUNCTION("""COMPUTED_VALUE"""),TRUE)</f>
        <v>1</v>
      </c>
      <c r="F578" s="47" t="str">
        <f>IFERROR(__xludf.DUMMYFUNCTION("""COMPUTED_VALUE"""),"")</f>
        <v/>
      </c>
      <c r="G578" s="47" t="str">
        <f>IFERROR(__xludf.DUMMYFUNCTION("""COMPUTED_VALUE"""),"")</f>
        <v/>
      </c>
      <c r="H578" s="47"/>
      <c r="I578" s="47">
        <f>IFERROR(__xludf.DUMMYFUNCTION("""COMPUTED_VALUE"""),2.0)</f>
        <v>2</v>
      </c>
      <c r="J578" s="47" t="str">
        <f>IFERROR(__xludf.DUMMYFUNCTION("""COMPUTED_VALUE"""),"https:")</f>
        <v>https:</v>
      </c>
      <c r="K578" s="78" t="str">
        <f>IFERROR(__xludf.DUMMYFUNCTION("""COMPUTED_VALUE"""),"www.munzee.com")</f>
        <v>www.munzee.com</v>
      </c>
      <c r="L578" s="47" t="str">
        <f>IFERROR(__xludf.DUMMYFUNCTION("""COMPUTED_VALUE"""),"m")</f>
        <v>m</v>
      </c>
      <c r="M578" s="47" t="str">
        <f>IFERROR(__xludf.DUMMYFUNCTION("""COMPUTED_VALUE"""),"Drazoria")</f>
        <v>Drazoria</v>
      </c>
    </row>
    <row r="579">
      <c r="A579" s="47" t="str">
        <f>IFERROR(__xludf.DUMMYFUNCTION("""COMPUTED_VALUE"""),"Virtual Brown")</f>
        <v>Virtual Brown</v>
      </c>
      <c r="B579" s="47" t="str">
        <f>IFERROR(__xludf.DUMMYFUNCTION("""COMPUTED_VALUE"""),"Tinake1309")</f>
        <v>Tinake1309</v>
      </c>
      <c r="C579" s="78" t="str">
        <f>IFERROR(__xludf.DUMMYFUNCTION("""COMPUTED_VALUE"""),"https://www.munzee.com/m/Tinake1309/768/")</f>
        <v>https://www.munzee.com/m/Tinake1309/768/</v>
      </c>
      <c r="D579" s="47"/>
      <c r="E579" s="47" t="b">
        <f>IFERROR(__xludf.DUMMYFUNCTION("""COMPUTED_VALUE"""),TRUE)</f>
        <v>1</v>
      </c>
      <c r="F579" s="47" t="str">
        <f>IFERROR(__xludf.DUMMYFUNCTION("""COMPUTED_VALUE"""),"")</f>
        <v/>
      </c>
      <c r="G579" s="47" t="str">
        <f>IFERROR(__xludf.DUMMYFUNCTION("""COMPUTED_VALUE"""),"")</f>
        <v/>
      </c>
      <c r="H579" s="47"/>
      <c r="I579" s="47">
        <f>IFERROR(__xludf.DUMMYFUNCTION("""COMPUTED_VALUE"""),2.0)</f>
        <v>2</v>
      </c>
      <c r="J579" s="47" t="str">
        <f>IFERROR(__xludf.DUMMYFUNCTION("""COMPUTED_VALUE"""),"https:")</f>
        <v>https:</v>
      </c>
      <c r="K579" s="78" t="str">
        <f>IFERROR(__xludf.DUMMYFUNCTION("""COMPUTED_VALUE"""),"www.munzee.com")</f>
        <v>www.munzee.com</v>
      </c>
      <c r="L579" s="47" t="str">
        <f>IFERROR(__xludf.DUMMYFUNCTION("""COMPUTED_VALUE"""),"m")</f>
        <v>m</v>
      </c>
      <c r="M579" s="47" t="str">
        <f>IFERROR(__xludf.DUMMYFUNCTION("""COMPUTED_VALUE"""),"Tinake1309")</f>
        <v>Tinake1309</v>
      </c>
    </row>
    <row r="580">
      <c r="A580" s="47" t="str">
        <f>IFERROR(__xludf.DUMMYFUNCTION("""COMPUTED_VALUE"""),"Virtual Raw Sienna")</f>
        <v>Virtual Raw Sienna</v>
      </c>
      <c r="B580" s="47" t="str">
        <f>IFERROR(__xludf.DUMMYFUNCTION("""COMPUTED_VALUE"""),"Berg14")</f>
        <v>Berg14</v>
      </c>
      <c r="C580" s="78" t="str">
        <f>IFERROR(__xludf.DUMMYFUNCTION("""COMPUTED_VALUE"""),"https://www.munzee.com/m/Berg14/613/")</f>
        <v>https://www.munzee.com/m/Berg14/613/</v>
      </c>
      <c r="D580" s="47"/>
      <c r="E580" s="47" t="b">
        <f>IFERROR(__xludf.DUMMYFUNCTION("""COMPUTED_VALUE"""),TRUE)</f>
        <v>1</v>
      </c>
      <c r="F580" s="47" t="str">
        <f>IFERROR(__xludf.DUMMYFUNCTION("""COMPUTED_VALUE"""),"")</f>
        <v/>
      </c>
      <c r="G580" s="47" t="str">
        <f>IFERROR(__xludf.DUMMYFUNCTION("""COMPUTED_VALUE"""),"")</f>
        <v/>
      </c>
      <c r="H580" s="47"/>
      <c r="I580" s="47">
        <f>IFERROR(__xludf.DUMMYFUNCTION("""COMPUTED_VALUE"""),2.0)</f>
        <v>2</v>
      </c>
      <c r="J580" s="47" t="str">
        <f>IFERROR(__xludf.DUMMYFUNCTION("""COMPUTED_VALUE"""),"https:")</f>
        <v>https:</v>
      </c>
      <c r="K580" s="78" t="str">
        <f>IFERROR(__xludf.DUMMYFUNCTION("""COMPUTED_VALUE"""),"www.munzee.com")</f>
        <v>www.munzee.com</v>
      </c>
      <c r="L580" s="47" t="str">
        <f>IFERROR(__xludf.DUMMYFUNCTION("""COMPUTED_VALUE"""),"m")</f>
        <v>m</v>
      </c>
      <c r="M580" s="47" t="str">
        <f>IFERROR(__xludf.DUMMYFUNCTION("""COMPUTED_VALUE"""),"Berg14")</f>
        <v>Berg14</v>
      </c>
    </row>
    <row r="581">
      <c r="A581" s="47" t="str">
        <f>IFERROR(__xludf.DUMMYFUNCTION("""COMPUTED_VALUE"""),"Virtual Brown")</f>
        <v>Virtual Brown</v>
      </c>
      <c r="B581" s="47" t="str">
        <f>IFERROR(__xludf.DUMMYFUNCTION("""COMPUTED_VALUE"""),"Niks13")</f>
        <v>Niks13</v>
      </c>
      <c r="C581" s="78" t="str">
        <f>IFERROR(__xludf.DUMMYFUNCTION("""COMPUTED_VALUE"""),"https://www.munzee.com/m/Niks13/608/")</f>
        <v>https://www.munzee.com/m/Niks13/608/</v>
      </c>
      <c r="D581" s="47"/>
      <c r="E581" s="47" t="b">
        <f>IFERROR(__xludf.DUMMYFUNCTION("""COMPUTED_VALUE"""),TRUE)</f>
        <v>1</v>
      </c>
      <c r="F581" s="47" t="str">
        <f>IFERROR(__xludf.DUMMYFUNCTION("""COMPUTED_VALUE"""),"")</f>
        <v/>
      </c>
      <c r="G581" s="47" t="str">
        <f>IFERROR(__xludf.DUMMYFUNCTION("""COMPUTED_VALUE"""),"")</f>
        <v/>
      </c>
      <c r="H581" s="47"/>
      <c r="I581" s="47">
        <f>IFERROR(__xludf.DUMMYFUNCTION("""COMPUTED_VALUE"""),2.0)</f>
        <v>2</v>
      </c>
      <c r="J581" s="47" t="str">
        <f>IFERROR(__xludf.DUMMYFUNCTION("""COMPUTED_VALUE"""),"https:")</f>
        <v>https:</v>
      </c>
      <c r="K581" s="78" t="str">
        <f>IFERROR(__xludf.DUMMYFUNCTION("""COMPUTED_VALUE"""),"www.munzee.com")</f>
        <v>www.munzee.com</v>
      </c>
      <c r="L581" s="47" t="str">
        <f>IFERROR(__xludf.DUMMYFUNCTION("""COMPUTED_VALUE"""),"m")</f>
        <v>m</v>
      </c>
      <c r="M581" s="47" t="str">
        <f>IFERROR(__xludf.DUMMYFUNCTION("""COMPUTED_VALUE"""),"Niks13")</f>
        <v>Niks13</v>
      </c>
    </row>
    <row r="582">
      <c r="A582" s="47" t="str">
        <f>IFERROR(__xludf.DUMMYFUNCTION("""COMPUTED_VALUE"""),"Virtual Brown")</f>
        <v>Virtual Brown</v>
      </c>
      <c r="B582" s="47" t="str">
        <f>IFERROR(__xludf.DUMMYFUNCTION("""COMPUTED_VALUE"""),"lison55")</f>
        <v>lison55</v>
      </c>
      <c r="C582" s="78" t="str">
        <f>IFERROR(__xludf.DUMMYFUNCTION("""COMPUTED_VALUE"""),"https://www.munzee.com/m/lison55/5414/")</f>
        <v>https://www.munzee.com/m/lison55/5414/</v>
      </c>
      <c r="D582" s="47"/>
      <c r="E582" s="47" t="b">
        <f>IFERROR(__xludf.DUMMYFUNCTION("""COMPUTED_VALUE"""),TRUE)</f>
        <v>1</v>
      </c>
      <c r="F582" s="47" t="str">
        <f>IFERROR(__xludf.DUMMYFUNCTION("""COMPUTED_VALUE"""),"")</f>
        <v/>
      </c>
      <c r="G582" s="47" t="str">
        <f>IFERROR(__xludf.DUMMYFUNCTION("""COMPUTED_VALUE"""),"")</f>
        <v/>
      </c>
      <c r="H582" s="47"/>
      <c r="I582" s="47">
        <f>IFERROR(__xludf.DUMMYFUNCTION("""COMPUTED_VALUE"""),2.0)</f>
        <v>2</v>
      </c>
      <c r="J582" s="47" t="str">
        <f>IFERROR(__xludf.DUMMYFUNCTION("""COMPUTED_VALUE"""),"https:")</f>
        <v>https:</v>
      </c>
      <c r="K582" s="78" t="str">
        <f>IFERROR(__xludf.DUMMYFUNCTION("""COMPUTED_VALUE"""),"www.munzee.com")</f>
        <v>www.munzee.com</v>
      </c>
      <c r="L582" s="47" t="str">
        <f>IFERROR(__xludf.DUMMYFUNCTION("""COMPUTED_VALUE"""),"m")</f>
        <v>m</v>
      </c>
      <c r="M582" s="47" t="str">
        <f>IFERROR(__xludf.DUMMYFUNCTION("""COMPUTED_VALUE"""),"lison55")</f>
        <v>lison55</v>
      </c>
    </row>
    <row r="583">
      <c r="A583" s="47" t="str">
        <f>IFERROR(__xludf.DUMMYFUNCTION("""COMPUTED_VALUE"""),"Virtual Brown")</f>
        <v>Virtual Brown</v>
      </c>
      <c r="B583" s="47" t="str">
        <f>IFERROR(__xludf.DUMMYFUNCTION("""COMPUTED_VALUE"""),"J1Huisman")</f>
        <v>J1Huisman</v>
      </c>
      <c r="C583" s="78" t="str">
        <f>IFERROR(__xludf.DUMMYFUNCTION("""COMPUTED_VALUE"""),"https://www.munzee.com/m/J1Huisman/11439/")</f>
        <v>https://www.munzee.com/m/J1Huisman/11439/</v>
      </c>
      <c r="D583" s="47"/>
      <c r="E583" s="47" t="b">
        <f>IFERROR(__xludf.DUMMYFUNCTION("""COMPUTED_VALUE"""),TRUE)</f>
        <v>1</v>
      </c>
      <c r="F583" s="47" t="str">
        <f>IFERROR(__xludf.DUMMYFUNCTION("""COMPUTED_VALUE"""),"")</f>
        <v/>
      </c>
      <c r="G583" s="47" t="str">
        <f>IFERROR(__xludf.DUMMYFUNCTION("""COMPUTED_VALUE"""),"")</f>
        <v/>
      </c>
      <c r="H583" s="47"/>
      <c r="I583" s="47">
        <f>IFERROR(__xludf.DUMMYFUNCTION("""COMPUTED_VALUE"""),2.0)</f>
        <v>2</v>
      </c>
      <c r="J583" s="47" t="str">
        <f>IFERROR(__xludf.DUMMYFUNCTION("""COMPUTED_VALUE"""),"https:")</f>
        <v>https:</v>
      </c>
      <c r="K583" s="78" t="str">
        <f>IFERROR(__xludf.DUMMYFUNCTION("""COMPUTED_VALUE"""),"www.munzee.com")</f>
        <v>www.munzee.com</v>
      </c>
      <c r="L583" s="47" t="str">
        <f>IFERROR(__xludf.DUMMYFUNCTION("""COMPUTED_VALUE"""),"m")</f>
        <v>m</v>
      </c>
      <c r="M583" s="47" t="str">
        <f>IFERROR(__xludf.DUMMYFUNCTION("""COMPUTED_VALUE"""),"J1Huisman")</f>
        <v>J1Huisman</v>
      </c>
    </row>
    <row r="584">
      <c r="A584" s="47" t="str">
        <f>IFERROR(__xludf.DUMMYFUNCTION("""COMPUTED_VALUE"""),"Virtual Brown")</f>
        <v>Virtual Brown</v>
      </c>
      <c r="B584" s="47" t="str">
        <f>IFERROR(__xludf.DUMMYFUNCTION("""COMPUTED_VALUE"""),"Pinkeltje")</f>
        <v>Pinkeltje</v>
      </c>
      <c r="C584" s="78" t="str">
        <f>IFERROR(__xludf.DUMMYFUNCTION("""COMPUTED_VALUE"""),"https://www.munzee.com/m/Pinkeltje/1302/")</f>
        <v>https://www.munzee.com/m/Pinkeltje/1302/</v>
      </c>
      <c r="D584" s="47"/>
      <c r="E584" s="47" t="b">
        <f>IFERROR(__xludf.DUMMYFUNCTION("""COMPUTED_VALUE"""),TRUE)</f>
        <v>1</v>
      </c>
      <c r="F584" s="47" t="str">
        <f>IFERROR(__xludf.DUMMYFUNCTION("""COMPUTED_VALUE"""),"")</f>
        <v/>
      </c>
      <c r="G584" s="47" t="str">
        <f>IFERROR(__xludf.DUMMYFUNCTION("""COMPUTED_VALUE"""),"")</f>
        <v/>
      </c>
      <c r="H584" s="47"/>
      <c r="I584" s="47">
        <f>IFERROR(__xludf.DUMMYFUNCTION("""COMPUTED_VALUE"""),2.0)</f>
        <v>2</v>
      </c>
      <c r="J584" s="47" t="str">
        <f>IFERROR(__xludf.DUMMYFUNCTION("""COMPUTED_VALUE"""),"https:")</f>
        <v>https:</v>
      </c>
      <c r="K584" s="78" t="str">
        <f>IFERROR(__xludf.DUMMYFUNCTION("""COMPUTED_VALUE"""),"www.munzee.com")</f>
        <v>www.munzee.com</v>
      </c>
      <c r="L584" s="47" t="str">
        <f>IFERROR(__xludf.DUMMYFUNCTION("""COMPUTED_VALUE"""),"m")</f>
        <v>m</v>
      </c>
      <c r="M584" s="47" t="str">
        <f>IFERROR(__xludf.DUMMYFUNCTION("""COMPUTED_VALUE"""),"Pinkeltje")</f>
        <v>Pinkeltje</v>
      </c>
    </row>
    <row r="585">
      <c r="A585" s="47" t="str">
        <f>IFERROR(__xludf.DUMMYFUNCTION("""COMPUTED_VALUE"""),"Virtual Brown")</f>
        <v>Virtual Brown</v>
      </c>
      <c r="B585" s="47" t="str">
        <f>IFERROR(__xludf.DUMMYFUNCTION("""COMPUTED_VALUE"""),"lanyasummer")</f>
        <v>lanyasummer</v>
      </c>
      <c r="C585" s="78" t="str">
        <f>IFERROR(__xludf.DUMMYFUNCTION("""COMPUTED_VALUE"""),"https://www.munzee.com/m/Lanyasummer/4430/")</f>
        <v>https://www.munzee.com/m/Lanyasummer/4430/</v>
      </c>
      <c r="D585" s="47"/>
      <c r="E585" s="47" t="b">
        <f>IFERROR(__xludf.DUMMYFUNCTION("""COMPUTED_VALUE"""),TRUE)</f>
        <v>1</v>
      </c>
      <c r="F585" s="47" t="str">
        <f>IFERROR(__xludf.DUMMYFUNCTION("""COMPUTED_VALUE"""),"")</f>
        <v/>
      </c>
      <c r="G585" s="47" t="str">
        <f>IFERROR(__xludf.DUMMYFUNCTION("""COMPUTED_VALUE"""),"")</f>
        <v/>
      </c>
      <c r="H585" s="47"/>
      <c r="I585" s="47">
        <f>IFERROR(__xludf.DUMMYFUNCTION("""COMPUTED_VALUE"""),2.0)</f>
        <v>2</v>
      </c>
      <c r="J585" s="47" t="str">
        <f>IFERROR(__xludf.DUMMYFUNCTION("""COMPUTED_VALUE"""),"https:")</f>
        <v>https:</v>
      </c>
      <c r="K585" s="78" t="str">
        <f>IFERROR(__xludf.DUMMYFUNCTION("""COMPUTED_VALUE"""),"www.munzee.com")</f>
        <v>www.munzee.com</v>
      </c>
      <c r="L585" s="47" t="str">
        <f>IFERROR(__xludf.DUMMYFUNCTION("""COMPUTED_VALUE"""),"m")</f>
        <v>m</v>
      </c>
      <c r="M585" s="47" t="str">
        <f>IFERROR(__xludf.DUMMYFUNCTION("""COMPUTED_VALUE"""),"Lanyasummer")</f>
        <v>Lanyasummer</v>
      </c>
    </row>
    <row r="586">
      <c r="A586" s="47" t="str">
        <f>IFERROR(__xludf.DUMMYFUNCTION("""COMPUTED_VALUE"""),"Virtual Brown")</f>
        <v>Virtual Brown</v>
      </c>
      <c r="B586" s="47" t="str">
        <f>IFERROR(__xludf.DUMMYFUNCTION("""COMPUTED_VALUE"""),"babyw")</f>
        <v>babyw</v>
      </c>
      <c r="C586" s="78" t="str">
        <f>IFERROR(__xludf.DUMMYFUNCTION("""COMPUTED_VALUE"""),"https://www.munzee.com/m/babyw/3146/")</f>
        <v>https://www.munzee.com/m/babyw/3146/</v>
      </c>
      <c r="D586" s="47"/>
      <c r="E586" s="47" t="b">
        <f>IFERROR(__xludf.DUMMYFUNCTION("""COMPUTED_VALUE"""),TRUE)</f>
        <v>1</v>
      </c>
      <c r="F586" s="47" t="str">
        <f>IFERROR(__xludf.DUMMYFUNCTION("""COMPUTED_VALUE"""),"")</f>
        <v/>
      </c>
      <c r="G586" s="47" t="str">
        <f>IFERROR(__xludf.DUMMYFUNCTION("""COMPUTED_VALUE"""),"")</f>
        <v/>
      </c>
      <c r="H586" s="47"/>
      <c r="I586" s="47">
        <f>IFERROR(__xludf.DUMMYFUNCTION("""COMPUTED_VALUE"""),2.0)</f>
        <v>2</v>
      </c>
      <c r="J586" s="47" t="str">
        <f>IFERROR(__xludf.DUMMYFUNCTION("""COMPUTED_VALUE"""),"https:")</f>
        <v>https:</v>
      </c>
      <c r="K586" s="78" t="str">
        <f>IFERROR(__xludf.DUMMYFUNCTION("""COMPUTED_VALUE"""),"www.munzee.com")</f>
        <v>www.munzee.com</v>
      </c>
      <c r="L586" s="47" t="str">
        <f>IFERROR(__xludf.DUMMYFUNCTION("""COMPUTED_VALUE"""),"m")</f>
        <v>m</v>
      </c>
      <c r="M586" s="47" t="str">
        <f>IFERROR(__xludf.DUMMYFUNCTION("""COMPUTED_VALUE"""),"babyw")</f>
        <v>babyw</v>
      </c>
    </row>
    <row r="587">
      <c r="A587" s="47" t="str">
        <f>IFERROR(__xludf.DUMMYFUNCTION("""COMPUTED_VALUE"""),"Virtual Brown")</f>
        <v>Virtual Brown</v>
      </c>
      <c r="B587" s="47" t="str">
        <f>IFERROR(__xludf.DUMMYFUNCTION("""COMPUTED_VALUE"""),"fsafranek")</f>
        <v>fsafranek</v>
      </c>
      <c r="C587" s="78" t="str">
        <f>IFERROR(__xludf.DUMMYFUNCTION("""COMPUTED_VALUE"""),"https://www.munzee.com/m/fsafranek/4255/")</f>
        <v>https://www.munzee.com/m/fsafranek/4255/</v>
      </c>
      <c r="D587" s="47"/>
      <c r="E587" s="47" t="b">
        <f>IFERROR(__xludf.DUMMYFUNCTION("""COMPUTED_VALUE"""),TRUE)</f>
        <v>1</v>
      </c>
      <c r="F587" s="47" t="str">
        <f>IFERROR(__xludf.DUMMYFUNCTION("""COMPUTED_VALUE"""),"")</f>
        <v/>
      </c>
      <c r="G587" s="47" t="str">
        <f>IFERROR(__xludf.DUMMYFUNCTION("""COMPUTED_VALUE"""),"")</f>
        <v/>
      </c>
      <c r="H587" s="47"/>
      <c r="I587" s="47">
        <f>IFERROR(__xludf.DUMMYFUNCTION("""COMPUTED_VALUE"""),2.0)</f>
        <v>2</v>
      </c>
      <c r="J587" s="47" t="str">
        <f>IFERROR(__xludf.DUMMYFUNCTION("""COMPUTED_VALUE"""),"https:")</f>
        <v>https:</v>
      </c>
      <c r="K587" s="78" t="str">
        <f>IFERROR(__xludf.DUMMYFUNCTION("""COMPUTED_VALUE"""),"www.munzee.com")</f>
        <v>www.munzee.com</v>
      </c>
      <c r="L587" s="47" t="str">
        <f>IFERROR(__xludf.DUMMYFUNCTION("""COMPUTED_VALUE"""),"m")</f>
        <v>m</v>
      </c>
      <c r="M587" s="47" t="str">
        <f>IFERROR(__xludf.DUMMYFUNCTION("""COMPUTED_VALUE"""),"fsafranek")</f>
        <v>fsafranek</v>
      </c>
    </row>
    <row r="588">
      <c r="A588" s="47" t="str">
        <f>IFERROR(__xludf.DUMMYFUNCTION("""COMPUTED_VALUE"""),"Virtual Brown")</f>
        <v>Virtual Brown</v>
      </c>
      <c r="B588" s="47" t="str">
        <f>IFERROR(__xludf.DUMMYFUNCTION("""COMPUTED_VALUE"""),"xrayneex")</f>
        <v>xrayneex</v>
      </c>
      <c r="C588" s="78" t="str">
        <f>IFERROR(__xludf.DUMMYFUNCTION("""COMPUTED_VALUE"""),"https://www.munzee.com/m/xrayneex/1443/")</f>
        <v>https://www.munzee.com/m/xrayneex/1443/</v>
      </c>
      <c r="D588" s="47"/>
      <c r="E588" s="47" t="b">
        <f>IFERROR(__xludf.DUMMYFUNCTION("""COMPUTED_VALUE"""),TRUE)</f>
        <v>1</v>
      </c>
      <c r="F588" s="47" t="str">
        <f>IFERROR(__xludf.DUMMYFUNCTION("""COMPUTED_VALUE"""),"")</f>
        <v/>
      </c>
      <c r="G588" s="47" t="str">
        <f>IFERROR(__xludf.DUMMYFUNCTION("""COMPUTED_VALUE"""),"")</f>
        <v/>
      </c>
      <c r="H588" s="47"/>
      <c r="I588" s="47">
        <f>IFERROR(__xludf.DUMMYFUNCTION("""COMPUTED_VALUE"""),2.0)</f>
        <v>2</v>
      </c>
      <c r="J588" s="47" t="str">
        <f>IFERROR(__xludf.DUMMYFUNCTION("""COMPUTED_VALUE"""),"https:")</f>
        <v>https:</v>
      </c>
      <c r="K588" s="78" t="str">
        <f>IFERROR(__xludf.DUMMYFUNCTION("""COMPUTED_VALUE"""),"www.munzee.com")</f>
        <v>www.munzee.com</v>
      </c>
      <c r="L588" s="47" t="str">
        <f>IFERROR(__xludf.DUMMYFUNCTION("""COMPUTED_VALUE"""),"m")</f>
        <v>m</v>
      </c>
      <c r="M588" s="47" t="str">
        <f>IFERROR(__xludf.DUMMYFUNCTION("""COMPUTED_VALUE"""),"xrayneex")</f>
        <v>xrayneex</v>
      </c>
    </row>
    <row r="589">
      <c r="A589" s="47" t="str">
        <f>IFERROR(__xludf.DUMMYFUNCTION("""COMPUTED_VALUE"""),"Virtual Brown")</f>
        <v>Virtual Brown</v>
      </c>
      <c r="B589" s="47" t="str">
        <f>IFERROR(__xludf.DUMMYFUNCTION("""COMPUTED_VALUE"""),"WiseOldWizard")</f>
        <v>WiseOldWizard</v>
      </c>
      <c r="C589" s="78" t="str">
        <f>IFERROR(__xludf.DUMMYFUNCTION("""COMPUTED_VALUE"""),"https://www.munzee.com/m/WiseOldWizard/4011/")</f>
        <v>https://www.munzee.com/m/WiseOldWizard/4011/</v>
      </c>
      <c r="D589" s="47"/>
      <c r="E589" s="47" t="b">
        <f>IFERROR(__xludf.DUMMYFUNCTION("""COMPUTED_VALUE"""),TRUE)</f>
        <v>1</v>
      </c>
      <c r="F589" s="47" t="str">
        <f>IFERROR(__xludf.DUMMYFUNCTION("""COMPUTED_VALUE"""),"")</f>
        <v/>
      </c>
      <c r="G589" s="47" t="str">
        <f>IFERROR(__xludf.DUMMYFUNCTION("""COMPUTED_VALUE"""),"")</f>
        <v/>
      </c>
      <c r="H589" s="47"/>
      <c r="I589" s="47">
        <f>IFERROR(__xludf.DUMMYFUNCTION("""COMPUTED_VALUE"""),2.0)</f>
        <v>2</v>
      </c>
      <c r="J589" s="47" t="str">
        <f>IFERROR(__xludf.DUMMYFUNCTION("""COMPUTED_VALUE"""),"https:")</f>
        <v>https:</v>
      </c>
      <c r="K589" s="78" t="str">
        <f>IFERROR(__xludf.DUMMYFUNCTION("""COMPUTED_VALUE"""),"www.munzee.com")</f>
        <v>www.munzee.com</v>
      </c>
      <c r="L589" s="47" t="str">
        <f>IFERROR(__xludf.DUMMYFUNCTION("""COMPUTED_VALUE"""),"m")</f>
        <v>m</v>
      </c>
      <c r="M589" s="47" t="str">
        <f>IFERROR(__xludf.DUMMYFUNCTION("""COMPUTED_VALUE"""),"WiseOldWizard")</f>
        <v>WiseOldWizard</v>
      </c>
    </row>
    <row r="590">
      <c r="A590" s="47" t="str">
        <f>IFERROR(__xludf.DUMMYFUNCTION("""COMPUTED_VALUE"""),"Virtual Brown")</f>
        <v>Virtual Brown</v>
      </c>
      <c r="B590" s="47" t="str">
        <f>IFERROR(__xludf.DUMMYFUNCTION("""COMPUTED_VALUE"""),"FromTheTardis")</f>
        <v>FromTheTardis</v>
      </c>
      <c r="C590" s="78" t="str">
        <f>IFERROR(__xludf.DUMMYFUNCTION("""COMPUTED_VALUE"""),"https://www.munzee.com/m/FromTheTardis/1416/")</f>
        <v>https://www.munzee.com/m/FromTheTardis/1416/</v>
      </c>
      <c r="D590" s="47"/>
      <c r="E590" s="47" t="b">
        <f>IFERROR(__xludf.DUMMYFUNCTION("""COMPUTED_VALUE"""),TRUE)</f>
        <v>1</v>
      </c>
      <c r="F590" s="47" t="str">
        <f>IFERROR(__xludf.DUMMYFUNCTION("""COMPUTED_VALUE"""),"")</f>
        <v/>
      </c>
      <c r="G590" s="47" t="str">
        <f>IFERROR(__xludf.DUMMYFUNCTION("""COMPUTED_VALUE"""),"")</f>
        <v/>
      </c>
      <c r="H590" s="47"/>
      <c r="I590" s="47">
        <f>IFERROR(__xludf.DUMMYFUNCTION("""COMPUTED_VALUE"""),2.0)</f>
        <v>2</v>
      </c>
      <c r="J590" s="47" t="str">
        <f>IFERROR(__xludf.DUMMYFUNCTION("""COMPUTED_VALUE"""),"https:")</f>
        <v>https:</v>
      </c>
      <c r="K590" s="78" t="str">
        <f>IFERROR(__xludf.DUMMYFUNCTION("""COMPUTED_VALUE"""),"www.munzee.com")</f>
        <v>www.munzee.com</v>
      </c>
      <c r="L590" s="47" t="str">
        <f>IFERROR(__xludf.DUMMYFUNCTION("""COMPUTED_VALUE"""),"m")</f>
        <v>m</v>
      </c>
      <c r="M590" s="47" t="str">
        <f>IFERROR(__xludf.DUMMYFUNCTION("""COMPUTED_VALUE"""),"FromTheTardis")</f>
        <v>FromTheTardis</v>
      </c>
    </row>
    <row r="591">
      <c r="A591" s="47" t="str">
        <f>IFERROR(__xludf.DUMMYFUNCTION("""COMPUTED_VALUE"""),"Virtual Brown")</f>
        <v>Virtual Brown</v>
      </c>
      <c r="B591" s="47" t="str">
        <f>IFERROR(__xludf.DUMMYFUNCTION("""COMPUTED_VALUE"""),"barefootguru")</f>
        <v>barefootguru</v>
      </c>
      <c r="C591" s="78" t="str">
        <f>IFERROR(__xludf.DUMMYFUNCTION("""COMPUTED_VALUE"""),"https://www.munzee.com/m/barefootguru/3158/")</f>
        <v>https://www.munzee.com/m/barefootguru/3158/</v>
      </c>
      <c r="D591" s="47"/>
      <c r="E591" s="47" t="b">
        <f>IFERROR(__xludf.DUMMYFUNCTION("""COMPUTED_VALUE"""),TRUE)</f>
        <v>1</v>
      </c>
      <c r="F591" s="47" t="str">
        <f>IFERROR(__xludf.DUMMYFUNCTION("""COMPUTED_VALUE"""),"")</f>
        <v/>
      </c>
      <c r="G591" s="47" t="str">
        <f>IFERROR(__xludf.DUMMYFUNCTION("""COMPUTED_VALUE"""),"")</f>
        <v/>
      </c>
      <c r="H591" s="47"/>
      <c r="I591" s="47">
        <f>IFERROR(__xludf.DUMMYFUNCTION("""COMPUTED_VALUE"""),2.0)</f>
        <v>2</v>
      </c>
      <c r="J591" s="47" t="str">
        <f>IFERROR(__xludf.DUMMYFUNCTION("""COMPUTED_VALUE"""),"https:")</f>
        <v>https:</v>
      </c>
      <c r="K591" s="78" t="str">
        <f>IFERROR(__xludf.DUMMYFUNCTION("""COMPUTED_VALUE"""),"www.munzee.com")</f>
        <v>www.munzee.com</v>
      </c>
      <c r="L591" s="47" t="str">
        <f>IFERROR(__xludf.DUMMYFUNCTION("""COMPUTED_VALUE"""),"m")</f>
        <v>m</v>
      </c>
      <c r="M591" s="47" t="str">
        <f>IFERROR(__xludf.DUMMYFUNCTION("""COMPUTED_VALUE"""),"barefootguru")</f>
        <v>barefootguru</v>
      </c>
    </row>
    <row r="592">
      <c r="A592" s="47" t="str">
        <f>IFERROR(__xludf.DUMMYFUNCTION("""COMPUTED_VALUE"""),"Virtual Raw Sienna")</f>
        <v>Virtual Raw Sienna</v>
      </c>
      <c r="B592" s="47" t="str">
        <f>IFERROR(__xludf.DUMMYFUNCTION("""COMPUTED_VALUE"""),"Wangotango")</f>
        <v>Wangotango</v>
      </c>
      <c r="C592" s="78" t="str">
        <f>IFERROR(__xludf.DUMMYFUNCTION("""COMPUTED_VALUE"""),"https://www.munzee.com/m/Wangotango/1284")</f>
        <v>https://www.munzee.com/m/Wangotango/1284</v>
      </c>
      <c r="D592" s="47"/>
      <c r="E592" s="47" t="b">
        <f>IFERROR(__xludf.DUMMYFUNCTION("""COMPUTED_VALUE"""),TRUE)</f>
        <v>1</v>
      </c>
      <c r="F592" s="47" t="str">
        <f>IFERROR(__xludf.DUMMYFUNCTION("""COMPUTED_VALUE"""),"")</f>
        <v/>
      </c>
      <c r="G592" s="47" t="str">
        <f>IFERROR(__xludf.DUMMYFUNCTION("""COMPUTED_VALUE"""),"")</f>
        <v/>
      </c>
      <c r="H592" s="47"/>
      <c r="I592" s="47">
        <f>IFERROR(__xludf.DUMMYFUNCTION("""COMPUTED_VALUE"""),2.0)</f>
        <v>2</v>
      </c>
      <c r="J592" s="47" t="str">
        <f>IFERROR(__xludf.DUMMYFUNCTION("""COMPUTED_VALUE"""),"https:")</f>
        <v>https:</v>
      </c>
      <c r="K592" s="78" t="str">
        <f>IFERROR(__xludf.DUMMYFUNCTION("""COMPUTED_VALUE"""),"www.munzee.com")</f>
        <v>www.munzee.com</v>
      </c>
      <c r="L592" s="47" t="str">
        <f>IFERROR(__xludf.DUMMYFUNCTION("""COMPUTED_VALUE"""),"m")</f>
        <v>m</v>
      </c>
      <c r="M592" s="47" t="str">
        <f>IFERROR(__xludf.DUMMYFUNCTION("""COMPUTED_VALUE"""),"Wangotango")</f>
        <v>Wangotango</v>
      </c>
    </row>
    <row r="593">
      <c r="A593" s="47" t="str">
        <f>IFERROR(__xludf.DUMMYFUNCTION("""COMPUTED_VALUE"""),"Virtual Brown")</f>
        <v>Virtual Brown</v>
      </c>
      <c r="B593" s="47" t="str">
        <f>IFERROR(__xludf.DUMMYFUNCTION("""COMPUTED_VALUE"""),"GroteSufferd")</f>
        <v>GroteSufferd</v>
      </c>
      <c r="C593" s="78" t="str">
        <f>IFERROR(__xludf.DUMMYFUNCTION("""COMPUTED_VALUE"""),"https://www.munzee.com/m/GroteSufferd/410/")</f>
        <v>https://www.munzee.com/m/GroteSufferd/410/</v>
      </c>
      <c r="D593" s="47"/>
      <c r="E593" s="47" t="b">
        <f>IFERROR(__xludf.DUMMYFUNCTION("""COMPUTED_VALUE"""),TRUE)</f>
        <v>1</v>
      </c>
      <c r="F593" s="47" t="str">
        <f>IFERROR(__xludf.DUMMYFUNCTION("""COMPUTED_VALUE"""),"")</f>
        <v/>
      </c>
      <c r="G593" s="47" t="str">
        <f>IFERROR(__xludf.DUMMYFUNCTION("""COMPUTED_VALUE"""),"")</f>
        <v/>
      </c>
      <c r="H593" s="47"/>
      <c r="I593" s="47">
        <f>IFERROR(__xludf.DUMMYFUNCTION("""COMPUTED_VALUE"""),2.0)</f>
        <v>2</v>
      </c>
      <c r="J593" s="47" t="str">
        <f>IFERROR(__xludf.DUMMYFUNCTION("""COMPUTED_VALUE"""),"https:")</f>
        <v>https:</v>
      </c>
      <c r="K593" s="78" t="str">
        <f>IFERROR(__xludf.DUMMYFUNCTION("""COMPUTED_VALUE"""),"www.munzee.com")</f>
        <v>www.munzee.com</v>
      </c>
      <c r="L593" s="47" t="str">
        <f>IFERROR(__xludf.DUMMYFUNCTION("""COMPUTED_VALUE"""),"m")</f>
        <v>m</v>
      </c>
      <c r="M593" s="47" t="str">
        <f>IFERROR(__xludf.DUMMYFUNCTION("""COMPUTED_VALUE"""),"GroteSufferd")</f>
        <v>GroteSufferd</v>
      </c>
    </row>
    <row r="594">
      <c r="A594" s="47" t="str">
        <f>IFERROR(__xludf.DUMMYFUNCTION("""COMPUTED_VALUE"""),"Virtual Brown")</f>
        <v>Virtual Brown</v>
      </c>
      <c r="B594" s="47" t="str">
        <f>IFERROR(__xludf.DUMMYFUNCTION("""COMPUTED_VALUE"""),"Anetzet")</f>
        <v>Anetzet</v>
      </c>
      <c r="C594" s="78" t="str">
        <f>IFERROR(__xludf.DUMMYFUNCTION("""COMPUTED_VALUE"""),"https://www.munzee.com/m/Anetzet/2923/")</f>
        <v>https://www.munzee.com/m/Anetzet/2923/</v>
      </c>
      <c r="D594" s="47"/>
      <c r="E594" s="47" t="b">
        <f>IFERROR(__xludf.DUMMYFUNCTION("""COMPUTED_VALUE"""),TRUE)</f>
        <v>1</v>
      </c>
      <c r="F594" s="47" t="str">
        <f>IFERROR(__xludf.DUMMYFUNCTION("""COMPUTED_VALUE"""),"")</f>
        <v/>
      </c>
      <c r="G594" s="47" t="str">
        <f>IFERROR(__xludf.DUMMYFUNCTION("""COMPUTED_VALUE"""),"")</f>
        <v/>
      </c>
      <c r="H594" s="47"/>
      <c r="I594" s="47">
        <f>IFERROR(__xludf.DUMMYFUNCTION("""COMPUTED_VALUE"""),2.0)</f>
        <v>2</v>
      </c>
      <c r="J594" s="47" t="str">
        <f>IFERROR(__xludf.DUMMYFUNCTION("""COMPUTED_VALUE"""),"https:")</f>
        <v>https:</v>
      </c>
      <c r="K594" s="78" t="str">
        <f>IFERROR(__xludf.DUMMYFUNCTION("""COMPUTED_VALUE"""),"www.munzee.com")</f>
        <v>www.munzee.com</v>
      </c>
      <c r="L594" s="47" t="str">
        <f>IFERROR(__xludf.DUMMYFUNCTION("""COMPUTED_VALUE"""),"m")</f>
        <v>m</v>
      </c>
      <c r="M594" s="47" t="str">
        <f>IFERROR(__xludf.DUMMYFUNCTION("""COMPUTED_VALUE"""),"Anetzet")</f>
        <v>Anetzet</v>
      </c>
    </row>
    <row r="595">
      <c r="A595" s="47" t="str">
        <f>IFERROR(__xludf.DUMMYFUNCTION("""COMPUTED_VALUE"""),"Virtual Brown")</f>
        <v>Virtual Brown</v>
      </c>
      <c r="B595" s="47" t="str">
        <f>IFERROR(__xludf.DUMMYFUNCTION("""COMPUTED_VALUE"""),"denali0407")</f>
        <v>denali0407</v>
      </c>
      <c r="C595" s="78" t="str">
        <f>IFERROR(__xludf.DUMMYFUNCTION("""COMPUTED_VALUE"""),"https://www.munzee.com/m/denali0407/14437/")</f>
        <v>https://www.munzee.com/m/denali0407/14437/</v>
      </c>
      <c r="D595" s="47"/>
      <c r="E595" s="47" t="b">
        <f>IFERROR(__xludf.DUMMYFUNCTION("""COMPUTED_VALUE"""),TRUE)</f>
        <v>1</v>
      </c>
      <c r="F595" s="47" t="str">
        <f>IFERROR(__xludf.DUMMYFUNCTION("""COMPUTED_VALUE"""),"")</f>
        <v/>
      </c>
      <c r="G595" s="47" t="str">
        <f>IFERROR(__xludf.DUMMYFUNCTION("""COMPUTED_VALUE"""),"")</f>
        <v/>
      </c>
      <c r="H595" s="47"/>
      <c r="I595" s="47">
        <f>IFERROR(__xludf.DUMMYFUNCTION("""COMPUTED_VALUE"""),2.0)</f>
        <v>2</v>
      </c>
      <c r="J595" s="47" t="str">
        <f>IFERROR(__xludf.DUMMYFUNCTION("""COMPUTED_VALUE"""),"https:")</f>
        <v>https:</v>
      </c>
      <c r="K595" s="78" t="str">
        <f>IFERROR(__xludf.DUMMYFUNCTION("""COMPUTED_VALUE"""),"www.munzee.com")</f>
        <v>www.munzee.com</v>
      </c>
      <c r="L595" s="47" t="str">
        <f>IFERROR(__xludf.DUMMYFUNCTION("""COMPUTED_VALUE"""),"m")</f>
        <v>m</v>
      </c>
      <c r="M595" s="47" t="str">
        <f>IFERROR(__xludf.DUMMYFUNCTION("""COMPUTED_VALUE"""),"denali0407")</f>
        <v>denali0407</v>
      </c>
    </row>
    <row r="596">
      <c r="A596" s="47" t="str">
        <f>IFERROR(__xludf.DUMMYFUNCTION("""COMPUTED_VALUE"""),"Virtual Raw Sienna")</f>
        <v>Virtual Raw Sienna</v>
      </c>
      <c r="B596" s="47" t="str">
        <f>IFERROR(__xludf.DUMMYFUNCTION("""COMPUTED_VALUE"""),"IggiePiggie")</f>
        <v>IggiePiggie</v>
      </c>
      <c r="C596" s="78" t="str">
        <f>IFERROR(__xludf.DUMMYFUNCTION("""COMPUTED_VALUE"""),"https://www.munzee.com/m/IggiePiggie/1971/")</f>
        <v>https://www.munzee.com/m/IggiePiggie/1971/</v>
      </c>
      <c r="D596" s="47"/>
      <c r="E596" s="47" t="b">
        <f>IFERROR(__xludf.DUMMYFUNCTION("""COMPUTED_VALUE"""),TRUE)</f>
        <v>1</v>
      </c>
      <c r="F596" s="47" t="str">
        <f>IFERROR(__xludf.DUMMYFUNCTION("""COMPUTED_VALUE"""),"")</f>
        <v/>
      </c>
      <c r="G596" s="47" t="str">
        <f>IFERROR(__xludf.DUMMYFUNCTION("""COMPUTED_VALUE"""),"")</f>
        <v/>
      </c>
      <c r="H596" s="47"/>
      <c r="I596" s="47">
        <f>IFERROR(__xludf.DUMMYFUNCTION("""COMPUTED_VALUE"""),2.0)</f>
        <v>2</v>
      </c>
      <c r="J596" s="47" t="str">
        <f>IFERROR(__xludf.DUMMYFUNCTION("""COMPUTED_VALUE"""),"https:")</f>
        <v>https:</v>
      </c>
      <c r="K596" s="78" t="str">
        <f>IFERROR(__xludf.DUMMYFUNCTION("""COMPUTED_VALUE"""),"www.munzee.com")</f>
        <v>www.munzee.com</v>
      </c>
      <c r="L596" s="47" t="str">
        <f>IFERROR(__xludf.DUMMYFUNCTION("""COMPUTED_VALUE"""),"m")</f>
        <v>m</v>
      </c>
      <c r="M596" s="47" t="str">
        <f>IFERROR(__xludf.DUMMYFUNCTION("""COMPUTED_VALUE"""),"IggiePiggie")</f>
        <v>IggiePiggie</v>
      </c>
    </row>
    <row r="597">
      <c r="A597" s="47" t="str">
        <f>IFERROR(__xludf.DUMMYFUNCTION("""COMPUTED_VALUE"""),"Virtual Brown")</f>
        <v>Virtual Brown</v>
      </c>
      <c r="B597" s="47" t="str">
        <f>IFERROR(__xludf.DUMMYFUNCTION("""COMPUTED_VALUE"""),"FlatBlack")</f>
        <v>FlatBlack</v>
      </c>
      <c r="C597" s="78" t="str">
        <f>IFERROR(__xludf.DUMMYFUNCTION("""COMPUTED_VALUE"""),"https://www.munzee.com/m/FlatBlack/689")</f>
        <v>https://www.munzee.com/m/FlatBlack/689</v>
      </c>
      <c r="D597" s="47"/>
      <c r="E597" s="47" t="b">
        <f>IFERROR(__xludf.DUMMYFUNCTION("""COMPUTED_VALUE"""),TRUE)</f>
        <v>1</v>
      </c>
      <c r="F597" s="47" t="str">
        <f>IFERROR(__xludf.DUMMYFUNCTION("""COMPUTED_VALUE"""),"")</f>
        <v/>
      </c>
      <c r="G597" s="47" t="str">
        <f>IFERROR(__xludf.DUMMYFUNCTION("""COMPUTED_VALUE"""),"")</f>
        <v/>
      </c>
      <c r="H597" s="47"/>
      <c r="I597" s="47">
        <f>IFERROR(__xludf.DUMMYFUNCTION("""COMPUTED_VALUE"""),2.0)</f>
        <v>2</v>
      </c>
      <c r="J597" s="47" t="str">
        <f>IFERROR(__xludf.DUMMYFUNCTION("""COMPUTED_VALUE"""),"https:")</f>
        <v>https:</v>
      </c>
      <c r="K597" s="78" t="str">
        <f>IFERROR(__xludf.DUMMYFUNCTION("""COMPUTED_VALUE"""),"www.munzee.com")</f>
        <v>www.munzee.com</v>
      </c>
      <c r="L597" s="47" t="str">
        <f>IFERROR(__xludf.DUMMYFUNCTION("""COMPUTED_VALUE"""),"m")</f>
        <v>m</v>
      </c>
      <c r="M597" s="47" t="str">
        <f>IFERROR(__xludf.DUMMYFUNCTION("""COMPUTED_VALUE"""),"FlatBlack")</f>
        <v>FlatBlack</v>
      </c>
    </row>
    <row r="598">
      <c r="A598" s="47" t="str">
        <f>IFERROR(__xludf.DUMMYFUNCTION("""COMPUTED_VALUE"""),"Virtual Brown")</f>
        <v>Virtual Brown</v>
      </c>
      <c r="B598" s="47" t="str">
        <f>IFERROR(__xludf.DUMMYFUNCTION("""COMPUTED_VALUE"""),"Derlame ")</f>
        <v>Derlame </v>
      </c>
      <c r="C598" s="78" t="str">
        <f>IFERROR(__xludf.DUMMYFUNCTION("""COMPUTED_VALUE"""),"https://www.munzee.com/m/Derlame/12561/")</f>
        <v>https://www.munzee.com/m/Derlame/12561/</v>
      </c>
      <c r="D598" s="47"/>
      <c r="E598" s="47" t="b">
        <f>IFERROR(__xludf.DUMMYFUNCTION("""COMPUTED_VALUE"""),TRUE)</f>
        <v>1</v>
      </c>
      <c r="F598" s="47" t="str">
        <f>IFERROR(__xludf.DUMMYFUNCTION("""COMPUTED_VALUE"""),"")</f>
        <v/>
      </c>
      <c r="G598" s="47" t="str">
        <f>IFERROR(__xludf.DUMMYFUNCTION("""COMPUTED_VALUE"""),"")</f>
        <v/>
      </c>
      <c r="H598" s="47"/>
      <c r="I598" s="47">
        <f>IFERROR(__xludf.DUMMYFUNCTION("""COMPUTED_VALUE"""),2.0)</f>
        <v>2</v>
      </c>
      <c r="J598" s="47" t="str">
        <f>IFERROR(__xludf.DUMMYFUNCTION("""COMPUTED_VALUE"""),"https:")</f>
        <v>https:</v>
      </c>
      <c r="K598" s="78" t="str">
        <f>IFERROR(__xludf.DUMMYFUNCTION("""COMPUTED_VALUE"""),"www.munzee.com")</f>
        <v>www.munzee.com</v>
      </c>
      <c r="L598" s="47" t="str">
        <f>IFERROR(__xludf.DUMMYFUNCTION("""COMPUTED_VALUE"""),"m")</f>
        <v>m</v>
      </c>
      <c r="M598" s="47" t="str">
        <f>IFERROR(__xludf.DUMMYFUNCTION("""COMPUTED_VALUE"""),"Derlame")</f>
        <v>Derlame</v>
      </c>
    </row>
    <row r="599">
      <c r="A599" s="47" t="str">
        <f>IFERROR(__xludf.DUMMYFUNCTION("""COMPUTED_VALUE"""),"Virtual Raw Sienna")</f>
        <v>Virtual Raw Sienna</v>
      </c>
      <c r="B599" s="47" t="str">
        <f>IFERROR(__xludf.DUMMYFUNCTION("""COMPUTED_VALUE"""),"5star")</f>
        <v>5star</v>
      </c>
      <c r="C599" s="78" t="str">
        <f>IFERROR(__xludf.DUMMYFUNCTION("""COMPUTED_VALUE"""),"https://www.munzee.com/m/5Star/4693/")</f>
        <v>https://www.munzee.com/m/5Star/4693/</v>
      </c>
      <c r="D599" s="47"/>
      <c r="E599" s="47" t="b">
        <f>IFERROR(__xludf.DUMMYFUNCTION("""COMPUTED_VALUE"""),TRUE)</f>
        <v>1</v>
      </c>
      <c r="F599" s="47" t="str">
        <f>IFERROR(__xludf.DUMMYFUNCTION("""COMPUTED_VALUE"""),"")</f>
        <v/>
      </c>
      <c r="G599" s="47" t="str">
        <f>IFERROR(__xludf.DUMMYFUNCTION("""COMPUTED_VALUE"""),"")</f>
        <v/>
      </c>
      <c r="H599" s="47"/>
      <c r="I599" s="47">
        <f>IFERROR(__xludf.DUMMYFUNCTION("""COMPUTED_VALUE"""),2.0)</f>
        <v>2</v>
      </c>
      <c r="J599" s="47" t="str">
        <f>IFERROR(__xludf.DUMMYFUNCTION("""COMPUTED_VALUE"""),"https:")</f>
        <v>https:</v>
      </c>
      <c r="K599" s="78" t="str">
        <f>IFERROR(__xludf.DUMMYFUNCTION("""COMPUTED_VALUE"""),"www.munzee.com")</f>
        <v>www.munzee.com</v>
      </c>
      <c r="L599" s="47" t="str">
        <f>IFERROR(__xludf.DUMMYFUNCTION("""COMPUTED_VALUE"""),"m")</f>
        <v>m</v>
      </c>
      <c r="M599" s="47" t="str">
        <f>IFERROR(__xludf.DUMMYFUNCTION("""COMPUTED_VALUE"""),"5Star")</f>
        <v>5Star</v>
      </c>
    </row>
    <row r="600">
      <c r="A600" s="47" t="str">
        <f>IFERROR(__xludf.DUMMYFUNCTION("""COMPUTED_VALUE"""),"Virtual Brown")</f>
        <v>Virtual Brown</v>
      </c>
      <c r="B600" s="47" t="str">
        <f>IFERROR(__xludf.DUMMYFUNCTION("""COMPUTED_VALUE"""),"cbf600")</f>
        <v>cbf600</v>
      </c>
      <c r="C600" s="78" t="str">
        <f>IFERROR(__xludf.DUMMYFUNCTION("""COMPUTED_VALUE"""),"https://www.munzee.com/m/cbf600/2437/")</f>
        <v>https://www.munzee.com/m/cbf600/2437/</v>
      </c>
      <c r="D600" s="47"/>
      <c r="E600" s="47" t="b">
        <f>IFERROR(__xludf.DUMMYFUNCTION("""COMPUTED_VALUE"""),TRUE)</f>
        <v>1</v>
      </c>
      <c r="F600" s="47" t="str">
        <f>IFERROR(__xludf.DUMMYFUNCTION("""COMPUTED_VALUE"""),"")</f>
        <v/>
      </c>
      <c r="G600" s="47" t="str">
        <f>IFERROR(__xludf.DUMMYFUNCTION("""COMPUTED_VALUE"""),"")</f>
        <v/>
      </c>
      <c r="H600" s="47"/>
      <c r="I600" s="47">
        <f>IFERROR(__xludf.DUMMYFUNCTION("""COMPUTED_VALUE"""),2.0)</f>
        <v>2</v>
      </c>
      <c r="J600" s="47" t="str">
        <f>IFERROR(__xludf.DUMMYFUNCTION("""COMPUTED_VALUE"""),"https:")</f>
        <v>https:</v>
      </c>
      <c r="K600" s="78" t="str">
        <f>IFERROR(__xludf.DUMMYFUNCTION("""COMPUTED_VALUE"""),"www.munzee.com")</f>
        <v>www.munzee.com</v>
      </c>
      <c r="L600" s="47" t="str">
        <f>IFERROR(__xludf.DUMMYFUNCTION("""COMPUTED_VALUE"""),"m")</f>
        <v>m</v>
      </c>
      <c r="M600" s="47" t="str">
        <f>IFERROR(__xludf.DUMMYFUNCTION("""COMPUTED_VALUE"""),"cbf600")</f>
        <v>cbf600</v>
      </c>
    </row>
    <row r="601">
      <c r="A601" s="47" t="str">
        <f>IFERROR(__xludf.DUMMYFUNCTION("""COMPUTED_VALUE"""),"Virtual Raw Sienna")</f>
        <v>Virtual Raw Sienna</v>
      </c>
      <c r="B601" s="47" t="str">
        <f>IFERROR(__xludf.DUMMYFUNCTION("""COMPUTED_VALUE"""),"BrotherWilliam")</f>
        <v>BrotherWilliam</v>
      </c>
      <c r="C601" s="78" t="str">
        <f>IFERROR(__xludf.DUMMYFUNCTION("""COMPUTED_VALUE"""),"https://www.munzee.com/m/BrotherWilliam/4092/")</f>
        <v>https://www.munzee.com/m/BrotherWilliam/4092/</v>
      </c>
      <c r="D601" s="47"/>
      <c r="E601" s="47" t="b">
        <f>IFERROR(__xludf.DUMMYFUNCTION("""COMPUTED_VALUE"""),TRUE)</f>
        <v>1</v>
      </c>
      <c r="F601" s="47" t="str">
        <f>IFERROR(__xludf.DUMMYFUNCTION("""COMPUTED_VALUE"""),"")</f>
        <v/>
      </c>
      <c r="G601" s="47" t="str">
        <f>IFERROR(__xludf.DUMMYFUNCTION("""COMPUTED_VALUE"""),"")</f>
        <v/>
      </c>
      <c r="H601" s="47"/>
      <c r="I601" s="47">
        <f>IFERROR(__xludf.DUMMYFUNCTION("""COMPUTED_VALUE"""),2.0)</f>
        <v>2</v>
      </c>
      <c r="J601" s="47" t="str">
        <f>IFERROR(__xludf.DUMMYFUNCTION("""COMPUTED_VALUE"""),"https:")</f>
        <v>https:</v>
      </c>
      <c r="K601" s="78" t="str">
        <f>IFERROR(__xludf.DUMMYFUNCTION("""COMPUTED_VALUE"""),"www.munzee.com")</f>
        <v>www.munzee.com</v>
      </c>
      <c r="L601" s="47" t="str">
        <f>IFERROR(__xludf.DUMMYFUNCTION("""COMPUTED_VALUE"""),"m")</f>
        <v>m</v>
      </c>
      <c r="M601" s="47" t="str">
        <f>IFERROR(__xludf.DUMMYFUNCTION("""COMPUTED_VALUE"""),"BrotherWilliam")</f>
        <v>BrotherWilliam</v>
      </c>
    </row>
    <row r="602">
      <c r="A602" s="47" t="str">
        <f>IFERROR(__xludf.DUMMYFUNCTION("""COMPUTED_VALUE"""),"Virtual Brown")</f>
        <v>Virtual Brown</v>
      </c>
      <c r="B602" s="47" t="str">
        <f>IFERROR(__xludf.DUMMYFUNCTION("""COMPUTED_VALUE"""),"TeamSarton ")</f>
        <v>TeamSarton </v>
      </c>
      <c r="C602" s="78" t="str">
        <f>IFERROR(__xludf.DUMMYFUNCTION("""COMPUTED_VALUE"""),"https://www.munzee.com/m/TeamSarton/1208")</f>
        <v>https://www.munzee.com/m/TeamSarton/1208</v>
      </c>
      <c r="D602" s="47"/>
      <c r="E602" s="47" t="b">
        <f>IFERROR(__xludf.DUMMYFUNCTION("""COMPUTED_VALUE"""),TRUE)</f>
        <v>1</v>
      </c>
      <c r="F602" s="47" t="str">
        <f>IFERROR(__xludf.DUMMYFUNCTION("""COMPUTED_VALUE"""),"")</f>
        <v/>
      </c>
      <c r="G602" s="47" t="str">
        <f>IFERROR(__xludf.DUMMYFUNCTION("""COMPUTED_VALUE"""),"")</f>
        <v/>
      </c>
      <c r="H602" s="47"/>
      <c r="I602" s="47">
        <f>IFERROR(__xludf.DUMMYFUNCTION("""COMPUTED_VALUE"""),2.0)</f>
        <v>2</v>
      </c>
      <c r="J602" s="47" t="str">
        <f>IFERROR(__xludf.DUMMYFUNCTION("""COMPUTED_VALUE"""),"https:")</f>
        <v>https:</v>
      </c>
      <c r="K602" s="78" t="str">
        <f>IFERROR(__xludf.DUMMYFUNCTION("""COMPUTED_VALUE"""),"www.munzee.com")</f>
        <v>www.munzee.com</v>
      </c>
      <c r="L602" s="47" t="str">
        <f>IFERROR(__xludf.DUMMYFUNCTION("""COMPUTED_VALUE"""),"m")</f>
        <v>m</v>
      </c>
      <c r="M602" s="47" t="str">
        <f>IFERROR(__xludf.DUMMYFUNCTION("""COMPUTED_VALUE"""),"TeamSarton")</f>
        <v>TeamSarton</v>
      </c>
    </row>
    <row r="603">
      <c r="A603" s="47" t="str">
        <f>IFERROR(__xludf.DUMMYFUNCTION("""COMPUTED_VALUE"""),"Virtual Brown")</f>
        <v>Virtual Brown</v>
      </c>
      <c r="B603" s="47" t="str">
        <f>IFERROR(__xludf.DUMMYFUNCTION("""COMPUTED_VALUE"""),"BartWullems")</f>
        <v>BartWullems</v>
      </c>
      <c r="C603" s="78" t="str">
        <f>IFERROR(__xludf.DUMMYFUNCTION("""COMPUTED_VALUE"""),"https://www.munzee.com/m/BartWullems/5604")</f>
        <v>https://www.munzee.com/m/BartWullems/5604</v>
      </c>
      <c r="D603" s="47"/>
      <c r="E603" s="47" t="b">
        <f>IFERROR(__xludf.DUMMYFUNCTION("""COMPUTED_VALUE"""),TRUE)</f>
        <v>1</v>
      </c>
      <c r="F603" s="47" t="str">
        <f>IFERROR(__xludf.DUMMYFUNCTION("""COMPUTED_VALUE"""),"")</f>
        <v/>
      </c>
      <c r="G603" s="47" t="str">
        <f>IFERROR(__xludf.DUMMYFUNCTION("""COMPUTED_VALUE"""),"")</f>
        <v/>
      </c>
      <c r="H603" s="47"/>
      <c r="I603" s="47">
        <f>IFERROR(__xludf.DUMMYFUNCTION("""COMPUTED_VALUE"""),2.0)</f>
        <v>2</v>
      </c>
      <c r="J603" s="47" t="str">
        <f>IFERROR(__xludf.DUMMYFUNCTION("""COMPUTED_VALUE"""),"https:")</f>
        <v>https:</v>
      </c>
      <c r="K603" s="78" t="str">
        <f>IFERROR(__xludf.DUMMYFUNCTION("""COMPUTED_VALUE"""),"www.munzee.com")</f>
        <v>www.munzee.com</v>
      </c>
      <c r="L603" s="47" t="str">
        <f>IFERROR(__xludf.DUMMYFUNCTION("""COMPUTED_VALUE"""),"m")</f>
        <v>m</v>
      </c>
      <c r="M603" s="47" t="str">
        <f>IFERROR(__xludf.DUMMYFUNCTION("""COMPUTED_VALUE"""),"BartWullems")</f>
        <v>BartWullems</v>
      </c>
    </row>
    <row r="604">
      <c r="A604" s="47" t="str">
        <f>IFERROR(__xludf.DUMMYFUNCTION("""COMPUTED_VALUE"""),"Virtual Brown")</f>
        <v>Virtual Brown</v>
      </c>
      <c r="B604" s="47" t="str">
        <f>IFERROR(__xludf.DUMMYFUNCTION("""COMPUTED_VALUE"""),"raftjen")</f>
        <v>raftjen</v>
      </c>
      <c r="C604" s="78" t="str">
        <f>IFERROR(__xludf.DUMMYFUNCTION("""COMPUTED_VALUE"""),"https://www.munzee.com/m/raftjen/2345")</f>
        <v>https://www.munzee.com/m/raftjen/2345</v>
      </c>
      <c r="D604" s="47"/>
      <c r="E604" s="47" t="b">
        <f>IFERROR(__xludf.DUMMYFUNCTION("""COMPUTED_VALUE"""),TRUE)</f>
        <v>1</v>
      </c>
      <c r="F604" s="47" t="str">
        <f>IFERROR(__xludf.DUMMYFUNCTION("""COMPUTED_VALUE"""),"")</f>
        <v/>
      </c>
      <c r="G604" s="47" t="str">
        <f>IFERROR(__xludf.DUMMYFUNCTION("""COMPUTED_VALUE"""),"")</f>
        <v/>
      </c>
      <c r="H604" s="47"/>
      <c r="I604" s="47">
        <f>IFERROR(__xludf.DUMMYFUNCTION("""COMPUTED_VALUE"""),2.0)</f>
        <v>2</v>
      </c>
      <c r="J604" s="47" t="str">
        <f>IFERROR(__xludf.DUMMYFUNCTION("""COMPUTED_VALUE"""),"https:")</f>
        <v>https:</v>
      </c>
      <c r="K604" s="78" t="str">
        <f>IFERROR(__xludf.DUMMYFUNCTION("""COMPUTED_VALUE"""),"www.munzee.com")</f>
        <v>www.munzee.com</v>
      </c>
      <c r="L604" s="47" t="str">
        <f>IFERROR(__xludf.DUMMYFUNCTION("""COMPUTED_VALUE"""),"m")</f>
        <v>m</v>
      </c>
      <c r="M604" s="47" t="str">
        <f>IFERROR(__xludf.DUMMYFUNCTION("""COMPUTED_VALUE"""),"raftjen")</f>
        <v>raftjen</v>
      </c>
    </row>
    <row r="605">
      <c r="A605" s="47" t="str">
        <f>IFERROR(__xludf.DUMMYFUNCTION("""COMPUTED_VALUE"""),"Virtual Brown")</f>
        <v>Virtual Brown</v>
      </c>
      <c r="B605" s="47" t="str">
        <f>IFERROR(__xludf.DUMMYFUNCTION("""COMPUTED_VALUE"""),"TheFatCats")</f>
        <v>TheFatCats</v>
      </c>
      <c r="C605" s="78" t="str">
        <f>IFERROR(__xludf.DUMMYFUNCTION("""COMPUTED_VALUE"""),"https://www.munzee.com/m/TheFatCats/3895/")</f>
        <v>https://www.munzee.com/m/TheFatCats/3895/</v>
      </c>
      <c r="D605" s="47"/>
      <c r="E605" s="47" t="b">
        <f>IFERROR(__xludf.DUMMYFUNCTION("""COMPUTED_VALUE"""),TRUE)</f>
        <v>1</v>
      </c>
      <c r="F605" s="47" t="str">
        <f>IFERROR(__xludf.DUMMYFUNCTION("""COMPUTED_VALUE"""),"")</f>
        <v/>
      </c>
      <c r="G605" s="47" t="str">
        <f>IFERROR(__xludf.DUMMYFUNCTION("""COMPUTED_VALUE"""),"")</f>
        <v/>
      </c>
      <c r="H605" s="47"/>
      <c r="I605" s="47">
        <f>IFERROR(__xludf.DUMMYFUNCTION("""COMPUTED_VALUE"""),2.0)</f>
        <v>2</v>
      </c>
      <c r="J605" s="47" t="str">
        <f>IFERROR(__xludf.DUMMYFUNCTION("""COMPUTED_VALUE"""),"https:")</f>
        <v>https:</v>
      </c>
      <c r="K605" s="78" t="str">
        <f>IFERROR(__xludf.DUMMYFUNCTION("""COMPUTED_VALUE"""),"www.munzee.com")</f>
        <v>www.munzee.com</v>
      </c>
      <c r="L605" s="47" t="str">
        <f>IFERROR(__xludf.DUMMYFUNCTION("""COMPUTED_VALUE"""),"m")</f>
        <v>m</v>
      </c>
      <c r="M605" s="47" t="str">
        <f>IFERROR(__xludf.DUMMYFUNCTION("""COMPUTED_VALUE"""),"TheFatCats")</f>
        <v>TheFatCats</v>
      </c>
    </row>
    <row r="606">
      <c r="A606" s="47" t="str">
        <f>IFERROR(__xludf.DUMMYFUNCTION("""COMPUTED_VALUE"""),"Virtual Brown")</f>
        <v>Virtual Brown</v>
      </c>
      <c r="B606" s="47" t="str">
        <f>IFERROR(__xludf.DUMMYFUNCTION("""COMPUTED_VALUE"""),"Fossillady")</f>
        <v>Fossillady</v>
      </c>
      <c r="C606" s="78" t="str">
        <f>IFERROR(__xludf.DUMMYFUNCTION("""COMPUTED_VALUE"""),"https://www.munzee.com/m/Fossillady/3417")</f>
        <v>https://www.munzee.com/m/Fossillady/3417</v>
      </c>
      <c r="D606" s="47"/>
      <c r="E606" s="47" t="b">
        <f>IFERROR(__xludf.DUMMYFUNCTION("""COMPUTED_VALUE"""),TRUE)</f>
        <v>1</v>
      </c>
      <c r="F606" s="47" t="str">
        <f>IFERROR(__xludf.DUMMYFUNCTION("""COMPUTED_VALUE"""),"")</f>
        <v/>
      </c>
      <c r="G606" s="47" t="str">
        <f>IFERROR(__xludf.DUMMYFUNCTION("""COMPUTED_VALUE"""),"")</f>
        <v/>
      </c>
      <c r="H606" s="47"/>
      <c r="I606" s="47">
        <f>IFERROR(__xludf.DUMMYFUNCTION("""COMPUTED_VALUE"""),2.0)</f>
        <v>2</v>
      </c>
      <c r="J606" s="47" t="str">
        <f>IFERROR(__xludf.DUMMYFUNCTION("""COMPUTED_VALUE"""),"https:")</f>
        <v>https:</v>
      </c>
      <c r="K606" s="78" t="str">
        <f>IFERROR(__xludf.DUMMYFUNCTION("""COMPUTED_VALUE"""),"www.munzee.com")</f>
        <v>www.munzee.com</v>
      </c>
      <c r="L606" s="47" t="str">
        <f>IFERROR(__xludf.DUMMYFUNCTION("""COMPUTED_VALUE"""),"m")</f>
        <v>m</v>
      </c>
      <c r="M606" s="47" t="str">
        <f>IFERROR(__xludf.DUMMYFUNCTION("""COMPUTED_VALUE"""),"Fossillady")</f>
        <v>Fossillady</v>
      </c>
    </row>
    <row r="607">
      <c r="A607" s="47" t="str">
        <f>IFERROR(__xludf.DUMMYFUNCTION("""COMPUTED_VALUE"""),"Virtual Brown")</f>
        <v>Virtual Brown</v>
      </c>
      <c r="B607" s="47" t="str">
        <f>IFERROR(__xludf.DUMMYFUNCTION("""COMPUTED_VALUE"""),"Bisquick2")</f>
        <v>Bisquick2</v>
      </c>
      <c r="C607" s="78" t="str">
        <f>IFERROR(__xludf.DUMMYFUNCTION("""COMPUTED_VALUE"""),"https://www.munzee.com/m/Bisquick2/4558/")</f>
        <v>https://www.munzee.com/m/Bisquick2/4558/</v>
      </c>
      <c r="D607" s="47"/>
      <c r="E607" s="47" t="b">
        <f>IFERROR(__xludf.DUMMYFUNCTION("""COMPUTED_VALUE"""),TRUE)</f>
        <v>1</v>
      </c>
      <c r="F607" s="47" t="str">
        <f>IFERROR(__xludf.DUMMYFUNCTION("""COMPUTED_VALUE"""),"")</f>
        <v/>
      </c>
      <c r="G607" s="47" t="str">
        <f>IFERROR(__xludf.DUMMYFUNCTION("""COMPUTED_VALUE"""),"")</f>
        <v/>
      </c>
      <c r="H607" s="47"/>
      <c r="I607" s="47">
        <f>IFERROR(__xludf.DUMMYFUNCTION("""COMPUTED_VALUE"""),2.0)</f>
        <v>2</v>
      </c>
      <c r="J607" s="47" t="str">
        <f>IFERROR(__xludf.DUMMYFUNCTION("""COMPUTED_VALUE"""),"https:")</f>
        <v>https:</v>
      </c>
      <c r="K607" s="78" t="str">
        <f>IFERROR(__xludf.DUMMYFUNCTION("""COMPUTED_VALUE"""),"www.munzee.com")</f>
        <v>www.munzee.com</v>
      </c>
      <c r="L607" s="47" t="str">
        <f>IFERROR(__xludf.DUMMYFUNCTION("""COMPUTED_VALUE"""),"m")</f>
        <v>m</v>
      </c>
      <c r="M607" s="47" t="str">
        <f>IFERROR(__xludf.DUMMYFUNCTION("""COMPUTED_VALUE"""),"Bisquick2")</f>
        <v>Bisquick2</v>
      </c>
    </row>
    <row r="608">
      <c r="A608" s="47" t="str">
        <f>IFERROR(__xludf.DUMMYFUNCTION("""COMPUTED_VALUE"""),"Virtual Brown")</f>
        <v>Virtual Brown</v>
      </c>
      <c r="B608" s="47" t="str">
        <f>IFERROR(__xludf.DUMMYFUNCTION("""COMPUTED_VALUE"""),"ArtofEco ")</f>
        <v>ArtofEco </v>
      </c>
      <c r="C608" s="78" t="str">
        <f>IFERROR(__xludf.DUMMYFUNCTION("""COMPUTED_VALUE"""),"https://www.munzee.com/m/ArtofEco/3052/")</f>
        <v>https://www.munzee.com/m/ArtofEco/3052/</v>
      </c>
      <c r="D608" s="47"/>
      <c r="E608" s="47" t="b">
        <f>IFERROR(__xludf.DUMMYFUNCTION("""COMPUTED_VALUE"""),TRUE)</f>
        <v>1</v>
      </c>
      <c r="F608" s="47" t="str">
        <f>IFERROR(__xludf.DUMMYFUNCTION("""COMPUTED_VALUE"""),"")</f>
        <v/>
      </c>
      <c r="G608" s="47" t="str">
        <f>IFERROR(__xludf.DUMMYFUNCTION("""COMPUTED_VALUE"""),"")</f>
        <v/>
      </c>
      <c r="H608" s="47"/>
      <c r="I608" s="47">
        <f>IFERROR(__xludf.DUMMYFUNCTION("""COMPUTED_VALUE"""),2.0)</f>
        <v>2</v>
      </c>
      <c r="J608" s="47" t="str">
        <f>IFERROR(__xludf.DUMMYFUNCTION("""COMPUTED_VALUE"""),"https:")</f>
        <v>https:</v>
      </c>
      <c r="K608" s="78" t="str">
        <f>IFERROR(__xludf.DUMMYFUNCTION("""COMPUTED_VALUE"""),"www.munzee.com")</f>
        <v>www.munzee.com</v>
      </c>
      <c r="L608" s="47" t="str">
        <f>IFERROR(__xludf.DUMMYFUNCTION("""COMPUTED_VALUE"""),"m")</f>
        <v>m</v>
      </c>
      <c r="M608" s="47" t="str">
        <f>IFERROR(__xludf.DUMMYFUNCTION("""COMPUTED_VALUE"""),"ArtofEco")</f>
        <v>ArtofEco</v>
      </c>
    </row>
    <row r="609">
      <c r="A609" s="47" t="str">
        <f>IFERROR(__xludf.DUMMYFUNCTION("""COMPUTED_VALUE"""),"Virtual Raw Sienna")</f>
        <v>Virtual Raw Sienna</v>
      </c>
      <c r="B609" s="47" t="str">
        <f>IFERROR(__xludf.DUMMYFUNCTION("""COMPUTED_VALUE"""),"dazzaf")</f>
        <v>dazzaf</v>
      </c>
      <c r="C609" s="78" t="str">
        <f>IFERROR(__xludf.DUMMYFUNCTION("""COMPUTED_VALUE"""),"https://www.munzee.com/m/Dazzaf/4168/")</f>
        <v>https://www.munzee.com/m/Dazzaf/4168/</v>
      </c>
      <c r="D609" s="47"/>
      <c r="E609" s="47" t="b">
        <f>IFERROR(__xludf.DUMMYFUNCTION("""COMPUTED_VALUE"""),TRUE)</f>
        <v>1</v>
      </c>
      <c r="F609" s="47" t="str">
        <f>IFERROR(__xludf.DUMMYFUNCTION("""COMPUTED_VALUE"""),"")</f>
        <v/>
      </c>
      <c r="G609" s="47" t="str">
        <f>IFERROR(__xludf.DUMMYFUNCTION("""COMPUTED_VALUE"""),"")</f>
        <v/>
      </c>
      <c r="H609" s="47"/>
      <c r="I609" s="47">
        <f>IFERROR(__xludf.DUMMYFUNCTION("""COMPUTED_VALUE"""),2.0)</f>
        <v>2</v>
      </c>
      <c r="J609" s="47" t="str">
        <f>IFERROR(__xludf.DUMMYFUNCTION("""COMPUTED_VALUE"""),"https:")</f>
        <v>https:</v>
      </c>
      <c r="K609" s="78" t="str">
        <f>IFERROR(__xludf.DUMMYFUNCTION("""COMPUTED_VALUE"""),"www.munzee.com")</f>
        <v>www.munzee.com</v>
      </c>
      <c r="L609" s="47" t="str">
        <f>IFERROR(__xludf.DUMMYFUNCTION("""COMPUTED_VALUE"""),"m")</f>
        <v>m</v>
      </c>
      <c r="M609" s="47" t="str">
        <f>IFERROR(__xludf.DUMMYFUNCTION("""COMPUTED_VALUE"""),"Dazzaf")</f>
        <v>Dazzaf</v>
      </c>
    </row>
    <row r="610">
      <c r="A610" s="47" t="str">
        <f>IFERROR(__xludf.DUMMYFUNCTION("""COMPUTED_VALUE"""),"Virtual Brown")</f>
        <v>Virtual Brown</v>
      </c>
      <c r="B610" s="47" t="str">
        <f>IFERROR(__xludf.DUMMYFUNCTION("""COMPUTED_VALUE"""),"Amadoreugen")</f>
        <v>Amadoreugen</v>
      </c>
      <c r="C610" s="78" t="str">
        <f>IFERROR(__xludf.DUMMYFUNCTION("""COMPUTED_VALUE"""),"https://www.munzee.com/m/amadoreugen/5763")</f>
        <v>https://www.munzee.com/m/amadoreugen/5763</v>
      </c>
      <c r="D610" s="47"/>
      <c r="E610" s="47" t="b">
        <f>IFERROR(__xludf.DUMMYFUNCTION("""COMPUTED_VALUE"""),TRUE)</f>
        <v>1</v>
      </c>
      <c r="F610" s="47" t="str">
        <f>IFERROR(__xludf.DUMMYFUNCTION("""COMPUTED_VALUE"""),"")</f>
        <v/>
      </c>
      <c r="G610" s="47" t="str">
        <f>IFERROR(__xludf.DUMMYFUNCTION("""COMPUTED_VALUE"""),"")</f>
        <v/>
      </c>
      <c r="H610" s="47"/>
      <c r="I610" s="47">
        <f>IFERROR(__xludf.DUMMYFUNCTION("""COMPUTED_VALUE"""),2.0)</f>
        <v>2</v>
      </c>
      <c r="J610" s="47" t="str">
        <f>IFERROR(__xludf.DUMMYFUNCTION("""COMPUTED_VALUE"""),"https:")</f>
        <v>https:</v>
      </c>
      <c r="K610" s="78" t="str">
        <f>IFERROR(__xludf.DUMMYFUNCTION("""COMPUTED_VALUE"""),"www.munzee.com")</f>
        <v>www.munzee.com</v>
      </c>
      <c r="L610" s="47" t="str">
        <f>IFERROR(__xludf.DUMMYFUNCTION("""COMPUTED_VALUE"""),"m")</f>
        <v>m</v>
      </c>
      <c r="M610" s="47" t="str">
        <f>IFERROR(__xludf.DUMMYFUNCTION("""COMPUTED_VALUE"""),"amadoreugen")</f>
        <v>amadoreugen</v>
      </c>
    </row>
    <row r="611">
      <c r="A611" s="47" t="str">
        <f>IFERROR(__xludf.DUMMYFUNCTION("""COMPUTED_VALUE"""),"Virtual Brown")</f>
        <v>Virtual Brown</v>
      </c>
      <c r="B611" s="47" t="str">
        <f>IFERROR(__xludf.DUMMYFUNCTION("""COMPUTED_VALUE"""),"ArtofEco ")</f>
        <v>ArtofEco </v>
      </c>
      <c r="C611" s="78" t="str">
        <f>IFERROR(__xludf.DUMMYFUNCTION("""COMPUTED_VALUE"""),"https://www.munzee.com/m/ArtofEco/3009/")</f>
        <v>https://www.munzee.com/m/ArtofEco/3009/</v>
      </c>
      <c r="D611" s="47"/>
      <c r="E611" s="47" t="b">
        <f>IFERROR(__xludf.DUMMYFUNCTION("""COMPUTED_VALUE"""),TRUE)</f>
        <v>1</v>
      </c>
      <c r="F611" s="47" t="str">
        <f>IFERROR(__xludf.DUMMYFUNCTION("""COMPUTED_VALUE"""),"")</f>
        <v/>
      </c>
      <c r="G611" s="47" t="str">
        <f>IFERROR(__xludf.DUMMYFUNCTION("""COMPUTED_VALUE"""),"")</f>
        <v/>
      </c>
      <c r="H611" s="47"/>
      <c r="I611" s="47">
        <f>IFERROR(__xludf.DUMMYFUNCTION("""COMPUTED_VALUE"""),2.0)</f>
        <v>2</v>
      </c>
      <c r="J611" s="47" t="str">
        <f>IFERROR(__xludf.DUMMYFUNCTION("""COMPUTED_VALUE"""),"https:")</f>
        <v>https:</v>
      </c>
      <c r="K611" s="78" t="str">
        <f>IFERROR(__xludf.DUMMYFUNCTION("""COMPUTED_VALUE"""),"www.munzee.com")</f>
        <v>www.munzee.com</v>
      </c>
      <c r="L611" s="47" t="str">
        <f>IFERROR(__xludf.DUMMYFUNCTION("""COMPUTED_VALUE"""),"m")</f>
        <v>m</v>
      </c>
      <c r="M611" s="47" t="str">
        <f>IFERROR(__xludf.DUMMYFUNCTION("""COMPUTED_VALUE"""),"ArtofEco")</f>
        <v>ArtofEco</v>
      </c>
    </row>
    <row r="612">
      <c r="A612" s="47" t="str">
        <f>IFERROR(__xludf.DUMMYFUNCTION("""COMPUTED_VALUE"""),"Virtual Raw Sienna")</f>
        <v>Virtual Raw Sienna</v>
      </c>
      <c r="B612" s="47" t="str">
        <f>IFERROR(__xludf.DUMMYFUNCTION("""COMPUTED_VALUE"""),"BrotherWilliam")</f>
        <v>BrotherWilliam</v>
      </c>
      <c r="C612" s="78" t="str">
        <f>IFERROR(__xludf.DUMMYFUNCTION("""COMPUTED_VALUE"""),"https://www.munzee.com/m/BrotherWilliam/4049/")</f>
        <v>https://www.munzee.com/m/BrotherWilliam/4049/</v>
      </c>
      <c r="D612" s="47"/>
      <c r="E612" s="47" t="b">
        <f>IFERROR(__xludf.DUMMYFUNCTION("""COMPUTED_VALUE"""),TRUE)</f>
        <v>1</v>
      </c>
      <c r="F612" s="47" t="str">
        <f>IFERROR(__xludf.DUMMYFUNCTION("""COMPUTED_VALUE"""),"")</f>
        <v/>
      </c>
      <c r="G612" s="47" t="str">
        <f>IFERROR(__xludf.DUMMYFUNCTION("""COMPUTED_VALUE"""),"")</f>
        <v/>
      </c>
      <c r="H612" s="47"/>
      <c r="I612" s="47">
        <f>IFERROR(__xludf.DUMMYFUNCTION("""COMPUTED_VALUE"""),2.0)</f>
        <v>2</v>
      </c>
      <c r="J612" s="47" t="str">
        <f>IFERROR(__xludf.DUMMYFUNCTION("""COMPUTED_VALUE"""),"https:")</f>
        <v>https:</v>
      </c>
      <c r="K612" s="78" t="str">
        <f>IFERROR(__xludf.DUMMYFUNCTION("""COMPUTED_VALUE"""),"www.munzee.com")</f>
        <v>www.munzee.com</v>
      </c>
      <c r="L612" s="47" t="str">
        <f>IFERROR(__xludf.DUMMYFUNCTION("""COMPUTED_VALUE"""),"m")</f>
        <v>m</v>
      </c>
      <c r="M612" s="47" t="str">
        <f>IFERROR(__xludf.DUMMYFUNCTION("""COMPUTED_VALUE"""),"BrotherWilliam")</f>
        <v>BrotherWilliam</v>
      </c>
    </row>
    <row r="613">
      <c r="A613" s="47" t="str">
        <f>IFERROR(__xludf.DUMMYFUNCTION("""COMPUTED_VALUE"""),"Virtual Brown")</f>
        <v>Virtual Brown</v>
      </c>
      <c r="B613" s="47" t="str">
        <f>IFERROR(__xludf.DUMMYFUNCTION("""COMPUTED_VALUE"""),"TheFrog")</f>
        <v>TheFrog</v>
      </c>
      <c r="C613" s="78" t="str">
        <f>IFERROR(__xludf.DUMMYFUNCTION("""COMPUTED_VALUE"""),"https://www.munzee.com/m/TheFrog/4289/")</f>
        <v>https://www.munzee.com/m/TheFrog/4289/</v>
      </c>
      <c r="D613" s="47"/>
      <c r="E613" s="47" t="b">
        <f>IFERROR(__xludf.DUMMYFUNCTION("""COMPUTED_VALUE"""),TRUE)</f>
        <v>1</v>
      </c>
      <c r="F613" s="47" t="str">
        <f>IFERROR(__xludf.DUMMYFUNCTION("""COMPUTED_VALUE"""),"")</f>
        <v/>
      </c>
      <c r="G613" s="47" t="str">
        <f>IFERROR(__xludf.DUMMYFUNCTION("""COMPUTED_VALUE"""),"")</f>
        <v/>
      </c>
      <c r="H613" s="47"/>
      <c r="I613" s="47">
        <f>IFERROR(__xludf.DUMMYFUNCTION("""COMPUTED_VALUE"""),2.0)</f>
        <v>2</v>
      </c>
      <c r="J613" s="47" t="str">
        <f>IFERROR(__xludf.DUMMYFUNCTION("""COMPUTED_VALUE"""),"https:")</f>
        <v>https:</v>
      </c>
      <c r="K613" s="78" t="str">
        <f>IFERROR(__xludf.DUMMYFUNCTION("""COMPUTED_VALUE"""),"www.munzee.com")</f>
        <v>www.munzee.com</v>
      </c>
      <c r="L613" s="47" t="str">
        <f>IFERROR(__xludf.DUMMYFUNCTION("""COMPUTED_VALUE"""),"m")</f>
        <v>m</v>
      </c>
      <c r="M613" s="47" t="str">
        <f>IFERROR(__xludf.DUMMYFUNCTION("""COMPUTED_VALUE"""),"TheFrog")</f>
        <v>TheFrog</v>
      </c>
    </row>
    <row r="614">
      <c r="A614" s="47" t="str">
        <f>IFERROR(__xludf.DUMMYFUNCTION("""COMPUTED_VALUE"""),"Virtual Brown")</f>
        <v>Virtual Brown</v>
      </c>
      <c r="B614" s="47" t="str">
        <f>IFERROR(__xludf.DUMMYFUNCTION("""COMPUTED_VALUE"""),"123xilef")</f>
        <v>123xilef</v>
      </c>
      <c r="C614" s="78" t="str">
        <f>IFERROR(__xludf.DUMMYFUNCTION("""COMPUTED_VALUE"""),"https://www.munzee.com/m/123xilef/7254/")</f>
        <v>https://www.munzee.com/m/123xilef/7254/</v>
      </c>
      <c r="D614" s="47"/>
      <c r="E614" s="47" t="b">
        <f>IFERROR(__xludf.DUMMYFUNCTION("""COMPUTED_VALUE"""),TRUE)</f>
        <v>1</v>
      </c>
      <c r="F614" s="47" t="str">
        <f>IFERROR(__xludf.DUMMYFUNCTION("""COMPUTED_VALUE"""),"")</f>
        <v/>
      </c>
      <c r="G614" s="47" t="str">
        <f>IFERROR(__xludf.DUMMYFUNCTION("""COMPUTED_VALUE"""),"")</f>
        <v/>
      </c>
      <c r="H614" s="47"/>
      <c r="I614" s="47">
        <f>IFERROR(__xludf.DUMMYFUNCTION("""COMPUTED_VALUE"""),2.0)</f>
        <v>2</v>
      </c>
      <c r="J614" s="47" t="str">
        <f>IFERROR(__xludf.DUMMYFUNCTION("""COMPUTED_VALUE"""),"https:")</f>
        <v>https:</v>
      </c>
      <c r="K614" s="78" t="str">
        <f>IFERROR(__xludf.DUMMYFUNCTION("""COMPUTED_VALUE"""),"www.munzee.com")</f>
        <v>www.munzee.com</v>
      </c>
      <c r="L614" s="47" t="str">
        <f>IFERROR(__xludf.DUMMYFUNCTION("""COMPUTED_VALUE"""),"m")</f>
        <v>m</v>
      </c>
      <c r="M614" s="47" t="str">
        <f>IFERROR(__xludf.DUMMYFUNCTION("""COMPUTED_VALUE"""),"123xilef")</f>
        <v>123xilef</v>
      </c>
    </row>
    <row r="615">
      <c r="A615" s="47" t="str">
        <f>IFERROR(__xludf.DUMMYFUNCTION("""COMPUTED_VALUE"""),"Virtual Raw Sienna")</f>
        <v>Virtual Raw Sienna</v>
      </c>
      <c r="B615" s="47" t="str">
        <f>IFERROR(__xludf.DUMMYFUNCTION("""COMPUTED_VALUE"""),"GroteSufferd")</f>
        <v>GroteSufferd</v>
      </c>
      <c r="C615" s="78" t="str">
        <f>IFERROR(__xludf.DUMMYFUNCTION("""COMPUTED_VALUE"""),"https://www.munzee.com/m/GroteSufferd/416/")</f>
        <v>https://www.munzee.com/m/GroteSufferd/416/</v>
      </c>
      <c r="D615" s="47"/>
      <c r="E615" s="47" t="b">
        <f>IFERROR(__xludf.DUMMYFUNCTION("""COMPUTED_VALUE"""),TRUE)</f>
        <v>1</v>
      </c>
      <c r="F615" s="47" t="str">
        <f>IFERROR(__xludf.DUMMYFUNCTION("""COMPUTED_VALUE"""),"")</f>
        <v/>
      </c>
      <c r="G615" s="47" t="str">
        <f>IFERROR(__xludf.DUMMYFUNCTION("""COMPUTED_VALUE"""),"")</f>
        <v/>
      </c>
      <c r="H615" s="47"/>
      <c r="I615" s="47">
        <f>IFERROR(__xludf.DUMMYFUNCTION("""COMPUTED_VALUE"""),2.0)</f>
        <v>2</v>
      </c>
      <c r="J615" s="47" t="str">
        <f>IFERROR(__xludf.DUMMYFUNCTION("""COMPUTED_VALUE"""),"https:")</f>
        <v>https:</v>
      </c>
      <c r="K615" s="78" t="str">
        <f>IFERROR(__xludf.DUMMYFUNCTION("""COMPUTED_VALUE"""),"www.munzee.com")</f>
        <v>www.munzee.com</v>
      </c>
      <c r="L615" s="47" t="str">
        <f>IFERROR(__xludf.DUMMYFUNCTION("""COMPUTED_VALUE"""),"m")</f>
        <v>m</v>
      </c>
      <c r="M615" s="47" t="str">
        <f>IFERROR(__xludf.DUMMYFUNCTION("""COMPUTED_VALUE"""),"GroteSufferd")</f>
        <v>GroteSufferd</v>
      </c>
    </row>
    <row r="616">
      <c r="A616" s="47" t="str">
        <f>IFERROR(__xludf.DUMMYFUNCTION("""COMPUTED_VALUE"""),"Virtual Brown")</f>
        <v>Virtual Brown</v>
      </c>
      <c r="B616" s="47" t="str">
        <f>IFERROR(__xludf.DUMMYFUNCTION("""COMPUTED_VALUE"""),"TheFatCats")</f>
        <v>TheFatCats</v>
      </c>
      <c r="C616" s="78" t="str">
        <f>IFERROR(__xludf.DUMMYFUNCTION("""COMPUTED_VALUE"""),"https://www.munzee.com/m/TheFatCats/3967/")</f>
        <v>https://www.munzee.com/m/TheFatCats/3967/</v>
      </c>
      <c r="D616" s="47"/>
      <c r="E616" s="47" t="b">
        <f>IFERROR(__xludf.DUMMYFUNCTION("""COMPUTED_VALUE"""),TRUE)</f>
        <v>1</v>
      </c>
      <c r="F616" s="47" t="str">
        <f>IFERROR(__xludf.DUMMYFUNCTION("""COMPUTED_VALUE"""),"")</f>
        <v/>
      </c>
      <c r="G616" s="47" t="str">
        <f>IFERROR(__xludf.DUMMYFUNCTION("""COMPUTED_VALUE"""),"")</f>
        <v/>
      </c>
      <c r="H616" s="47"/>
      <c r="I616" s="47">
        <f>IFERROR(__xludf.DUMMYFUNCTION("""COMPUTED_VALUE"""),2.0)</f>
        <v>2</v>
      </c>
      <c r="J616" s="47" t="str">
        <f>IFERROR(__xludf.DUMMYFUNCTION("""COMPUTED_VALUE"""),"https:")</f>
        <v>https:</v>
      </c>
      <c r="K616" s="78" t="str">
        <f>IFERROR(__xludf.DUMMYFUNCTION("""COMPUTED_VALUE"""),"www.munzee.com")</f>
        <v>www.munzee.com</v>
      </c>
      <c r="L616" s="47" t="str">
        <f>IFERROR(__xludf.DUMMYFUNCTION("""COMPUTED_VALUE"""),"m")</f>
        <v>m</v>
      </c>
      <c r="M616" s="47" t="str">
        <f>IFERROR(__xludf.DUMMYFUNCTION("""COMPUTED_VALUE"""),"TheFatCats")</f>
        <v>TheFatCats</v>
      </c>
    </row>
    <row r="617">
      <c r="A617" s="47" t="str">
        <f>IFERROR(__xludf.DUMMYFUNCTION("""COMPUTED_VALUE"""),"Virtual Brown")</f>
        <v>Virtual Brown</v>
      </c>
      <c r="B617" s="47" t="str">
        <f>IFERROR(__xludf.DUMMYFUNCTION("""COMPUTED_VALUE"""),"PawPatrolThomas")</f>
        <v>PawPatrolThomas</v>
      </c>
      <c r="C617" s="78" t="str">
        <f>IFERROR(__xludf.DUMMYFUNCTION("""COMPUTED_VALUE"""),"https://www.munzee.com/m/pawpatrolthomas/2672/")</f>
        <v>https://www.munzee.com/m/pawpatrolthomas/2672/</v>
      </c>
      <c r="D617" s="47"/>
      <c r="E617" s="47" t="b">
        <f>IFERROR(__xludf.DUMMYFUNCTION("""COMPUTED_VALUE"""),TRUE)</f>
        <v>1</v>
      </c>
      <c r="F617" s="47" t="str">
        <f>IFERROR(__xludf.DUMMYFUNCTION("""COMPUTED_VALUE"""),"")</f>
        <v/>
      </c>
      <c r="G617" s="47" t="str">
        <f>IFERROR(__xludf.DUMMYFUNCTION("""COMPUTED_VALUE"""),"")</f>
        <v/>
      </c>
      <c r="H617" s="47"/>
      <c r="I617" s="47">
        <f>IFERROR(__xludf.DUMMYFUNCTION("""COMPUTED_VALUE"""),2.0)</f>
        <v>2</v>
      </c>
      <c r="J617" s="47" t="str">
        <f>IFERROR(__xludf.DUMMYFUNCTION("""COMPUTED_VALUE"""),"https:")</f>
        <v>https:</v>
      </c>
      <c r="K617" s="78" t="str">
        <f>IFERROR(__xludf.DUMMYFUNCTION("""COMPUTED_VALUE"""),"www.munzee.com")</f>
        <v>www.munzee.com</v>
      </c>
      <c r="L617" s="47" t="str">
        <f>IFERROR(__xludf.DUMMYFUNCTION("""COMPUTED_VALUE"""),"m")</f>
        <v>m</v>
      </c>
      <c r="M617" s="47" t="str">
        <f>IFERROR(__xludf.DUMMYFUNCTION("""COMPUTED_VALUE"""),"pawpatrolthomas")</f>
        <v>pawpatrolthomas</v>
      </c>
    </row>
    <row r="618">
      <c r="A618" s="47" t="str">
        <f>IFERROR(__xludf.DUMMYFUNCTION("""COMPUTED_VALUE"""),"Virtual Brown")</f>
        <v>Virtual Brown</v>
      </c>
      <c r="B618" s="47" t="str">
        <f>IFERROR(__xludf.DUMMYFUNCTION("""COMPUTED_VALUE"""),"klc1960")</f>
        <v>klc1960</v>
      </c>
      <c r="C618" s="78" t="str">
        <f>IFERROR(__xludf.DUMMYFUNCTION("""COMPUTED_VALUE"""),"https://www.munzee.com/m/klc1960/1457/")</f>
        <v>https://www.munzee.com/m/klc1960/1457/</v>
      </c>
      <c r="D618" s="47"/>
      <c r="E618" s="47" t="b">
        <f>IFERROR(__xludf.DUMMYFUNCTION("""COMPUTED_VALUE"""),TRUE)</f>
        <v>1</v>
      </c>
      <c r="F618" s="47" t="str">
        <f>IFERROR(__xludf.DUMMYFUNCTION("""COMPUTED_VALUE"""),"")</f>
        <v/>
      </c>
      <c r="G618" s="47" t="str">
        <f>IFERROR(__xludf.DUMMYFUNCTION("""COMPUTED_VALUE"""),"")</f>
        <v/>
      </c>
      <c r="H618" s="47"/>
      <c r="I618" s="47">
        <f>IFERROR(__xludf.DUMMYFUNCTION("""COMPUTED_VALUE"""),2.0)</f>
        <v>2</v>
      </c>
      <c r="J618" s="47" t="str">
        <f>IFERROR(__xludf.DUMMYFUNCTION("""COMPUTED_VALUE"""),"https:")</f>
        <v>https:</v>
      </c>
      <c r="K618" s="78" t="str">
        <f>IFERROR(__xludf.DUMMYFUNCTION("""COMPUTED_VALUE"""),"www.munzee.com")</f>
        <v>www.munzee.com</v>
      </c>
      <c r="L618" s="47" t="str">
        <f>IFERROR(__xludf.DUMMYFUNCTION("""COMPUTED_VALUE"""),"m")</f>
        <v>m</v>
      </c>
      <c r="M618" s="47" t="str">
        <f>IFERROR(__xludf.DUMMYFUNCTION("""COMPUTED_VALUE"""),"klc1960")</f>
        <v>klc1960</v>
      </c>
    </row>
    <row r="619">
      <c r="A619" s="47" t="str">
        <f>IFERROR(__xludf.DUMMYFUNCTION("""COMPUTED_VALUE"""),"Virtual Brown")</f>
        <v>Virtual Brown</v>
      </c>
      <c r="B619" s="47" t="str">
        <f>IFERROR(__xludf.DUMMYFUNCTION("""COMPUTED_VALUE"""),"krauseengineer")</f>
        <v>krauseengineer</v>
      </c>
      <c r="C619" s="78" t="str">
        <f>IFERROR(__xludf.DUMMYFUNCTION("""COMPUTED_VALUE"""),"https://www.munzee.com/m/Krauseengineer/2429")</f>
        <v>https://www.munzee.com/m/Krauseengineer/2429</v>
      </c>
      <c r="D619" s="47"/>
      <c r="E619" s="47" t="b">
        <f>IFERROR(__xludf.DUMMYFUNCTION("""COMPUTED_VALUE"""),TRUE)</f>
        <v>1</v>
      </c>
      <c r="F619" s="47" t="str">
        <f>IFERROR(__xludf.DUMMYFUNCTION("""COMPUTED_VALUE"""),"")</f>
        <v/>
      </c>
      <c r="G619" s="47" t="str">
        <f>IFERROR(__xludf.DUMMYFUNCTION("""COMPUTED_VALUE"""),"")</f>
        <v/>
      </c>
      <c r="H619" s="47"/>
      <c r="I619" s="47">
        <f>IFERROR(__xludf.DUMMYFUNCTION("""COMPUTED_VALUE"""),2.0)</f>
        <v>2</v>
      </c>
      <c r="J619" s="47" t="str">
        <f>IFERROR(__xludf.DUMMYFUNCTION("""COMPUTED_VALUE"""),"https:")</f>
        <v>https:</v>
      </c>
      <c r="K619" s="78" t="str">
        <f>IFERROR(__xludf.DUMMYFUNCTION("""COMPUTED_VALUE"""),"www.munzee.com")</f>
        <v>www.munzee.com</v>
      </c>
      <c r="L619" s="47" t="str">
        <f>IFERROR(__xludf.DUMMYFUNCTION("""COMPUTED_VALUE"""),"m")</f>
        <v>m</v>
      </c>
      <c r="M619" s="47" t="str">
        <f>IFERROR(__xludf.DUMMYFUNCTION("""COMPUTED_VALUE"""),"Krauseengineer")</f>
        <v>Krauseengineer</v>
      </c>
    </row>
    <row r="620">
      <c r="A620" s="47" t="str">
        <f>IFERROR(__xludf.DUMMYFUNCTION("""COMPUTED_VALUE"""),"Virtual Brown")</f>
        <v>Virtual Brown</v>
      </c>
      <c r="B620" s="47" t="str">
        <f>IFERROR(__xludf.DUMMYFUNCTION("""COMPUTED_VALUE"""),"Amadoreugen")</f>
        <v>Amadoreugen</v>
      </c>
      <c r="C620" s="78" t="str">
        <f>IFERROR(__xludf.DUMMYFUNCTION("""COMPUTED_VALUE"""),"https://www.munzee.com/m/amadoreugen/5762")</f>
        <v>https://www.munzee.com/m/amadoreugen/5762</v>
      </c>
      <c r="D620" s="47"/>
      <c r="E620" s="47" t="b">
        <f>IFERROR(__xludf.DUMMYFUNCTION("""COMPUTED_VALUE"""),TRUE)</f>
        <v>1</v>
      </c>
      <c r="F620" s="47" t="str">
        <f>IFERROR(__xludf.DUMMYFUNCTION("""COMPUTED_VALUE"""),"")</f>
        <v/>
      </c>
      <c r="G620" s="47" t="str">
        <f>IFERROR(__xludf.DUMMYFUNCTION("""COMPUTED_VALUE"""),"")</f>
        <v/>
      </c>
      <c r="H620" s="47"/>
      <c r="I620" s="47">
        <f>IFERROR(__xludf.DUMMYFUNCTION("""COMPUTED_VALUE"""),2.0)</f>
        <v>2</v>
      </c>
      <c r="J620" s="47" t="str">
        <f>IFERROR(__xludf.DUMMYFUNCTION("""COMPUTED_VALUE"""),"https:")</f>
        <v>https:</v>
      </c>
      <c r="K620" s="78" t="str">
        <f>IFERROR(__xludf.DUMMYFUNCTION("""COMPUTED_VALUE"""),"www.munzee.com")</f>
        <v>www.munzee.com</v>
      </c>
      <c r="L620" s="47" t="str">
        <f>IFERROR(__xludf.DUMMYFUNCTION("""COMPUTED_VALUE"""),"m")</f>
        <v>m</v>
      </c>
      <c r="M620" s="47" t="str">
        <f>IFERROR(__xludf.DUMMYFUNCTION("""COMPUTED_VALUE"""),"amadoreugen")</f>
        <v>amadoreugen</v>
      </c>
    </row>
    <row r="621">
      <c r="A621" s="47" t="str">
        <f>IFERROR(__xludf.DUMMYFUNCTION("""COMPUTED_VALUE"""),"Virtual Brown")</f>
        <v>Virtual Brown</v>
      </c>
      <c r="B621" s="47" t="str">
        <f>IFERROR(__xludf.DUMMYFUNCTION("""COMPUTED_VALUE"""),"raftjen")</f>
        <v>raftjen</v>
      </c>
      <c r="C621" s="78" t="str">
        <f>IFERROR(__xludf.DUMMYFUNCTION("""COMPUTED_VALUE"""),"https://www.munzee.com/m/raftjen/1779")</f>
        <v>https://www.munzee.com/m/raftjen/1779</v>
      </c>
      <c r="D621" s="47"/>
      <c r="E621" s="47" t="b">
        <f>IFERROR(__xludf.DUMMYFUNCTION("""COMPUTED_VALUE"""),TRUE)</f>
        <v>1</v>
      </c>
      <c r="F621" s="47" t="str">
        <f>IFERROR(__xludf.DUMMYFUNCTION("""COMPUTED_VALUE"""),"")</f>
        <v/>
      </c>
      <c r="G621" s="47" t="str">
        <f>IFERROR(__xludf.DUMMYFUNCTION("""COMPUTED_VALUE"""),"")</f>
        <v/>
      </c>
      <c r="H621" s="47"/>
      <c r="I621" s="47">
        <f>IFERROR(__xludf.DUMMYFUNCTION("""COMPUTED_VALUE"""),2.0)</f>
        <v>2</v>
      </c>
      <c r="J621" s="47" t="str">
        <f>IFERROR(__xludf.DUMMYFUNCTION("""COMPUTED_VALUE"""),"https:")</f>
        <v>https:</v>
      </c>
      <c r="K621" s="78" t="str">
        <f>IFERROR(__xludf.DUMMYFUNCTION("""COMPUTED_VALUE"""),"www.munzee.com")</f>
        <v>www.munzee.com</v>
      </c>
      <c r="L621" s="47" t="str">
        <f>IFERROR(__xludf.DUMMYFUNCTION("""COMPUTED_VALUE"""),"m")</f>
        <v>m</v>
      </c>
      <c r="M621" s="47" t="str">
        <f>IFERROR(__xludf.DUMMYFUNCTION("""COMPUTED_VALUE"""),"raftjen")</f>
        <v>raftjen</v>
      </c>
    </row>
    <row r="622">
      <c r="A622" s="47" t="str">
        <f>IFERROR(__xludf.DUMMYFUNCTION("""COMPUTED_VALUE"""),"Virtual Raw Sienna")</f>
        <v>Virtual Raw Sienna</v>
      </c>
      <c r="B622" s="47" t="str">
        <f>IFERROR(__xludf.DUMMYFUNCTION("""COMPUTED_VALUE"""),"Aniara")</f>
        <v>Aniara</v>
      </c>
      <c r="C622" s="78" t="str">
        <f>IFERROR(__xludf.DUMMYFUNCTION("""COMPUTED_VALUE"""),"https://www.munzee.com/m/Aniara/6945")</f>
        <v>https://www.munzee.com/m/Aniara/6945</v>
      </c>
      <c r="D622" s="47"/>
      <c r="E622" s="47" t="b">
        <f>IFERROR(__xludf.DUMMYFUNCTION("""COMPUTED_VALUE"""),TRUE)</f>
        <v>1</v>
      </c>
      <c r="F622" s="47" t="str">
        <f>IFERROR(__xludf.DUMMYFUNCTION("""COMPUTED_VALUE"""),"")</f>
        <v/>
      </c>
      <c r="G622" s="47" t="str">
        <f>IFERROR(__xludf.DUMMYFUNCTION("""COMPUTED_VALUE"""),"")</f>
        <v/>
      </c>
      <c r="H622" s="47"/>
      <c r="I622" s="47">
        <f>IFERROR(__xludf.DUMMYFUNCTION("""COMPUTED_VALUE"""),2.0)</f>
        <v>2</v>
      </c>
      <c r="J622" s="47" t="str">
        <f>IFERROR(__xludf.DUMMYFUNCTION("""COMPUTED_VALUE"""),"https:")</f>
        <v>https:</v>
      </c>
      <c r="K622" s="78" t="str">
        <f>IFERROR(__xludf.DUMMYFUNCTION("""COMPUTED_VALUE"""),"www.munzee.com")</f>
        <v>www.munzee.com</v>
      </c>
      <c r="L622" s="47" t="str">
        <f>IFERROR(__xludf.DUMMYFUNCTION("""COMPUTED_VALUE"""),"m")</f>
        <v>m</v>
      </c>
      <c r="M622" s="47" t="str">
        <f>IFERROR(__xludf.DUMMYFUNCTION("""COMPUTED_VALUE"""),"Aniara")</f>
        <v>Aniara</v>
      </c>
    </row>
    <row r="623">
      <c r="A623" s="47" t="str">
        <f>IFERROR(__xludf.DUMMYFUNCTION("""COMPUTED_VALUE"""),"Virtual Raw Sienna")</f>
        <v>Virtual Raw Sienna</v>
      </c>
      <c r="B623" s="47" t="str">
        <f>IFERROR(__xludf.DUMMYFUNCTION("""COMPUTED_VALUE"""),"WangoTango")</f>
        <v>WangoTango</v>
      </c>
      <c r="C623" s="78" t="str">
        <f>IFERROR(__xludf.DUMMYFUNCTION("""COMPUTED_VALUE"""),"https://www.munzee.com/m/all0123/4296/")</f>
        <v>https://www.munzee.com/m/all0123/4296/</v>
      </c>
      <c r="D623" s="47" t="str">
        <f>IFERROR(__xludf.DUMMYFUNCTION("""COMPUTED_VALUE"""),"Deploy for December Clan War")</f>
        <v>Deploy for December Clan War</v>
      </c>
      <c r="E623" s="47" t="b">
        <f>IFERROR(__xludf.DUMMYFUNCTION("""COMPUTED_VALUE"""),TRUE)</f>
        <v>1</v>
      </c>
      <c r="F623" s="47" t="str">
        <f>IFERROR(__xludf.DUMMYFUNCTION("""COMPUTED_VALUE"""),"")</f>
        <v/>
      </c>
      <c r="G623" s="47" t="str">
        <f>IFERROR(__xludf.DUMMYFUNCTION("""COMPUTED_VALUE"""),"")</f>
        <v/>
      </c>
      <c r="H623" s="47"/>
      <c r="I623" s="47">
        <f>IFERROR(__xludf.DUMMYFUNCTION("""COMPUTED_VALUE"""),2.0)</f>
        <v>2</v>
      </c>
      <c r="J623" s="47" t="str">
        <f>IFERROR(__xludf.DUMMYFUNCTION("""COMPUTED_VALUE"""),"https:")</f>
        <v>https:</v>
      </c>
      <c r="K623" s="78" t="str">
        <f>IFERROR(__xludf.DUMMYFUNCTION("""COMPUTED_VALUE"""),"www.munzee.com")</f>
        <v>www.munzee.com</v>
      </c>
      <c r="L623" s="47" t="str">
        <f>IFERROR(__xludf.DUMMYFUNCTION("""COMPUTED_VALUE"""),"m")</f>
        <v>m</v>
      </c>
      <c r="M623" s="47" t="str">
        <f>IFERROR(__xludf.DUMMYFUNCTION("""COMPUTED_VALUE"""),"all0123")</f>
        <v>all0123</v>
      </c>
    </row>
    <row r="624">
      <c r="A624" s="47" t="str">
        <f>IFERROR(__xludf.DUMMYFUNCTION("""COMPUTED_VALUE"""),"Virtual Brown")</f>
        <v>Virtual Brown</v>
      </c>
      <c r="B624" s="47" t="str">
        <f>IFERROR(__xludf.DUMMYFUNCTION("""COMPUTED_VALUE"""),"TheFatCats")</f>
        <v>TheFatCats</v>
      </c>
      <c r="C624" s="78" t="str">
        <f>IFERROR(__xludf.DUMMYFUNCTION("""COMPUTED_VALUE"""),"https://www.munzee.com/m/TheFatCats/3912/")</f>
        <v>https://www.munzee.com/m/TheFatCats/3912/</v>
      </c>
      <c r="D624" s="47"/>
      <c r="E624" s="47" t="b">
        <f>IFERROR(__xludf.DUMMYFUNCTION("""COMPUTED_VALUE"""),TRUE)</f>
        <v>1</v>
      </c>
      <c r="F624" s="47" t="str">
        <f>IFERROR(__xludf.DUMMYFUNCTION("""COMPUTED_VALUE"""),"")</f>
        <v/>
      </c>
      <c r="G624" s="47" t="str">
        <f>IFERROR(__xludf.DUMMYFUNCTION("""COMPUTED_VALUE"""),"")</f>
        <v/>
      </c>
      <c r="H624" s="47"/>
      <c r="I624" s="47">
        <f>IFERROR(__xludf.DUMMYFUNCTION("""COMPUTED_VALUE"""),2.0)</f>
        <v>2</v>
      </c>
      <c r="J624" s="47" t="str">
        <f>IFERROR(__xludf.DUMMYFUNCTION("""COMPUTED_VALUE"""),"https:")</f>
        <v>https:</v>
      </c>
      <c r="K624" s="78" t="str">
        <f>IFERROR(__xludf.DUMMYFUNCTION("""COMPUTED_VALUE"""),"www.munzee.com")</f>
        <v>www.munzee.com</v>
      </c>
      <c r="L624" s="47" t="str">
        <f>IFERROR(__xludf.DUMMYFUNCTION("""COMPUTED_VALUE"""),"m")</f>
        <v>m</v>
      </c>
      <c r="M624" s="47" t="str">
        <f>IFERROR(__xludf.DUMMYFUNCTION("""COMPUTED_VALUE"""),"TheFatCats")</f>
        <v>TheFatCats</v>
      </c>
    </row>
    <row r="625">
      <c r="A625" s="47" t="str">
        <f>IFERROR(__xludf.DUMMYFUNCTION("""COMPUTED_VALUE"""),"Virtual Brown")</f>
        <v>Virtual Brown</v>
      </c>
      <c r="B625" s="47" t="str">
        <f>IFERROR(__xludf.DUMMYFUNCTION("""COMPUTED_VALUE"""),"Belladivadee")</f>
        <v>Belladivadee</v>
      </c>
      <c r="C625" s="78" t="str">
        <f>IFERROR(__xludf.DUMMYFUNCTION("""COMPUTED_VALUE"""),"https://www.munzee.com/m/belladivadee/3153/")</f>
        <v>https://www.munzee.com/m/belladivadee/3153/</v>
      </c>
      <c r="D625" s="47"/>
      <c r="E625" s="47" t="b">
        <f>IFERROR(__xludf.DUMMYFUNCTION("""COMPUTED_VALUE"""),TRUE)</f>
        <v>1</v>
      </c>
      <c r="F625" s="47" t="str">
        <f>IFERROR(__xludf.DUMMYFUNCTION("""COMPUTED_VALUE"""),"")</f>
        <v/>
      </c>
      <c r="G625" s="47" t="str">
        <f>IFERROR(__xludf.DUMMYFUNCTION("""COMPUTED_VALUE"""),"")</f>
        <v/>
      </c>
      <c r="H625" s="47"/>
      <c r="I625" s="47">
        <f>IFERROR(__xludf.DUMMYFUNCTION("""COMPUTED_VALUE"""),2.0)</f>
        <v>2</v>
      </c>
      <c r="J625" s="47" t="str">
        <f>IFERROR(__xludf.DUMMYFUNCTION("""COMPUTED_VALUE"""),"https:")</f>
        <v>https:</v>
      </c>
      <c r="K625" s="78" t="str">
        <f>IFERROR(__xludf.DUMMYFUNCTION("""COMPUTED_VALUE"""),"www.munzee.com")</f>
        <v>www.munzee.com</v>
      </c>
      <c r="L625" s="47" t="str">
        <f>IFERROR(__xludf.DUMMYFUNCTION("""COMPUTED_VALUE"""),"m")</f>
        <v>m</v>
      </c>
      <c r="M625" s="47" t="str">
        <f>IFERROR(__xludf.DUMMYFUNCTION("""COMPUTED_VALUE"""),"belladivadee")</f>
        <v>belladivadee</v>
      </c>
    </row>
    <row r="626">
      <c r="A626" s="47" t="str">
        <f>IFERROR(__xludf.DUMMYFUNCTION("""COMPUTED_VALUE"""),"Virtual Brown")</f>
        <v>Virtual Brown</v>
      </c>
      <c r="B626" s="47" t="str">
        <f>IFERROR(__xludf.DUMMYFUNCTION("""COMPUTED_VALUE"""),"sverlaan")</f>
        <v>sverlaan</v>
      </c>
      <c r="C626" s="78" t="str">
        <f>IFERROR(__xludf.DUMMYFUNCTION("""COMPUTED_VALUE"""),"https://www.munzee.com/m/sverlaan/4408/")</f>
        <v>https://www.munzee.com/m/sverlaan/4408/</v>
      </c>
      <c r="D626" s="47"/>
      <c r="E626" s="47" t="b">
        <f>IFERROR(__xludf.DUMMYFUNCTION("""COMPUTED_VALUE"""),TRUE)</f>
        <v>1</v>
      </c>
      <c r="F626" s="47" t="str">
        <f>IFERROR(__xludf.DUMMYFUNCTION("""COMPUTED_VALUE"""),"")</f>
        <v/>
      </c>
      <c r="G626" s="47" t="str">
        <f>IFERROR(__xludf.DUMMYFUNCTION("""COMPUTED_VALUE"""),"")</f>
        <v/>
      </c>
      <c r="H626" s="47"/>
      <c r="I626" s="47">
        <f>IFERROR(__xludf.DUMMYFUNCTION("""COMPUTED_VALUE"""),2.0)</f>
        <v>2</v>
      </c>
      <c r="J626" s="47" t="str">
        <f>IFERROR(__xludf.DUMMYFUNCTION("""COMPUTED_VALUE"""),"https:")</f>
        <v>https:</v>
      </c>
      <c r="K626" s="78" t="str">
        <f>IFERROR(__xludf.DUMMYFUNCTION("""COMPUTED_VALUE"""),"www.munzee.com")</f>
        <v>www.munzee.com</v>
      </c>
      <c r="L626" s="47" t="str">
        <f>IFERROR(__xludf.DUMMYFUNCTION("""COMPUTED_VALUE"""),"m")</f>
        <v>m</v>
      </c>
      <c r="M626" s="47" t="str">
        <f>IFERROR(__xludf.DUMMYFUNCTION("""COMPUTED_VALUE"""),"sverlaan")</f>
        <v>sverlaan</v>
      </c>
    </row>
    <row r="627">
      <c r="A627" s="47" t="str">
        <f>IFERROR(__xludf.DUMMYFUNCTION("""COMPUTED_VALUE"""),"Virtual Raw Sienna")</f>
        <v>Virtual Raw Sienna</v>
      </c>
      <c r="B627" s="47" t="str">
        <f>IFERROR(__xludf.DUMMYFUNCTION("""COMPUTED_VALUE"""),"Pawpatrolthomas")</f>
        <v>Pawpatrolthomas</v>
      </c>
      <c r="C627" s="78" t="str">
        <f>IFERROR(__xludf.DUMMYFUNCTION("""COMPUTED_VALUE"""),"https://www.munzee.com/m/PawPatrolThomas/2470/")</f>
        <v>https://www.munzee.com/m/PawPatrolThomas/2470/</v>
      </c>
      <c r="D627" s="47"/>
      <c r="E627" s="47" t="b">
        <f>IFERROR(__xludf.DUMMYFUNCTION("""COMPUTED_VALUE"""),TRUE)</f>
        <v>1</v>
      </c>
      <c r="F627" s="47" t="str">
        <f>IFERROR(__xludf.DUMMYFUNCTION("""COMPUTED_VALUE"""),"")</f>
        <v/>
      </c>
      <c r="G627" s="47" t="str">
        <f>IFERROR(__xludf.DUMMYFUNCTION("""COMPUTED_VALUE"""),"")</f>
        <v/>
      </c>
      <c r="H627" s="47"/>
      <c r="I627" s="47">
        <f>IFERROR(__xludf.DUMMYFUNCTION("""COMPUTED_VALUE"""),2.0)</f>
        <v>2</v>
      </c>
      <c r="J627" s="47" t="str">
        <f>IFERROR(__xludf.DUMMYFUNCTION("""COMPUTED_VALUE"""),"https:")</f>
        <v>https:</v>
      </c>
      <c r="K627" s="78" t="str">
        <f>IFERROR(__xludf.DUMMYFUNCTION("""COMPUTED_VALUE"""),"www.munzee.com")</f>
        <v>www.munzee.com</v>
      </c>
      <c r="L627" s="47" t="str">
        <f>IFERROR(__xludf.DUMMYFUNCTION("""COMPUTED_VALUE"""),"m")</f>
        <v>m</v>
      </c>
      <c r="M627" s="47" t="str">
        <f>IFERROR(__xludf.DUMMYFUNCTION("""COMPUTED_VALUE"""),"PawPatrolThomas")</f>
        <v>PawPatrolThomas</v>
      </c>
    </row>
    <row r="628">
      <c r="A628" s="47" t="str">
        <f>IFERROR(__xludf.DUMMYFUNCTION("""COMPUTED_VALUE"""),"Virtual Raw Sienna")</f>
        <v>Virtual Raw Sienna</v>
      </c>
      <c r="B628" s="47" t="str">
        <f>IFERROR(__xludf.DUMMYFUNCTION("""COMPUTED_VALUE"""),"EmileP68")</f>
        <v>EmileP68</v>
      </c>
      <c r="C628" s="78" t="str">
        <f>IFERROR(__xludf.DUMMYFUNCTION("""COMPUTED_VALUE"""),"https://www.munzee.com/m/EmileP68/3167/")</f>
        <v>https://www.munzee.com/m/EmileP68/3167/</v>
      </c>
      <c r="D628" s="47"/>
      <c r="E628" s="47" t="b">
        <f>IFERROR(__xludf.DUMMYFUNCTION("""COMPUTED_VALUE"""),TRUE)</f>
        <v>1</v>
      </c>
      <c r="F628" s="47" t="str">
        <f>IFERROR(__xludf.DUMMYFUNCTION("""COMPUTED_VALUE"""),"")</f>
        <v/>
      </c>
      <c r="G628" s="47" t="str">
        <f>IFERROR(__xludf.DUMMYFUNCTION("""COMPUTED_VALUE"""),"")</f>
        <v/>
      </c>
      <c r="H628" s="47"/>
      <c r="I628" s="47">
        <f>IFERROR(__xludf.DUMMYFUNCTION("""COMPUTED_VALUE"""),2.0)</f>
        <v>2</v>
      </c>
      <c r="J628" s="47" t="str">
        <f>IFERROR(__xludf.DUMMYFUNCTION("""COMPUTED_VALUE"""),"https:")</f>
        <v>https:</v>
      </c>
      <c r="K628" s="78" t="str">
        <f>IFERROR(__xludf.DUMMYFUNCTION("""COMPUTED_VALUE"""),"www.munzee.com")</f>
        <v>www.munzee.com</v>
      </c>
      <c r="L628" s="47" t="str">
        <f>IFERROR(__xludf.DUMMYFUNCTION("""COMPUTED_VALUE"""),"m")</f>
        <v>m</v>
      </c>
      <c r="M628" s="47" t="str">
        <f>IFERROR(__xludf.DUMMYFUNCTION("""COMPUTED_VALUE"""),"EmileP68")</f>
        <v>EmileP68</v>
      </c>
    </row>
    <row r="629">
      <c r="A629" s="47" t="str">
        <f>IFERROR(__xludf.DUMMYFUNCTION("""COMPUTED_VALUE"""),"Virtual Brown")</f>
        <v>Virtual Brown</v>
      </c>
      <c r="B629" s="47" t="str">
        <f>IFERROR(__xludf.DUMMYFUNCTION("""COMPUTED_VALUE"""),"Drazoria")</f>
        <v>Drazoria</v>
      </c>
      <c r="C629" s="78" t="str">
        <f>IFERROR(__xludf.DUMMYFUNCTION("""COMPUTED_VALUE"""),"https://www.munzee.com/m/Drazoria/847/")</f>
        <v>https://www.munzee.com/m/Drazoria/847/</v>
      </c>
      <c r="D629" s="47"/>
      <c r="E629" s="47" t="b">
        <f>IFERROR(__xludf.DUMMYFUNCTION("""COMPUTED_VALUE"""),TRUE)</f>
        <v>1</v>
      </c>
      <c r="F629" s="47" t="str">
        <f>IFERROR(__xludf.DUMMYFUNCTION("""COMPUTED_VALUE"""),"")</f>
        <v/>
      </c>
      <c r="G629" s="47" t="str">
        <f>IFERROR(__xludf.DUMMYFUNCTION("""COMPUTED_VALUE"""),"")</f>
        <v/>
      </c>
      <c r="H629" s="47"/>
      <c r="I629" s="47">
        <f>IFERROR(__xludf.DUMMYFUNCTION("""COMPUTED_VALUE"""),2.0)</f>
        <v>2</v>
      </c>
      <c r="J629" s="47" t="str">
        <f>IFERROR(__xludf.DUMMYFUNCTION("""COMPUTED_VALUE"""),"https:")</f>
        <v>https:</v>
      </c>
      <c r="K629" s="78" t="str">
        <f>IFERROR(__xludf.DUMMYFUNCTION("""COMPUTED_VALUE"""),"www.munzee.com")</f>
        <v>www.munzee.com</v>
      </c>
      <c r="L629" s="47" t="str">
        <f>IFERROR(__xludf.DUMMYFUNCTION("""COMPUTED_VALUE"""),"m")</f>
        <v>m</v>
      </c>
      <c r="M629" s="47" t="str">
        <f>IFERROR(__xludf.DUMMYFUNCTION("""COMPUTED_VALUE"""),"Drazoria")</f>
        <v>Drazoria</v>
      </c>
    </row>
    <row r="630">
      <c r="A630" s="47" t="str">
        <f>IFERROR(__xludf.DUMMYFUNCTION("""COMPUTED_VALUE"""),"Virtual Brown")</f>
        <v>Virtual Brown</v>
      </c>
      <c r="B630" s="47" t="str">
        <f>IFERROR(__xludf.DUMMYFUNCTION("""COMPUTED_VALUE"""),"Tinake1309")</f>
        <v>Tinake1309</v>
      </c>
      <c r="C630" s="78" t="str">
        <f>IFERROR(__xludf.DUMMYFUNCTION("""COMPUTED_VALUE"""),"https://www.munzee.com/m/Tinake1309/826/")</f>
        <v>https://www.munzee.com/m/Tinake1309/826/</v>
      </c>
      <c r="D630" s="47"/>
      <c r="E630" s="47" t="b">
        <f>IFERROR(__xludf.DUMMYFUNCTION("""COMPUTED_VALUE"""),TRUE)</f>
        <v>1</v>
      </c>
      <c r="F630" s="47" t="str">
        <f>IFERROR(__xludf.DUMMYFUNCTION("""COMPUTED_VALUE"""),"")</f>
        <v/>
      </c>
      <c r="G630" s="47" t="str">
        <f>IFERROR(__xludf.DUMMYFUNCTION("""COMPUTED_VALUE"""),"")</f>
        <v/>
      </c>
      <c r="H630" s="47"/>
      <c r="I630" s="47">
        <f>IFERROR(__xludf.DUMMYFUNCTION("""COMPUTED_VALUE"""),2.0)</f>
        <v>2</v>
      </c>
      <c r="J630" s="47" t="str">
        <f>IFERROR(__xludf.DUMMYFUNCTION("""COMPUTED_VALUE"""),"https:")</f>
        <v>https:</v>
      </c>
      <c r="K630" s="78" t="str">
        <f>IFERROR(__xludf.DUMMYFUNCTION("""COMPUTED_VALUE"""),"www.munzee.com")</f>
        <v>www.munzee.com</v>
      </c>
      <c r="L630" s="47" t="str">
        <f>IFERROR(__xludf.DUMMYFUNCTION("""COMPUTED_VALUE"""),"m")</f>
        <v>m</v>
      </c>
      <c r="M630" s="47" t="str">
        <f>IFERROR(__xludf.DUMMYFUNCTION("""COMPUTED_VALUE"""),"Tinake1309")</f>
        <v>Tinake1309</v>
      </c>
    </row>
    <row r="631">
      <c r="A631" s="47" t="str">
        <f>IFERROR(__xludf.DUMMYFUNCTION("""COMPUTED_VALUE"""),"Virtual Brown")</f>
        <v>Virtual Brown</v>
      </c>
      <c r="B631" s="47" t="str">
        <f>IFERROR(__xludf.DUMMYFUNCTION("""COMPUTED_VALUE"""),"Berg14")</f>
        <v>Berg14</v>
      </c>
      <c r="C631" s="78" t="str">
        <f>IFERROR(__xludf.DUMMYFUNCTION("""COMPUTED_VALUE"""),"https://www.munzee.com/m/Berg14/642/")</f>
        <v>https://www.munzee.com/m/Berg14/642/</v>
      </c>
      <c r="D631" s="47"/>
      <c r="E631" s="47" t="b">
        <f>IFERROR(__xludf.DUMMYFUNCTION("""COMPUTED_VALUE"""),TRUE)</f>
        <v>1</v>
      </c>
      <c r="F631" s="47" t="str">
        <f>IFERROR(__xludf.DUMMYFUNCTION("""COMPUTED_VALUE"""),"")</f>
        <v/>
      </c>
      <c r="G631" s="47" t="str">
        <f>IFERROR(__xludf.DUMMYFUNCTION("""COMPUTED_VALUE"""),"")</f>
        <v/>
      </c>
      <c r="H631" s="47"/>
      <c r="I631" s="47">
        <f>IFERROR(__xludf.DUMMYFUNCTION("""COMPUTED_VALUE"""),2.0)</f>
        <v>2</v>
      </c>
      <c r="J631" s="47" t="str">
        <f>IFERROR(__xludf.DUMMYFUNCTION("""COMPUTED_VALUE"""),"https:")</f>
        <v>https:</v>
      </c>
      <c r="K631" s="78" t="str">
        <f>IFERROR(__xludf.DUMMYFUNCTION("""COMPUTED_VALUE"""),"www.munzee.com")</f>
        <v>www.munzee.com</v>
      </c>
      <c r="L631" s="47" t="str">
        <f>IFERROR(__xludf.DUMMYFUNCTION("""COMPUTED_VALUE"""),"m")</f>
        <v>m</v>
      </c>
      <c r="M631" s="47" t="str">
        <f>IFERROR(__xludf.DUMMYFUNCTION("""COMPUTED_VALUE"""),"Berg14")</f>
        <v>Berg14</v>
      </c>
    </row>
    <row r="632">
      <c r="A632" s="47" t="str">
        <f>IFERROR(__xludf.DUMMYFUNCTION("""COMPUTED_VALUE"""),"Virtual Raw Sienna")</f>
        <v>Virtual Raw Sienna</v>
      </c>
      <c r="B632" s="47" t="str">
        <f>IFERROR(__xludf.DUMMYFUNCTION("""COMPUTED_VALUE"""),"Niks13")</f>
        <v>Niks13</v>
      </c>
      <c r="C632" s="78" t="str">
        <f>IFERROR(__xludf.DUMMYFUNCTION("""COMPUTED_VALUE"""),"https://www.munzee.com/m/Niks13/619/")</f>
        <v>https://www.munzee.com/m/Niks13/619/</v>
      </c>
      <c r="D632" s="47"/>
      <c r="E632" s="47" t="b">
        <f>IFERROR(__xludf.DUMMYFUNCTION("""COMPUTED_VALUE"""),TRUE)</f>
        <v>1</v>
      </c>
      <c r="F632" s="47" t="str">
        <f>IFERROR(__xludf.DUMMYFUNCTION("""COMPUTED_VALUE"""),"")</f>
        <v/>
      </c>
      <c r="G632" s="47" t="str">
        <f>IFERROR(__xludf.DUMMYFUNCTION("""COMPUTED_VALUE"""),"")</f>
        <v/>
      </c>
      <c r="H632" s="47"/>
      <c r="I632" s="47">
        <f>IFERROR(__xludf.DUMMYFUNCTION("""COMPUTED_VALUE"""),2.0)</f>
        <v>2</v>
      </c>
      <c r="J632" s="47" t="str">
        <f>IFERROR(__xludf.DUMMYFUNCTION("""COMPUTED_VALUE"""),"https:")</f>
        <v>https:</v>
      </c>
      <c r="K632" s="78" t="str">
        <f>IFERROR(__xludf.DUMMYFUNCTION("""COMPUTED_VALUE"""),"www.munzee.com")</f>
        <v>www.munzee.com</v>
      </c>
      <c r="L632" s="47" t="str">
        <f>IFERROR(__xludf.DUMMYFUNCTION("""COMPUTED_VALUE"""),"m")</f>
        <v>m</v>
      </c>
      <c r="M632" s="47" t="str">
        <f>IFERROR(__xludf.DUMMYFUNCTION("""COMPUTED_VALUE"""),"Niks13")</f>
        <v>Niks13</v>
      </c>
    </row>
    <row r="633">
      <c r="A633" s="47" t="str">
        <f>IFERROR(__xludf.DUMMYFUNCTION("""COMPUTED_VALUE"""),"Virtual Brown")</f>
        <v>Virtual Brown</v>
      </c>
      <c r="B633" s="47" t="str">
        <f>IFERROR(__xludf.DUMMYFUNCTION("""COMPUTED_VALUE"""),"J1Huisman")</f>
        <v>J1Huisman</v>
      </c>
      <c r="C633" s="78" t="str">
        <f>IFERROR(__xludf.DUMMYFUNCTION("""COMPUTED_VALUE"""),"https://www.munzee.com/m/J1Huisman/11452/")</f>
        <v>https://www.munzee.com/m/J1Huisman/11452/</v>
      </c>
      <c r="D633" s="47" t="str">
        <f>IFERROR(__xludf.DUMMYFUNCTION("""COMPUTED_VALUE"""),"deploy 9/15")</f>
        <v>deploy 9/15</v>
      </c>
      <c r="E633" s="47" t="b">
        <f>IFERROR(__xludf.DUMMYFUNCTION("""COMPUTED_VALUE"""),TRUE)</f>
        <v>1</v>
      </c>
      <c r="F633" s="47" t="str">
        <f>IFERROR(__xludf.DUMMYFUNCTION("""COMPUTED_VALUE"""),"")</f>
        <v/>
      </c>
      <c r="G633" s="47" t="str">
        <f>IFERROR(__xludf.DUMMYFUNCTION("""COMPUTED_VALUE"""),"")</f>
        <v/>
      </c>
      <c r="H633" s="47"/>
      <c r="I633" s="47">
        <f>IFERROR(__xludf.DUMMYFUNCTION("""COMPUTED_VALUE"""),2.0)</f>
        <v>2</v>
      </c>
      <c r="J633" s="47" t="str">
        <f>IFERROR(__xludf.DUMMYFUNCTION("""COMPUTED_VALUE"""),"https:")</f>
        <v>https:</v>
      </c>
      <c r="K633" s="78" t="str">
        <f>IFERROR(__xludf.DUMMYFUNCTION("""COMPUTED_VALUE"""),"www.munzee.com")</f>
        <v>www.munzee.com</v>
      </c>
      <c r="L633" s="47" t="str">
        <f>IFERROR(__xludf.DUMMYFUNCTION("""COMPUTED_VALUE"""),"m")</f>
        <v>m</v>
      </c>
      <c r="M633" s="47" t="str">
        <f>IFERROR(__xludf.DUMMYFUNCTION("""COMPUTED_VALUE"""),"J1Huisman")</f>
        <v>J1Huisman</v>
      </c>
    </row>
    <row r="634">
      <c r="A634" s="47" t="str">
        <f>IFERROR(__xludf.DUMMYFUNCTION("""COMPUTED_VALUE"""),"Virtual Brown")</f>
        <v>Virtual Brown</v>
      </c>
      <c r="B634" s="47" t="str">
        <f>IFERROR(__xludf.DUMMYFUNCTION("""COMPUTED_VALUE"""),"Pinkeltje")</f>
        <v>Pinkeltje</v>
      </c>
      <c r="C634" s="78" t="str">
        <f>IFERROR(__xludf.DUMMYFUNCTION("""COMPUTED_VALUE"""),"https://www.munzee.com/m/Pinkeltje/1128/")</f>
        <v>https://www.munzee.com/m/Pinkeltje/1128/</v>
      </c>
      <c r="D634" s="47" t="str">
        <f>IFERROR(__xludf.DUMMYFUNCTION("""COMPUTED_VALUE"""),"deploy 9/15")</f>
        <v>deploy 9/15</v>
      </c>
      <c r="E634" s="47" t="b">
        <f>IFERROR(__xludf.DUMMYFUNCTION("""COMPUTED_VALUE"""),TRUE)</f>
        <v>1</v>
      </c>
      <c r="F634" s="47" t="str">
        <f>IFERROR(__xludf.DUMMYFUNCTION("""COMPUTED_VALUE"""),"")</f>
        <v/>
      </c>
      <c r="G634" s="47" t="str">
        <f>IFERROR(__xludf.DUMMYFUNCTION("""COMPUTED_VALUE"""),"")</f>
        <v/>
      </c>
      <c r="H634" s="47"/>
      <c r="I634" s="47">
        <f>IFERROR(__xludf.DUMMYFUNCTION("""COMPUTED_VALUE"""),2.0)</f>
        <v>2</v>
      </c>
      <c r="J634" s="47" t="str">
        <f>IFERROR(__xludf.DUMMYFUNCTION("""COMPUTED_VALUE"""),"https:")</f>
        <v>https:</v>
      </c>
      <c r="K634" s="78" t="str">
        <f>IFERROR(__xludf.DUMMYFUNCTION("""COMPUTED_VALUE"""),"www.munzee.com")</f>
        <v>www.munzee.com</v>
      </c>
      <c r="L634" s="47" t="str">
        <f>IFERROR(__xludf.DUMMYFUNCTION("""COMPUTED_VALUE"""),"m")</f>
        <v>m</v>
      </c>
      <c r="M634" s="47" t="str">
        <f>IFERROR(__xludf.DUMMYFUNCTION("""COMPUTED_VALUE"""),"Pinkeltje")</f>
        <v>Pinkeltje</v>
      </c>
    </row>
    <row r="635">
      <c r="A635" s="47" t="str">
        <f>IFERROR(__xludf.DUMMYFUNCTION("""COMPUTED_VALUE"""),"Virtual Brown")</f>
        <v>Virtual Brown</v>
      </c>
      <c r="B635" s="47" t="str">
        <f>IFERROR(__xludf.DUMMYFUNCTION("""COMPUTED_VALUE"""),"xrayneex")</f>
        <v>xrayneex</v>
      </c>
      <c r="C635" s="78" t="str">
        <f>IFERROR(__xludf.DUMMYFUNCTION("""COMPUTED_VALUE"""),"https://www.munzee.com/m/xrayneex/1503/")</f>
        <v>https://www.munzee.com/m/xrayneex/1503/</v>
      </c>
      <c r="D635" s="47"/>
      <c r="E635" s="47" t="b">
        <f>IFERROR(__xludf.DUMMYFUNCTION("""COMPUTED_VALUE"""),TRUE)</f>
        <v>1</v>
      </c>
      <c r="F635" s="47" t="str">
        <f>IFERROR(__xludf.DUMMYFUNCTION("""COMPUTED_VALUE"""),"")</f>
        <v/>
      </c>
      <c r="G635" s="47" t="str">
        <f>IFERROR(__xludf.DUMMYFUNCTION("""COMPUTED_VALUE"""),"")</f>
        <v/>
      </c>
      <c r="H635" s="47"/>
      <c r="I635" s="47">
        <f>IFERROR(__xludf.DUMMYFUNCTION("""COMPUTED_VALUE"""),2.0)</f>
        <v>2</v>
      </c>
      <c r="J635" s="47" t="str">
        <f>IFERROR(__xludf.DUMMYFUNCTION("""COMPUTED_VALUE"""),"https:")</f>
        <v>https:</v>
      </c>
      <c r="K635" s="78" t="str">
        <f>IFERROR(__xludf.DUMMYFUNCTION("""COMPUTED_VALUE"""),"www.munzee.com")</f>
        <v>www.munzee.com</v>
      </c>
      <c r="L635" s="47" t="str">
        <f>IFERROR(__xludf.DUMMYFUNCTION("""COMPUTED_VALUE"""),"m")</f>
        <v>m</v>
      </c>
      <c r="M635" s="47" t="str">
        <f>IFERROR(__xludf.DUMMYFUNCTION("""COMPUTED_VALUE"""),"xrayneex")</f>
        <v>xrayneex</v>
      </c>
    </row>
    <row r="636">
      <c r="A636" s="47" t="str">
        <f>IFERROR(__xludf.DUMMYFUNCTION("""COMPUTED_VALUE"""),"Virtual Brown")</f>
        <v>Virtual Brown</v>
      </c>
      <c r="B636" s="47" t="str">
        <f>IFERROR(__xludf.DUMMYFUNCTION("""COMPUTED_VALUE"""),"fsafranek")</f>
        <v>fsafranek</v>
      </c>
      <c r="C636" s="78" t="str">
        <f>IFERROR(__xludf.DUMMYFUNCTION("""COMPUTED_VALUE"""),"https://www.munzee.com/m/fsafranek/4160/")</f>
        <v>https://www.munzee.com/m/fsafranek/4160/</v>
      </c>
      <c r="D636" s="47"/>
      <c r="E636" s="47" t="b">
        <f>IFERROR(__xludf.DUMMYFUNCTION("""COMPUTED_VALUE"""),TRUE)</f>
        <v>1</v>
      </c>
      <c r="F636" s="47" t="str">
        <f>IFERROR(__xludf.DUMMYFUNCTION("""COMPUTED_VALUE"""),"")</f>
        <v/>
      </c>
      <c r="G636" s="47" t="str">
        <f>IFERROR(__xludf.DUMMYFUNCTION("""COMPUTED_VALUE"""),"")</f>
        <v/>
      </c>
      <c r="H636" s="47"/>
      <c r="I636" s="47">
        <f>IFERROR(__xludf.DUMMYFUNCTION("""COMPUTED_VALUE"""),2.0)</f>
        <v>2</v>
      </c>
      <c r="J636" s="47" t="str">
        <f>IFERROR(__xludf.DUMMYFUNCTION("""COMPUTED_VALUE"""),"https:")</f>
        <v>https:</v>
      </c>
      <c r="K636" s="78" t="str">
        <f>IFERROR(__xludf.DUMMYFUNCTION("""COMPUTED_VALUE"""),"www.munzee.com")</f>
        <v>www.munzee.com</v>
      </c>
      <c r="L636" s="47" t="str">
        <f>IFERROR(__xludf.DUMMYFUNCTION("""COMPUTED_VALUE"""),"m")</f>
        <v>m</v>
      </c>
      <c r="M636" s="47" t="str">
        <f>IFERROR(__xludf.DUMMYFUNCTION("""COMPUTED_VALUE"""),"fsafranek")</f>
        <v>fsafranek</v>
      </c>
    </row>
    <row r="637">
      <c r="A637" s="47" t="str">
        <f>IFERROR(__xludf.DUMMYFUNCTION("""COMPUTED_VALUE"""),"Virtual Brown")</f>
        <v>Virtual Brown</v>
      </c>
      <c r="B637" s="47" t="str">
        <f>IFERROR(__xludf.DUMMYFUNCTION("""COMPUTED_VALUE"""),"lanyasummer")</f>
        <v>lanyasummer</v>
      </c>
      <c r="C637" s="78" t="str">
        <f>IFERROR(__xludf.DUMMYFUNCTION("""COMPUTED_VALUE"""),"https://www.munzee.com/m/Lanyasummer/4462/")</f>
        <v>https://www.munzee.com/m/Lanyasummer/4462/</v>
      </c>
      <c r="D637" s="47"/>
      <c r="E637" s="47" t="b">
        <f>IFERROR(__xludf.DUMMYFUNCTION("""COMPUTED_VALUE"""),TRUE)</f>
        <v>1</v>
      </c>
      <c r="F637" s="47" t="str">
        <f>IFERROR(__xludf.DUMMYFUNCTION("""COMPUTED_VALUE"""),"")</f>
        <v/>
      </c>
      <c r="G637" s="47" t="str">
        <f>IFERROR(__xludf.DUMMYFUNCTION("""COMPUTED_VALUE"""),"")</f>
        <v/>
      </c>
      <c r="H637" s="47"/>
      <c r="I637" s="47">
        <f>IFERROR(__xludf.DUMMYFUNCTION("""COMPUTED_VALUE"""),2.0)</f>
        <v>2</v>
      </c>
      <c r="J637" s="47" t="str">
        <f>IFERROR(__xludf.DUMMYFUNCTION("""COMPUTED_VALUE"""),"https:")</f>
        <v>https:</v>
      </c>
      <c r="K637" s="78" t="str">
        <f>IFERROR(__xludf.DUMMYFUNCTION("""COMPUTED_VALUE"""),"www.munzee.com")</f>
        <v>www.munzee.com</v>
      </c>
      <c r="L637" s="47" t="str">
        <f>IFERROR(__xludf.DUMMYFUNCTION("""COMPUTED_VALUE"""),"m")</f>
        <v>m</v>
      </c>
      <c r="M637" s="47" t="str">
        <f>IFERROR(__xludf.DUMMYFUNCTION("""COMPUTED_VALUE"""),"Lanyasummer")</f>
        <v>Lanyasummer</v>
      </c>
    </row>
    <row r="638">
      <c r="A638" s="47" t="str">
        <f>IFERROR(__xludf.DUMMYFUNCTION("""COMPUTED_VALUE"""),"Virtual Brown")</f>
        <v>Virtual Brown</v>
      </c>
      <c r="B638" s="47" t="str">
        <f>IFERROR(__xludf.DUMMYFUNCTION("""COMPUTED_VALUE"""),"babyw")</f>
        <v>babyw</v>
      </c>
      <c r="C638" s="78" t="str">
        <f>IFERROR(__xludf.DUMMYFUNCTION("""COMPUTED_VALUE"""),"https://www.munzee.com/m/babyw/3253/")</f>
        <v>https://www.munzee.com/m/babyw/3253/</v>
      </c>
      <c r="D638" s="47"/>
      <c r="E638" s="47" t="b">
        <f>IFERROR(__xludf.DUMMYFUNCTION("""COMPUTED_VALUE"""),TRUE)</f>
        <v>1</v>
      </c>
      <c r="F638" s="47" t="str">
        <f>IFERROR(__xludf.DUMMYFUNCTION("""COMPUTED_VALUE"""),"")</f>
        <v/>
      </c>
      <c r="G638" s="47" t="str">
        <f>IFERROR(__xludf.DUMMYFUNCTION("""COMPUTED_VALUE"""),"")</f>
        <v/>
      </c>
      <c r="H638" s="47"/>
      <c r="I638" s="47">
        <f>IFERROR(__xludf.DUMMYFUNCTION("""COMPUTED_VALUE"""),2.0)</f>
        <v>2</v>
      </c>
      <c r="J638" s="47" t="str">
        <f>IFERROR(__xludf.DUMMYFUNCTION("""COMPUTED_VALUE"""),"https:")</f>
        <v>https:</v>
      </c>
      <c r="K638" s="78" t="str">
        <f>IFERROR(__xludf.DUMMYFUNCTION("""COMPUTED_VALUE"""),"www.munzee.com")</f>
        <v>www.munzee.com</v>
      </c>
      <c r="L638" s="47" t="str">
        <f>IFERROR(__xludf.DUMMYFUNCTION("""COMPUTED_VALUE"""),"m")</f>
        <v>m</v>
      </c>
      <c r="M638" s="47" t="str">
        <f>IFERROR(__xludf.DUMMYFUNCTION("""COMPUTED_VALUE"""),"babyw")</f>
        <v>babyw</v>
      </c>
    </row>
    <row r="639">
      <c r="A639" s="47" t="str">
        <f>IFERROR(__xludf.DUMMYFUNCTION("""COMPUTED_VALUE"""),"Virtual Brown")</f>
        <v>Virtual Brown</v>
      </c>
      <c r="B639" s="47" t="str">
        <f>IFERROR(__xludf.DUMMYFUNCTION("""COMPUTED_VALUE"""),"lison55")</f>
        <v>lison55</v>
      </c>
      <c r="C639" s="78" t="str">
        <f>IFERROR(__xludf.DUMMYFUNCTION("""COMPUTED_VALUE"""),"https://www.munzee.com/m/lison55/5479/")</f>
        <v>https://www.munzee.com/m/lison55/5479/</v>
      </c>
      <c r="D639" s="47"/>
      <c r="E639" s="47" t="b">
        <f>IFERROR(__xludf.DUMMYFUNCTION("""COMPUTED_VALUE"""),TRUE)</f>
        <v>1</v>
      </c>
      <c r="F639" s="47" t="str">
        <f>IFERROR(__xludf.DUMMYFUNCTION("""COMPUTED_VALUE"""),"")</f>
        <v/>
      </c>
      <c r="G639" s="47" t="str">
        <f>IFERROR(__xludf.DUMMYFUNCTION("""COMPUTED_VALUE"""),"")</f>
        <v/>
      </c>
      <c r="H639" s="47"/>
      <c r="I639" s="47">
        <f>IFERROR(__xludf.DUMMYFUNCTION("""COMPUTED_VALUE"""),2.0)</f>
        <v>2</v>
      </c>
      <c r="J639" s="47" t="str">
        <f>IFERROR(__xludf.DUMMYFUNCTION("""COMPUTED_VALUE"""),"https:")</f>
        <v>https:</v>
      </c>
      <c r="K639" s="78" t="str">
        <f>IFERROR(__xludf.DUMMYFUNCTION("""COMPUTED_VALUE"""),"www.munzee.com")</f>
        <v>www.munzee.com</v>
      </c>
      <c r="L639" s="47" t="str">
        <f>IFERROR(__xludf.DUMMYFUNCTION("""COMPUTED_VALUE"""),"m")</f>
        <v>m</v>
      </c>
      <c r="M639" s="47" t="str">
        <f>IFERROR(__xludf.DUMMYFUNCTION("""COMPUTED_VALUE"""),"lison55")</f>
        <v>lison55</v>
      </c>
    </row>
    <row r="640">
      <c r="A640" s="47" t="str">
        <f>IFERROR(__xludf.DUMMYFUNCTION("""COMPUTED_VALUE"""),"Virtual Brown")</f>
        <v>Virtual Brown</v>
      </c>
      <c r="B640" s="47" t="str">
        <f>IFERROR(__xludf.DUMMYFUNCTION("""COMPUTED_VALUE"""),"OdinsFiRe")</f>
        <v>OdinsFiRe</v>
      </c>
      <c r="C640" s="78" t="str">
        <f>IFERROR(__xludf.DUMMYFUNCTION("""COMPUTED_VALUE"""),"https://www.munzee.com/m/OdinsFiRe/1809/")</f>
        <v>https://www.munzee.com/m/OdinsFiRe/1809/</v>
      </c>
      <c r="D640" s="47" t="str">
        <f>IFERROR(__xludf.DUMMYFUNCTION("""COMPUTED_VALUE"""),"22/9")</f>
        <v>22/9</v>
      </c>
      <c r="E640" s="47" t="b">
        <f>IFERROR(__xludf.DUMMYFUNCTION("""COMPUTED_VALUE"""),TRUE)</f>
        <v>1</v>
      </c>
      <c r="F640" s="47" t="str">
        <f>IFERROR(__xludf.DUMMYFUNCTION("""COMPUTED_VALUE"""),"")</f>
        <v/>
      </c>
      <c r="G640" s="47" t="str">
        <f>IFERROR(__xludf.DUMMYFUNCTION("""COMPUTED_VALUE"""),"")</f>
        <v/>
      </c>
      <c r="H640" s="47"/>
      <c r="I640" s="47">
        <f>IFERROR(__xludf.DUMMYFUNCTION("""COMPUTED_VALUE"""),2.0)</f>
        <v>2</v>
      </c>
      <c r="J640" s="47" t="str">
        <f>IFERROR(__xludf.DUMMYFUNCTION("""COMPUTED_VALUE"""),"https:")</f>
        <v>https:</v>
      </c>
      <c r="K640" s="78" t="str">
        <f>IFERROR(__xludf.DUMMYFUNCTION("""COMPUTED_VALUE"""),"www.munzee.com")</f>
        <v>www.munzee.com</v>
      </c>
      <c r="L640" s="47" t="str">
        <f>IFERROR(__xludf.DUMMYFUNCTION("""COMPUTED_VALUE"""),"m")</f>
        <v>m</v>
      </c>
      <c r="M640" s="47" t="str">
        <f>IFERROR(__xludf.DUMMYFUNCTION("""COMPUTED_VALUE"""),"OdinsFiRe")</f>
        <v>OdinsFiRe</v>
      </c>
    </row>
    <row r="641">
      <c r="A641" s="47" t="str">
        <f>IFERROR(__xludf.DUMMYFUNCTION("""COMPUTED_VALUE"""),"Virtual Brown")</f>
        <v>Virtual Brown</v>
      </c>
      <c r="B641" s="47" t="str">
        <f>IFERROR(__xludf.DUMMYFUNCTION("""COMPUTED_VALUE"""),"BartWullems")</f>
        <v>BartWullems</v>
      </c>
      <c r="C641" s="78" t="str">
        <f>IFERROR(__xludf.DUMMYFUNCTION("""COMPUTED_VALUE"""),"https://www.munzee.com/m/BartWullems/5605")</f>
        <v>https://www.munzee.com/m/BartWullems/5605</v>
      </c>
      <c r="D641" s="47"/>
      <c r="E641" s="47" t="b">
        <f>IFERROR(__xludf.DUMMYFUNCTION("""COMPUTED_VALUE"""),TRUE)</f>
        <v>1</v>
      </c>
      <c r="F641" s="47"/>
      <c r="G641" s="47" t="str">
        <f>IFERROR(__xludf.DUMMYFUNCTION("""COMPUTED_VALUE"""),"")</f>
        <v/>
      </c>
      <c r="H641" s="47"/>
      <c r="I641" s="47">
        <f>IFERROR(__xludf.DUMMYFUNCTION("""COMPUTED_VALUE"""),2.0)</f>
        <v>2</v>
      </c>
      <c r="J641" s="47" t="str">
        <f>IFERROR(__xludf.DUMMYFUNCTION("""COMPUTED_VALUE"""),"https:")</f>
        <v>https:</v>
      </c>
      <c r="K641" s="78" t="str">
        <f>IFERROR(__xludf.DUMMYFUNCTION("""COMPUTED_VALUE"""),"www.munzee.com")</f>
        <v>www.munzee.com</v>
      </c>
      <c r="L641" s="47" t="str">
        <f>IFERROR(__xludf.DUMMYFUNCTION("""COMPUTED_VALUE"""),"m")</f>
        <v>m</v>
      </c>
      <c r="M641" s="47" t="str">
        <f>IFERROR(__xludf.DUMMYFUNCTION("""COMPUTED_VALUE"""),"BartWullems")</f>
        <v>BartWullems</v>
      </c>
    </row>
    <row r="642">
      <c r="A642" s="47" t="str">
        <f>IFERROR(__xludf.DUMMYFUNCTION("""COMPUTED_VALUE"""),"Virtual Brown")</f>
        <v>Virtual Brown</v>
      </c>
      <c r="B642" s="47" t="str">
        <f>IFERROR(__xludf.DUMMYFUNCTION("""COMPUTED_VALUE"""),"FromTheTardis")</f>
        <v>FromTheTardis</v>
      </c>
      <c r="C642" s="78" t="str">
        <f>IFERROR(__xludf.DUMMYFUNCTION("""COMPUTED_VALUE"""),"https://www.munzee.com/m/FromTheTardis/1440/")</f>
        <v>https://www.munzee.com/m/FromTheTardis/1440/</v>
      </c>
      <c r="D642" s="47"/>
      <c r="E642" s="47" t="b">
        <f>IFERROR(__xludf.DUMMYFUNCTION("""COMPUTED_VALUE"""),TRUE)</f>
        <v>1</v>
      </c>
      <c r="F642" s="47" t="str">
        <f>IFERROR(__xludf.DUMMYFUNCTION("""COMPUTED_VALUE"""),"")</f>
        <v/>
      </c>
      <c r="G642" s="47" t="str">
        <f>IFERROR(__xludf.DUMMYFUNCTION("""COMPUTED_VALUE"""),"")</f>
        <v/>
      </c>
      <c r="H642" s="47"/>
      <c r="I642" s="47">
        <f>IFERROR(__xludf.DUMMYFUNCTION("""COMPUTED_VALUE"""),2.0)</f>
        <v>2</v>
      </c>
      <c r="J642" s="47" t="str">
        <f>IFERROR(__xludf.DUMMYFUNCTION("""COMPUTED_VALUE"""),"https:")</f>
        <v>https:</v>
      </c>
      <c r="K642" s="78" t="str">
        <f>IFERROR(__xludf.DUMMYFUNCTION("""COMPUTED_VALUE"""),"www.munzee.com")</f>
        <v>www.munzee.com</v>
      </c>
      <c r="L642" s="47" t="str">
        <f>IFERROR(__xludf.DUMMYFUNCTION("""COMPUTED_VALUE"""),"m")</f>
        <v>m</v>
      </c>
      <c r="M642" s="47" t="str">
        <f>IFERROR(__xludf.DUMMYFUNCTION("""COMPUTED_VALUE"""),"FromTheTardis")</f>
        <v>FromTheTardis</v>
      </c>
    </row>
    <row r="643">
      <c r="A643" s="47" t="str">
        <f>IFERROR(__xludf.DUMMYFUNCTION("""COMPUTED_VALUE"""),"Virtual Brown")</f>
        <v>Virtual Brown</v>
      </c>
      <c r="B643" s="47" t="str">
        <f>IFERROR(__xludf.DUMMYFUNCTION("""COMPUTED_VALUE"""),"GroteSufferd")</f>
        <v>GroteSufferd</v>
      </c>
      <c r="C643" s="78" t="str">
        <f>IFERROR(__xludf.DUMMYFUNCTION("""COMPUTED_VALUE"""),"https://www.munzee.com/m/GroteSufferd/432/")</f>
        <v>https://www.munzee.com/m/GroteSufferd/432/</v>
      </c>
      <c r="D643" s="47" t="str">
        <f>IFERROR(__xludf.DUMMYFUNCTION("""COMPUTED_VALUE"""),"why is this White?")</f>
        <v>why is this White?</v>
      </c>
      <c r="E643" s="47" t="b">
        <f>IFERROR(__xludf.DUMMYFUNCTION("""COMPUTED_VALUE"""),TRUE)</f>
        <v>1</v>
      </c>
      <c r="F643" s="47" t="str">
        <f>IFERROR(__xludf.DUMMYFUNCTION("""COMPUTED_VALUE"""),"")</f>
        <v/>
      </c>
      <c r="G643" s="47" t="str">
        <f>IFERROR(__xludf.DUMMYFUNCTION("""COMPUTED_VALUE"""),"")</f>
        <v/>
      </c>
      <c r="H643" s="47"/>
      <c r="I643" s="47">
        <f>IFERROR(__xludf.DUMMYFUNCTION("""COMPUTED_VALUE"""),2.0)</f>
        <v>2</v>
      </c>
      <c r="J643" s="47" t="str">
        <f>IFERROR(__xludf.DUMMYFUNCTION("""COMPUTED_VALUE"""),"https:")</f>
        <v>https:</v>
      </c>
      <c r="K643" s="78" t="str">
        <f>IFERROR(__xludf.DUMMYFUNCTION("""COMPUTED_VALUE"""),"www.munzee.com")</f>
        <v>www.munzee.com</v>
      </c>
      <c r="L643" s="47" t="str">
        <f>IFERROR(__xludf.DUMMYFUNCTION("""COMPUTED_VALUE"""),"m")</f>
        <v>m</v>
      </c>
      <c r="M643" s="47" t="str">
        <f>IFERROR(__xludf.DUMMYFUNCTION("""COMPUTED_VALUE"""),"GroteSufferd")</f>
        <v>GroteSufferd</v>
      </c>
    </row>
    <row r="644">
      <c r="A644" s="47" t="str">
        <f>IFERROR(__xludf.DUMMYFUNCTION("""COMPUTED_VALUE"""),"Virtual Raw Sienna")</f>
        <v>Virtual Raw Sienna</v>
      </c>
      <c r="B644" s="47" t="str">
        <f>IFERROR(__xludf.DUMMYFUNCTION("""COMPUTED_VALUE"""),"TheFatCats")</f>
        <v>TheFatCats</v>
      </c>
      <c r="C644" s="78" t="str">
        <f>IFERROR(__xludf.DUMMYFUNCTION("""COMPUTED_VALUE"""),"https://www.munzee.com/m/TheFatCats/3915/")</f>
        <v>https://www.munzee.com/m/TheFatCats/3915/</v>
      </c>
      <c r="D644" s="47"/>
      <c r="E644" s="47" t="b">
        <f>IFERROR(__xludf.DUMMYFUNCTION("""COMPUTED_VALUE"""),TRUE)</f>
        <v>1</v>
      </c>
      <c r="F644" s="47" t="str">
        <f>IFERROR(__xludf.DUMMYFUNCTION("""COMPUTED_VALUE"""),"")</f>
        <v/>
      </c>
      <c r="G644" s="47" t="str">
        <f>IFERROR(__xludf.DUMMYFUNCTION("""COMPUTED_VALUE"""),"")</f>
        <v/>
      </c>
      <c r="H644" s="47"/>
      <c r="I644" s="47">
        <f>IFERROR(__xludf.DUMMYFUNCTION("""COMPUTED_VALUE"""),2.0)</f>
        <v>2</v>
      </c>
      <c r="J644" s="47" t="str">
        <f>IFERROR(__xludf.DUMMYFUNCTION("""COMPUTED_VALUE"""),"https:")</f>
        <v>https:</v>
      </c>
      <c r="K644" s="78" t="str">
        <f>IFERROR(__xludf.DUMMYFUNCTION("""COMPUTED_VALUE"""),"www.munzee.com")</f>
        <v>www.munzee.com</v>
      </c>
      <c r="L644" s="47" t="str">
        <f>IFERROR(__xludf.DUMMYFUNCTION("""COMPUTED_VALUE"""),"m")</f>
        <v>m</v>
      </c>
      <c r="M644" s="47" t="str">
        <f>IFERROR(__xludf.DUMMYFUNCTION("""COMPUTED_VALUE"""),"TheFatCats")</f>
        <v>TheFatCats</v>
      </c>
    </row>
    <row r="645">
      <c r="A645" s="47" t="str">
        <f>IFERROR(__xludf.DUMMYFUNCTION("""COMPUTED_VALUE"""),"Virtual Brown")</f>
        <v>Virtual Brown</v>
      </c>
      <c r="B645" s="47" t="str">
        <f>IFERROR(__xludf.DUMMYFUNCTION("""COMPUTED_VALUE"""),"Amadoreugen")</f>
        <v>Amadoreugen</v>
      </c>
      <c r="C645" s="78" t="str">
        <f>IFERROR(__xludf.DUMMYFUNCTION("""COMPUTED_VALUE"""),"https://www.munzee.com/m/amadoreugen/5828")</f>
        <v>https://www.munzee.com/m/amadoreugen/5828</v>
      </c>
      <c r="D645" s="47"/>
      <c r="E645" s="47" t="b">
        <f>IFERROR(__xludf.DUMMYFUNCTION("""COMPUTED_VALUE"""),TRUE)</f>
        <v>1</v>
      </c>
      <c r="F645" s="47" t="str">
        <f>IFERROR(__xludf.DUMMYFUNCTION("""COMPUTED_VALUE"""),"")</f>
        <v/>
      </c>
      <c r="G645" s="47" t="str">
        <f>IFERROR(__xludf.DUMMYFUNCTION("""COMPUTED_VALUE"""),"")</f>
        <v/>
      </c>
      <c r="H645" s="47"/>
      <c r="I645" s="47">
        <f>IFERROR(__xludf.DUMMYFUNCTION("""COMPUTED_VALUE"""),2.0)</f>
        <v>2</v>
      </c>
      <c r="J645" s="47" t="str">
        <f>IFERROR(__xludf.DUMMYFUNCTION("""COMPUTED_VALUE"""),"https:")</f>
        <v>https:</v>
      </c>
      <c r="K645" s="78" t="str">
        <f>IFERROR(__xludf.DUMMYFUNCTION("""COMPUTED_VALUE"""),"www.munzee.com")</f>
        <v>www.munzee.com</v>
      </c>
      <c r="L645" s="47" t="str">
        <f>IFERROR(__xludf.DUMMYFUNCTION("""COMPUTED_VALUE"""),"m")</f>
        <v>m</v>
      </c>
      <c r="M645" s="47" t="str">
        <f>IFERROR(__xludf.DUMMYFUNCTION("""COMPUTED_VALUE"""),"amadoreugen")</f>
        <v>amadoreugen</v>
      </c>
    </row>
    <row r="646">
      <c r="A646" s="47" t="str">
        <f>IFERROR(__xludf.DUMMYFUNCTION("""COMPUTED_VALUE"""),"Virtual Brown")</f>
        <v>Virtual Brown</v>
      </c>
      <c r="B646" s="47" t="str">
        <f>IFERROR(__xludf.DUMMYFUNCTION("""COMPUTED_VALUE"""),"Anetzet ")</f>
        <v>Anetzet </v>
      </c>
      <c r="C646" s="78" t="str">
        <f>IFERROR(__xludf.DUMMYFUNCTION("""COMPUTED_VALUE"""),"https://www.munzee.com/m/Anetzet/2951/")</f>
        <v>https://www.munzee.com/m/Anetzet/2951/</v>
      </c>
      <c r="D646" s="47"/>
      <c r="E646" s="47" t="b">
        <f>IFERROR(__xludf.DUMMYFUNCTION("""COMPUTED_VALUE"""),TRUE)</f>
        <v>1</v>
      </c>
      <c r="F646" s="47" t="str">
        <f>IFERROR(__xludf.DUMMYFUNCTION("""COMPUTED_VALUE"""),"")</f>
        <v/>
      </c>
      <c r="G646" s="47" t="str">
        <f>IFERROR(__xludf.DUMMYFUNCTION("""COMPUTED_VALUE"""),"")</f>
        <v/>
      </c>
      <c r="H646" s="47"/>
      <c r="I646" s="47">
        <f>IFERROR(__xludf.DUMMYFUNCTION("""COMPUTED_VALUE"""),2.0)</f>
        <v>2</v>
      </c>
      <c r="J646" s="47" t="str">
        <f>IFERROR(__xludf.DUMMYFUNCTION("""COMPUTED_VALUE"""),"https:")</f>
        <v>https:</v>
      </c>
      <c r="K646" s="78" t="str">
        <f>IFERROR(__xludf.DUMMYFUNCTION("""COMPUTED_VALUE"""),"www.munzee.com")</f>
        <v>www.munzee.com</v>
      </c>
      <c r="L646" s="47" t="str">
        <f>IFERROR(__xludf.DUMMYFUNCTION("""COMPUTED_VALUE"""),"m")</f>
        <v>m</v>
      </c>
      <c r="M646" s="47" t="str">
        <f>IFERROR(__xludf.DUMMYFUNCTION("""COMPUTED_VALUE"""),"Anetzet")</f>
        <v>Anetzet</v>
      </c>
    </row>
    <row r="647">
      <c r="A647" s="47" t="str">
        <f>IFERROR(__xludf.DUMMYFUNCTION("""COMPUTED_VALUE"""),"Virtual Brown")</f>
        <v>Virtual Brown</v>
      </c>
      <c r="B647" s="47" t="str">
        <f>IFERROR(__xludf.DUMMYFUNCTION("""COMPUTED_VALUE"""),"TheFatCats")</f>
        <v>TheFatCats</v>
      </c>
      <c r="C647" s="78" t="str">
        <f>IFERROR(__xludf.DUMMYFUNCTION("""COMPUTED_VALUE"""),"https://www.munzee.com/m/TheFatCats/3929/")</f>
        <v>https://www.munzee.com/m/TheFatCats/3929/</v>
      </c>
      <c r="D647" s="47"/>
      <c r="E647" s="47" t="b">
        <f>IFERROR(__xludf.DUMMYFUNCTION("""COMPUTED_VALUE"""),TRUE)</f>
        <v>1</v>
      </c>
      <c r="F647" s="47" t="str">
        <f>IFERROR(__xludf.DUMMYFUNCTION("""COMPUTED_VALUE"""),"")</f>
        <v/>
      </c>
      <c r="G647" s="47" t="str">
        <f>IFERROR(__xludf.DUMMYFUNCTION("""COMPUTED_VALUE"""),"")</f>
        <v/>
      </c>
      <c r="H647" s="47"/>
      <c r="I647" s="47">
        <f>IFERROR(__xludf.DUMMYFUNCTION("""COMPUTED_VALUE"""),2.0)</f>
        <v>2</v>
      </c>
      <c r="J647" s="47" t="str">
        <f>IFERROR(__xludf.DUMMYFUNCTION("""COMPUTED_VALUE"""),"https:")</f>
        <v>https:</v>
      </c>
      <c r="K647" s="78" t="str">
        <f>IFERROR(__xludf.DUMMYFUNCTION("""COMPUTED_VALUE"""),"www.munzee.com")</f>
        <v>www.munzee.com</v>
      </c>
      <c r="L647" s="47" t="str">
        <f>IFERROR(__xludf.DUMMYFUNCTION("""COMPUTED_VALUE"""),"m")</f>
        <v>m</v>
      </c>
      <c r="M647" s="47" t="str">
        <f>IFERROR(__xludf.DUMMYFUNCTION("""COMPUTED_VALUE"""),"TheFatCats")</f>
        <v>TheFatCats</v>
      </c>
    </row>
    <row r="648">
      <c r="A648" s="47" t="str">
        <f>IFERROR(__xludf.DUMMYFUNCTION("""COMPUTED_VALUE"""),"Virtual Raw Sienna")</f>
        <v>Virtual Raw Sienna</v>
      </c>
      <c r="B648" s="47" t="str">
        <f>IFERROR(__xludf.DUMMYFUNCTION("""COMPUTED_VALUE"""),"WiseOldWizard")</f>
        <v>WiseOldWizard</v>
      </c>
      <c r="C648" s="78" t="str">
        <f>IFERROR(__xludf.DUMMYFUNCTION("""COMPUTED_VALUE"""),"https://www.munzee.com/m/WiseOldWizard/4047/")</f>
        <v>https://www.munzee.com/m/WiseOldWizard/4047/</v>
      </c>
      <c r="D648" s="47"/>
      <c r="E648" s="47" t="b">
        <f>IFERROR(__xludf.DUMMYFUNCTION("""COMPUTED_VALUE"""),TRUE)</f>
        <v>1</v>
      </c>
      <c r="F648" s="47" t="str">
        <f>IFERROR(__xludf.DUMMYFUNCTION("""COMPUTED_VALUE"""),"")</f>
        <v/>
      </c>
      <c r="G648" s="47" t="str">
        <f>IFERROR(__xludf.DUMMYFUNCTION("""COMPUTED_VALUE"""),"")</f>
        <v/>
      </c>
      <c r="H648" s="47"/>
      <c r="I648" s="47">
        <f>IFERROR(__xludf.DUMMYFUNCTION("""COMPUTED_VALUE"""),2.0)</f>
        <v>2</v>
      </c>
      <c r="J648" s="47" t="str">
        <f>IFERROR(__xludf.DUMMYFUNCTION("""COMPUTED_VALUE"""),"https:")</f>
        <v>https:</v>
      </c>
      <c r="K648" s="78" t="str">
        <f>IFERROR(__xludf.DUMMYFUNCTION("""COMPUTED_VALUE"""),"www.munzee.com")</f>
        <v>www.munzee.com</v>
      </c>
      <c r="L648" s="47" t="str">
        <f>IFERROR(__xludf.DUMMYFUNCTION("""COMPUTED_VALUE"""),"m")</f>
        <v>m</v>
      </c>
      <c r="M648" s="47" t="str">
        <f>IFERROR(__xludf.DUMMYFUNCTION("""COMPUTED_VALUE"""),"WiseOldWizard")</f>
        <v>WiseOldWizard</v>
      </c>
    </row>
    <row r="649">
      <c r="A649" s="47" t="str">
        <f>IFERROR(__xludf.DUMMYFUNCTION("""COMPUTED_VALUE"""),"Virtual Brown")</f>
        <v>Virtual Brown</v>
      </c>
      <c r="B649" s="47" t="str">
        <f>IFERROR(__xludf.DUMMYFUNCTION("""COMPUTED_VALUE"""),"BrotherWiliam")</f>
        <v>BrotherWiliam</v>
      </c>
      <c r="C649" s="78" t="str">
        <f>IFERROR(__xludf.DUMMYFUNCTION("""COMPUTED_VALUE"""),"https://www.munzee.com/m/BrotherWilliam/4100/")</f>
        <v>https://www.munzee.com/m/BrotherWilliam/4100/</v>
      </c>
      <c r="D649" s="47"/>
      <c r="E649" s="47" t="b">
        <f>IFERROR(__xludf.DUMMYFUNCTION("""COMPUTED_VALUE"""),TRUE)</f>
        <v>1</v>
      </c>
      <c r="F649" s="47" t="str">
        <f>IFERROR(__xludf.DUMMYFUNCTION("""COMPUTED_VALUE"""),"")</f>
        <v/>
      </c>
      <c r="G649" s="47" t="str">
        <f>IFERROR(__xludf.DUMMYFUNCTION("""COMPUTED_VALUE"""),"")</f>
        <v/>
      </c>
      <c r="H649" s="47"/>
      <c r="I649" s="47">
        <f>IFERROR(__xludf.DUMMYFUNCTION("""COMPUTED_VALUE"""),2.0)</f>
        <v>2</v>
      </c>
      <c r="J649" s="47" t="str">
        <f>IFERROR(__xludf.DUMMYFUNCTION("""COMPUTED_VALUE"""),"https:")</f>
        <v>https:</v>
      </c>
      <c r="K649" s="78" t="str">
        <f>IFERROR(__xludf.DUMMYFUNCTION("""COMPUTED_VALUE"""),"www.munzee.com")</f>
        <v>www.munzee.com</v>
      </c>
      <c r="L649" s="47" t="str">
        <f>IFERROR(__xludf.DUMMYFUNCTION("""COMPUTED_VALUE"""),"m")</f>
        <v>m</v>
      </c>
      <c r="M649" s="47" t="str">
        <f>IFERROR(__xludf.DUMMYFUNCTION("""COMPUTED_VALUE"""),"BrotherWilliam")</f>
        <v>BrotherWilliam</v>
      </c>
    </row>
    <row r="650">
      <c r="A650" s="47" t="str">
        <f>IFERROR(__xludf.DUMMYFUNCTION("""COMPUTED_VALUE"""),"Virtual Brown")</f>
        <v>Virtual Brown</v>
      </c>
      <c r="B650" s="47" t="str">
        <f>IFERROR(__xludf.DUMMYFUNCTION("""COMPUTED_VALUE"""),"ArtofEco")</f>
        <v>ArtofEco</v>
      </c>
      <c r="C650" s="78" t="str">
        <f>IFERROR(__xludf.DUMMYFUNCTION("""COMPUTED_VALUE"""),"https://www.munzee.com/m/ArtofEco/3047/")</f>
        <v>https://www.munzee.com/m/ArtofEco/3047/</v>
      </c>
      <c r="D650" s="47"/>
      <c r="E650" s="47" t="b">
        <f>IFERROR(__xludf.DUMMYFUNCTION("""COMPUTED_VALUE"""),TRUE)</f>
        <v>1</v>
      </c>
      <c r="F650" s="47" t="str">
        <f>IFERROR(__xludf.DUMMYFUNCTION("""COMPUTED_VALUE"""),"")</f>
        <v/>
      </c>
      <c r="G650" s="47" t="str">
        <f>IFERROR(__xludf.DUMMYFUNCTION("""COMPUTED_VALUE"""),"")</f>
        <v/>
      </c>
      <c r="H650" s="47"/>
      <c r="I650" s="47">
        <f>IFERROR(__xludf.DUMMYFUNCTION("""COMPUTED_VALUE"""),2.0)</f>
        <v>2</v>
      </c>
      <c r="J650" s="47" t="str">
        <f>IFERROR(__xludf.DUMMYFUNCTION("""COMPUTED_VALUE"""),"https:")</f>
        <v>https:</v>
      </c>
      <c r="K650" s="78" t="str">
        <f>IFERROR(__xludf.DUMMYFUNCTION("""COMPUTED_VALUE"""),"www.munzee.com")</f>
        <v>www.munzee.com</v>
      </c>
      <c r="L650" s="47" t="str">
        <f>IFERROR(__xludf.DUMMYFUNCTION("""COMPUTED_VALUE"""),"m")</f>
        <v>m</v>
      </c>
      <c r="M650" s="47" t="str">
        <f>IFERROR(__xludf.DUMMYFUNCTION("""COMPUTED_VALUE"""),"ArtofEco")</f>
        <v>ArtofEco</v>
      </c>
    </row>
    <row r="651">
      <c r="A651" s="47" t="str">
        <f>IFERROR(__xludf.DUMMYFUNCTION("""COMPUTED_VALUE"""),"Virtual Raw Sienna")</f>
        <v>Virtual Raw Sienna</v>
      </c>
      <c r="B651" s="47" t="str">
        <f>IFERROR(__xludf.DUMMYFUNCTION("""COMPUTED_VALUE"""),"Wangotango")</f>
        <v>Wangotango</v>
      </c>
      <c r="C651" s="78" t="str">
        <f>IFERROR(__xludf.DUMMYFUNCTION("""COMPUTED_VALUE"""),"https://www.munzee.com/m/Wangotango/1366/")</f>
        <v>https://www.munzee.com/m/Wangotango/1366/</v>
      </c>
      <c r="D651" s="47"/>
      <c r="E651" s="47" t="b">
        <f>IFERROR(__xludf.DUMMYFUNCTION("""COMPUTED_VALUE"""),TRUE)</f>
        <v>1</v>
      </c>
      <c r="F651" s="47" t="str">
        <f>IFERROR(__xludf.DUMMYFUNCTION("""COMPUTED_VALUE"""),"")</f>
        <v/>
      </c>
      <c r="G651" s="47" t="str">
        <f>IFERROR(__xludf.DUMMYFUNCTION("""COMPUTED_VALUE"""),"")</f>
        <v/>
      </c>
      <c r="H651" s="47"/>
      <c r="I651" s="47">
        <f>IFERROR(__xludf.DUMMYFUNCTION("""COMPUTED_VALUE"""),2.0)</f>
        <v>2</v>
      </c>
      <c r="J651" s="47" t="str">
        <f>IFERROR(__xludf.DUMMYFUNCTION("""COMPUTED_VALUE"""),"https:")</f>
        <v>https:</v>
      </c>
      <c r="K651" s="78" t="str">
        <f>IFERROR(__xludf.DUMMYFUNCTION("""COMPUTED_VALUE"""),"www.munzee.com")</f>
        <v>www.munzee.com</v>
      </c>
      <c r="L651" s="47" t="str">
        <f>IFERROR(__xludf.DUMMYFUNCTION("""COMPUTED_VALUE"""),"m")</f>
        <v>m</v>
      </c>
      <c r="M651" s="47" t="str">
        <f>IFERROR(__xludf.DUMMYFUNCTION("""COMPUTED_VALUE"""),"Wangotango")</f>
        <v>Wangotango</v>
      </c>
    </row>
    <row r="652">
      <c r="A652" s="47" t="str">
        <f>IFERROR(__xludf.DUMMYFUNCTION("""COMPUTED_VALUE"""),"Virtual Brown")</f>
        <v>Virtual Brown</v>
      </c>
      <c r="B652" s="47" t="str">
        <f>IFERROR(__xludf.DUMMYFUNCTION("""COMPUTED_VALUE"""),"cbf600")</f>
        <v>cbf600</v>
      </c>
      <c r="C652" s="78" t="str">
        <f>IFERROR(__xludf.DUMMYFUNCTION("""COMPUTED_VALUE"""),"https://www.munzee.com/m/cbf600/2507/")</f>
        <v>https://www.munzee.com/m/cbf600/2507/</v>
      </c>
      <c r="D652" s="47"/>
      <c r="E652" s="47" t="b">
        <f>IFERROR(__xludf.DUMMYFUNCTION("""COMPUTED_VALUE"""),TRUE)</f>
        <v>1</v>
      </c>
      <c r="F652" s="47" t="str">
        <f>IFERROR(__xludf.DUMMYFUNCTION("""COMPUTED_VALUE"""),"")</f>
        <v/>
      </c>
      <c r="G652" s="47" t="str">
        <f>IFERROR(__xludf.DUMMYFUNCTION("""COMPUTED_VALUE"""),"")</f>
        <v/>
      </c>
      <c r="H652" s="47"/>
      <c r="I652" s="47">
        <f>IFERROR(__xludf.DUMMYFUNCTION("""COMPUTED_VALUE"""),2.0)</f>
        <v>2</v>
      </c>
      <c r="J652" s="47" t="str">
        <f>IFERROR(__xludf.DUMMYFUNCTION("""COMPUTED_VALUE"""),"https:")</f>
        <v>https:</v>
      </c>
      <c r="K652" s="78" t="str">
        <f>IFERROR(__xludf.DUMMYFUNCTION("""COMPUTED_VALUE"""),"www.munzee.com")</f>
        <v>www.munzee.com</v>
      </c>
      <c r="L652" s="47" t="str">
        <f>IFERROR(__xludf.DUMMYFUNCTION("""COMPUTED_VALUE"""),"m")</f>
        <v>m</v>
      </c>
      <c r="M652" s="47" t="str">
        <f>IFERROR(__xludf.DUMMYFUNCTION("""COMPUTED_VALUE"""),"cbf600")</f>
        <v>cbf600</v>
      </c>
    </row>
    <row r="653">
      <c r="A653" s="47" t="str">
        <f>IFERROR(__xludf.DUMMYFUNCTION("""COMPUTED_VALUE"""),"Virtual Raw Sienna")</f>
        <v>Virtual Raw Sienna</v>
      </c>
      <c r="B653" s="47" t="str">
        <f>IFERROR(__xludf.DUMMYFUNCTION("""COMPUTED_VALUE"""),"IggiePiggie")</f>
        <v>IggiePiggie</v>
      </c>
      <c r="C653" s="78" t="str">
        <f>IFERROR(__xludf.DUMMYFUNCTION("""COMPUTED_VALUE"""),"https://www.munzee.com/m/IggiePiggie/2109/")</f>
        <v>https://www.munzee.com/m/IggiePiggie/2109/</v>
      </c>
      <c r="D653" s="47"/>
      <c r="E653" s="47" t="b">
        <f>IFERROR(__xludf.DUMMYFUNCTION("""COMPUTED_VALUE"""),TRUE)</f>
        <v>1</v>
      </c>
      <c r="F653" s="47" t="str">
        <f>IFERROR(__xludf.DUMMYFUNCTION("""COMPUTED_VALUE"""),"")</f>
        <v/>
      </c>
      <c r="G653" s="47" t="str">
        <f>IFERROR(__xludf.DUMMYFUNCTION("""COMPUTED_VALUE"""),"")</f>
        <v/>
      </c>
      <c r="H653" s="47"/>
      <c r="I653" s="47">
        <f>IFERROR(__xludf.DUMMYFUNCTION("""COMPUTED_VALUE"""),2.0)</f>
        <v>2</v>
      </c>
      <c r="J653" s="47" t="str">
        <f>IFERROR(__xludf.DUMMYFUNCTION("""COMPUTED_VALUE"""),"https:")</f>
        <v>https:</v>
      </c>
      <c r="K653" s="78" t="str">
        <f>IFERROR(__xludf.DUMMYFUNCTION("""COMPUTED_VALUE"""),"www.munzee.com")</f>
        <v>www.munzee.com</v>
      </c>
      <c r="L653" s="47" t="str">
        <f>IFERROR(__xludf.DUMMYFUNCTION("""COMPUTED_VALUE"""),"m")</f>
        <v>m</v>
      </c>
      <c r="M653" s="47" t="str">
        <f>IFERROR(__xludf.DUMMYFUNCTION("""COMPUTED_VALUE"""),"IggiePiggie")</f>
        <v>IggiePiggie</v>
      </c>
    </row>
    <row r="654">
      <c r="A654" s="47" t="str">
        <f>IFERROR(__xludf.DUMMYFUNCTION("""COMPUTED_VALUE"""),"Virtual Brown")</f>
        <v>Virtual Brown</v>
      </c>
      <c r="B654" s="47" t="str">
        <f>IFERROR(__xludf.DUMMYFUNCTION("""COMPUTED_VALUE"""),"Fossillady")</f>
        <v>Fossillady</v>
      </c>
      <c r="C654" s="78" t="str">
        <f>IFERROR(__xludf.DUMMYFUNCTION("""COMPUTED_VALUE"""),"https://www.munzee.com/m/Fossillady/3471/")</f>
        <v>https://www.munzee.com/m/Fossillady/3471/</v>
      </c>
      <c r="D654" s="47"/>
      <c r="E654" s="47" t="b">
        <f>IFERROR(__xludf.DUMMYFUNCTION("""COMPUTED_VALUE"""),TRUE)</f>
        <v>1</v>
      </c>
      <c r="F654" s="47" t="str">
        <f>IFERROR(__xludf.DUMMYFUNCTION("""COMPUTED_VALUE"""),"")</f>
        <v/>
      </c>
      <c r="G654" s="47" t="str">
        <f>IFERROR(__xludf.DUMMYFUNCTION("""COMPUTED_VALUE"""),"")</f>
        <v/>
      </c>
      <c r="H654" s="47"/>
      <c r="I654" s="47">
        <f>IFERROR(__xludf.DUMMYFUNCTION("""COMPUTED_VALUE"""),2.0)</f>
        <v>2</v>
      </c>
      <c r="J654" s="47" t="str">
        <f>IFERROR(__xludf.DUMMYFUNCTION("""COMPUTED_VALUE"""),"https:")</f>
        <v>https:</v>
      </c>
      <c r="K654" s="78" t="str">
        <f>IFERROR(__xludf.DUMMYFUNCTION("""COMPUTED_VALUE"""),"www.munzee.com")</f>
        <v>www.munzee.com</v>
      </c>
      <c r="L654" s="47" t="str">
        <f>IFERROR(__xludf.DUMMYFUNCTION("""COMPUTED_VALUE"""),"m")</f>
        <v>m</v>
      </c>
      <c r="M654" s="47" t="str">
        <f>IFERROR(__xludf.DUMMYFUNCTION("""COMPUTED_VALUE"""),"Fossillady")</f>
        <v>Fossillady</v>
      </c>
    </row>
    <row r="655">
      <c r="A655" s="47" t="str">
        <f>IFERROR(__xludf.DUMMYFUNCTION("""COMPUTED_VALUE"""),"Virtual Brown")</f>
        <v>Virtual Brown</v>
      </c>
      <c r="B655" s="47" t="str">
        <f>IFERROR(__xludf.DUMMYFUNCTION("""COMPUTED_VALUE"""),"Trappertje")</f>
        <v>Trappertje</v>
      </c>
      <c r="C655" s="78" t="str">
        <f>IFERROR(__xludf.DUMMYFUNCTION("""COMPUTED_VALUE"""),"https://www.munzee.com/m/Trappertje/5488/")</f>
        <v>https://www.munzee.com/m/Trappertje/5488/</v>
      </c>
      <c r="D655" s="47"/>
      <c r="E655" s="47" t="b">
        <f>IFERROR(__xludf.DUMMYFUNCTION("""COMPUTED_VALUE"""),TRUE)</f>
        <v>1</v>
      </c>
      <c r="F655" s="47" t="str">
        <f>IFERROR(__xludf.DUMMYFUNCTION("""COMPUTED_VALUE"""),"")</f>
        <v/>
      </c>
      <c r="G655" s="47" t="str">
        <f>IFERROR(__xludf.DUMMYFUNCTION("""COMPUTED_VALUE"""),"")</f>
        <v/>
      </c>
      <c r="H655" s="47"/>
      <c r="I655" s="47">
        <f>IFERROR(__xludf.DUMMYFUNCTION("""COMPUTED_VALUE"""),2.0)</f>
        <v>2</v>
      </c>
      <c r="J655" s="47" t="str">
        <f>IFERROR(__xludf.DUMMYFUNCTION("""COMPUTED_VALUE"""),"https:")</f>
        <v>https:</v>
      </c>
      <c r="K655" s="78" t="str">
        <f>IFERROR(__xludf.DUMMYFUNCTION("""COMPUTED_VALUE"""),"www.munzee.com")</f>
        <v>www.munzee.com</v>
      </c>
      <c r="L655" s="47" t="str">
        <f>IFERROR(__xludf.DUMMYFUNCTION("""COMPUTED_VALUE"""),"m")</f>
        <v>m</v>
      </c>
      <c r="M655" s="47" t="str">
        <f>IFERROR(__xludf.DUMMYFUNCTION("""COMPUTED_VALUE"""),"Trappertje")</f>
        <v>Trappertje</v>
      </c>
    </row>
    <row r="656">
      <c r="A656" s="47" t="str">
        <f>IFERROR(__xludf.DUMMYFUNCTION("""COMPUTED_VALUE"""),"Virtual Brown")</f>
        <v>Virtual Brown</v>
      </c>
      <c r="B656" s="47" t="str">
        <f>IFERROR(__xludf.DUMMYFUNCTION("""COMPUTED_VALUE"""),"mding4gold")</f>
        <v>mding4gold</v>
      </c>
      <c r="C656" s="78" t="str">
        <f>IFERROR(__xludf.DUMMYFUNCTION("""COMPUTED_VALUE"""),"https://www.munzee.com/m/mding4gold/4867")</f>
        <v>https://www.munzee.com/m/mding4gold/4867</v>
      </c>
      <c r="D656" s="47"/>
      <c r="E656" s="47" t="b">
        <f>IFERROR(__xludf.DUMMYFUNCTION("""COMPUTED_VALUE"""),TRUE)</f>
        <v>1</v>
      </c>
      <c r="F656" s="47" t="str">
        <f>IFERROR(__xludf.DUMMYFUNCTION("""COMPUTED_VALUE"""),"")</f>
        <v/>
      </c>
      <c r="G656" s="47" t="str">
        <f>IFERROR(__xludf.DUMMYFUNCTION("""COMPUTED_VALUE"""),"")</f>
        <v/>
      </c>
      <c r="H656" s="47"/>
      <c r="I656" s="47">
        <f>IFERROR(__xludf.DUMMYFUNCTION("""COMPUTED_VALUE"""),2.0)</f>
        <v>2</v>
      </c>
      <c r="J656" s="47" t="str">
        <f>IFERROR(__xludf.DUMMYFUNCTION("""COMPUTED_VALUE"""),"https:")</f>
        <v>https:</v>
      </c>
      <c r="K656" s="78" t="str">
        <f>IFERROR(__xludf.DUMMYFUNCTION("""COMPUTED_VALUE"""),"www.munzee.com")</f>
        <v>www.munzee.com</v>
      </c>
      <c r="L656" s="47" t="str">
        <f>IFERROR(__xludf.DUMMYFUNCTION("""COMPUTED_VALUE"""),"m")</f>
        <v>m</v>
      </c>
      <c r="M656" s="47" t="str">
        <f>IFERROR(__xludf.DUMMYFUNCTION("""COMPUTED_VALUE"""),"mding4gold")</f>
        <v>mding4gold</v>
      </c>
    </row>
    <row r="657">
      <c r="A657" s="47" t="str">
        <f>IFERROR(__xludf.DUMMYFUNCTION("""COMPUTED_VALUE"""),"Virtual Brown")</f>
        <v>Virtual Brown</v>
      </c>
      <c r="B657" s="47" t="str">
        <f>IFERROR(__xludf.DUMMYFUNCTION("""COMPUTED_VALUE"""),"cbf600")</f>
        <v>cbf600</v>
      </c>
      <c r="C657" s="78" t="str">
        <f>IFERROR(__xludf.DUMMYFUNCTION("""COMPUTED_VALUE"""),"https://www.munzee.com/m/cbf600/2646/")</f>
        <v>https://www.munzee.com/m/cbf600/2646/</v>
      </c>
      <c r="D657" s="47"/>
      <c r="E657" s="47" t="b">
        <f>IFERROR(__xludf.DUMMYFUNCTION("""COMPUTED_VALUE"""),TRUE)</f>
        <v>1</v>
      </c>
      <c r="F657" s="47" t="str">
        <f>IFERROR(__xludf.DUMMYFUNCTION("""COMPUTED_VALUE"""),"")</f>
        <v/>
      </c>
      <c r="G657" s="47" t="str">
        <f>IFERROR(__xludf.DUMMYFUNCTION("""COMPUTED_VALUE"""),"")</f>
        <v/>
      </c>
      <c r="H657" s="47"/>
      <c r="I657" s="47">
        <f>IFERROR(__xludf.DUMMYFUNCTION("""COMPUTED_VALUE"""),2.0)</f>
        <v>2</v>
      </c>
      <c r="J657" s="47" t="str">
        <f>IFERROR(__xludf.DUMMYFUNCTION("""COMPUTED_VALUE"""),"https:")</f>
        <v>https:</v>
      </c>
      <c r="K657" s="78" t="str">
        <f>IFERROR(__xludf.DUMMYFUNCTION("""COMPUTED_VALUE"""),"www.munzee.com")</f>
        <v>www.munzee.com</v>
      </c>
      <c r="L657" s="47" t="str">
        <f>IFERROR(__xludf.DUMMYFUNCTION("""COMPUTED_VALUE"""),"m")</f>
        <v>m</v>
      </c>
      <c r="M657" s="47" t="str">
        <f>IFERROR(__xludf.DUMMYFUNCTION("""COMPUTED_VALUE"""),"cbf600")</f>
        <v>cbf600</v>
      </c>
    </row>
    <row r="658">
      <c r="A658" s="47" t="str">
        <f>IFERROR(__xludf.DUMMYFUNCTION("""COMPUTED_VALUE"""),"Virtual Brown")</f>
        <v>Virtual Brown</v>
      </c>
      <c r="B658" s="47" t="str">
        <f>IFERROR(__xludf.DUMMYFUNCTION("""COMPUTED_VALUE"""),"sverlaan")</f>
        <v>sverlaan</v>
      </c>
      <c r="C658" s="78" t="str">
        <f>IFERROR(__xludf.DUMMYFUNCTION("""COMPUTED_VALUE"""),"https://www.munzee.com/m/sverlaan/5175/")</f>
        <v>https://www.munzee.com/m/sverlaan/5175/</v>
      </c>
      <c r="D658" s="47"/>
      <c r="E658" s="47" t="b">
        <f>IFERROR(__xludf.DUMMYFUNCTION("""COMPUTED_VALUE"""),TRUE)</f>
        <v>1</v>
      </c>
      <c r="F658" s="47" t="str">
        <f>IFERROR(__xludf.DUMMYFUNCTION("""COMPUTED_VALUE"""),"")</f>
        <v/>
      </c>
      <c r="G658" s="47" t="str">
        <f>IFERROR(__xludf.DUMMYFUNCTION("""COMPUTED_VALUE"""),"")</f>
        <v/>
      </c>
      <c r="H658" s="47"/>
      <c r="I658" s="47">
        <f>IFERROR(__xludf.DUMMYFUNCTION("""COMPUTED_VALUE"""),2.0)</f>
        <v>2</v>
      </c>
      <c r="J658" s="47" t="str">
        <f>IFERROR(__xludf.DUMMYFUNCTION("""COMPUTED_VALUE"""),"https:")</f>
        <v>https:</v>
      </c>
      <c r="K658" s="78" t="str">
        <f>IFERROR(__xludf.DUMMYFUNCTION("""COMPUTED_VALUE"""),"www.munzee.com")</f>
        <v>www.munzee.com</v>
      </c>
      <c r="L658" s="47" t="str">
        <f>IFERROR(__xludf.DUMMYFUNCTION("""COMPUTED_VALUE"""),"m")</f>
        <v>m</v>
      </c>
      <c r="M658" s="47" t="str">
        <f>IFERROR(__xludf.DUMMYFUNCTION("""COMPUTED_VALUE"""),"sverlaan")</f>
        <v>sverlaan</v>
      </c>
    </row>
    <row r="659">
      <c r="A659" s="47" t="str">
        <f>IFERROR(__xludf.DUMMYFUNCTION("""COMPUTED_VALUE"""),"Virtual Brown")</f>
        <v>Virtual Brown</v>
      </c>
      <c r="B659" s="47" t="str">
        <f>IFERROR(__xludf.DUMMYFUNCTION("""COMPUTED_VALUE"""),"Bisquick2")</f>
        <v>Bisquick2</v>
      </c>
      <c r="C659" s="78" t="str">
        <f>IFERROR(__xludf.DUMMYFUNCTION("""COMPUTED_VALUE"""),"https://www.munzee.com/m/Bisquick2/4559/")</f>
        <v>https://www.munzee.com/m/Bisquick2/4559/</v>
      </c>
      <c r="D659" s="47"/>
      <c r="E659" s="47" t="b">
        <f>IFERROR(__xludf.DUMMYFUNCTION("""COMPUTED_VALUE"""),TRUE)</f>
        <v>1</v>
      </c>
      <c r="F659" s="47" t="str">
        <f>IFERROR(__xludf.DUMMYFUNCTION("""COMPUTED_VALUE"""),"")</f>
        <v/>
      </c>
      <c r="G659" s="47" t="str">
        <f>IFERROR(__xludf.DUMMYFUNCTION("""COMPUTED_VALUE"""),"")</f>
        <v/>
      </c>
      <c r="H659" s="47"/>
      <c r="I659" s="47">
        <f>IFERROR(__xludf.DUMMYFUNCTION("""COMPUTED_VALUE"""),2.0)</f>
        <v>2</v>
      </c>
      <c r="J659" s="47" t="str">
        <f>IFERROR(__xludf.DUMMYFUNCTION("""COMPUTED_VALUE"""),"https:")</f>
        <v>https:</v>
      </c>
      <c r="K659" s="78" t="str">
        <f>IFERROR(__xludf.DUMMYFUNCTION("""COMPUTED_VALUE"""),"www.munzee.com")</f>
        <v>www.munzee.com</v>
      </c>
      <c r="L659" s="47" t="str">
        <f>IFERROR(__xludf.DUMMYFUNCTION("""COMPUTED_VALUE"""),"m")</f>
        <v>m</v>
      </c>
      <c r="M659" s="47" t="str">
        <f>IFERROR(__xludf.DUMMYFUNCTION("""COMPUTED_VALUE"""),"Bisquick2")</f>
        <v>Bisquick2</v>
      </c>
    </row>
    <row r="660">
      <c r="A660" s="47" t="str">
        <f>IFERROR(__xludf.DUMMYFUNCTION("""COMPUTED_VALUE"""),"Virtual Brown")</f>
        <v>Virtual Brown</v>
      </c>
      <c r="B660" s="47" t="str">
        <f>IFERROR(__xludf.DUMMYFUNCTION("""COMPUTED_VALUE"""),"sverlaan")</f>
        <v>sverlaan</v>
      </c>
      <c r="C660" s="78" t="str">
        <f>IFERROR(__xludf.DUMMYFUNCTION("""COMPUTED_VALUE"""),"https://www.munzee.com/m/sverlaan/5026/")</f>
        <v>https://www.munzee.com/m/sverlaan/5026/</v>
      </c>
      <c r="D660" s="47"/>
      <c r="E660" s="47" t="b">
        <f>IFERROR(__xludf.DUMMYFUNCTION("""COMPUTED_VALUE"""),TRUE)</f>
        <v>1</v>
      </c>
      <c r="F660" s="47" t="str">
        <f>IFERROR(__xludf.DUMMYFUNCTION("""COMPUTED_VALUE"""),"")</f>
        <v/>
      </c>
      <c r="G660" s="47" t="str">
        <f>IFERROR(__xludf.DUMMYFUNCTION("""COMPUTED_VALUE"""),"")</f>
        <v/>
      </c>
      <c r="H660" s="47"/>
      <c r="I660" s="47">
        <f>IFERROR(__xludf.DUMMYFUNCTION("""COMPUTED_VALUE"""),2.0)</f>
        <v>2</v>
      </c>
      <c r="J660" s="47" t="str">
        <f>IFERROR(__xludf.DUMMYFUNCTION("""COMPUTED_VALUE"""),"https:")</f>
        <v>https:</v>
      </c>
      <c r="K660" s="78" t="str">
        <f>IFERROR(__xludf.DUMMYFUNCTION("""COMPUTED_VALUE"""),"www.munzee.com")</f>
        <v>www.munzee.com</v>
      </c>
      <c r="L660" s="47" t="str">
        <f>IFERROR(__xludf.DUMMYFUNCTION("""COMPUTED_VALUE"""),"m")</f>
        <v>m</v>
      </c>
      <c r="M660" s="47" t="str">
        <f>IFERROR(__xludf.DUMMYFUNCTION("""COMPUTED_VALUE"""),"sverlaan")</f>
        <v>sverlaan</v>
      </c>
    </row>
    <row r="661">
      <c r="A661" s="47" t="str">
        <f>IFERROR(__xludf.DUMMYFUNCTION("""COMPUTED_VALUE"""),"Virtual Raw Sienna")</f>
        <v>Virtual Raw Sienna</v>
      </c>
      <c r="B661" s="47" t="str">
        <f>IFERROR(__xludf.DUMMYFUNCTION("""COMPUTED_VALUE"""),"FlatBlack")</f>
        <v>FlatBlack</v>
      </c>
      <c r="C661" s="78" t="str">
        <f>IFERROR(__xludf.DUMMYFUNCTION("""COMPUTED_VALUE"""),"https://www.munzee.com/m/FlatBlack/966")</f>
        <v>https://www.munzee.com/m/FlatBlack/966</v>
      </c>
      <c r="D661" s="47"/>
      <c r="E661" s="47" t="b">
        <f>IFERROR(__xludf.DUMMYFUNCTION("""COMPUTED_VALUE"""),TRUE)</f>
        <v>1</v>
      </c>
      <c r="F661" s="47" t="str">
        <f>IFERROR(__xludf.DUMMYFUNCTION("""COMPUTED_VALUE"""),"")</f>
        <v/>
      </c>
      <c r="G661" s="47" t="str">
        <f>IFERROR(__xludf.DUMMYFUNCTION("""COMPUTED_VALUE"""),"")</f>
        <v/>
      </c>
      <c r="H661" s="47"/>
      <c r="I661" s="47">
        <f>IFERROR(__xludf.DUMMYFUNCTION("""COMPUTED_VALUE"""),2.0)</f>
        <v>2</v>
      </c>
      <c r="J661" s="47" t="str">
        <f>IFERROR(__xludf.DUMMYFUNCTION("""COMPUTED_VALUE"""),"https:")</f>
        <v>https:</v>
      </c>
      <c r="K661" s="78" t="str">
        <f>IFERROR(__xludf.DUMMYFUNCTION("""COMPUTED_VALUE"""),"www.munzee.com")</f>
        <v>www.munzee.com</v>
      </c>
      <c r="L661" s="47" t="str">
        <f>IFERROR(__xludf.DUMMYFUNCTION("""COMPUTED_VALUE"""),"m")</f>
        <v>m</v>
      </c>
      <c r="M661" s="47" t="str">
        <f>IFERROR(__xludf.DUMMYFUNCTION("""COMPUTED_VALUE"""),"FlatBlack")</f>
        <v>FlatBlack</v>
      </c>
    </row>
    <row r="662">
      <c r="A662" s="47" t="str">
        <f>IFERROR(__xludf.DUMMYFUNCTION("""COMPUTED_VALUE"""),"Virtual Brown")</f>
        <v>Virtual Brown</v>
      </c>
      <c r="B662" s="47" t="str">
        <f>IFERROR(__xludf.DUMMYFUNCTION("""COMPUTED_VALUE"""),"Pawpatrolthomas")</f>
        <v>Pawpatrolthomas</v>
      </c>
      <c r="C662" s="78" t="str">
        <f>IFERROR(__xludf.DUMMYFUNCTION("""COMPUTED_VALUE"""),"https://www.munzee.com/m/PawPatrolThomas/2082/")</f>
        <v>https://www.munzee.com/m/PawPatrolThomas/2082/</v>
      </c>
      <c r="D662" s="47"/>
      <c r="E662" s="47" t="b">
        <f>IFERROR(__xludf.DUMMYFUNCTION("""COMPUTED_VALUE"""),TRUE)</f>
        <v>1</v>
      </c>
      <c r="F662" s="47" t="str">
        <f>IFERROR(__xludf.DUMMYFUNCTION("""COMPUTED_VALUE"""),"")</f>
        <v/>
      </c>
      <c r="G662" s="47" t="str">
        <f>IFERROR(__xludf.DUMMYFUNCTION("""COMPUTED_VALUE"""),"")</f>
        <v/>
      </c>
      <c r="H662" s="47"/>
      <c r="I662" s="47">
        <f>IFERROR(__xludf.DUMMYFUNCTION("""COMPUTED_VALUE"""),2.0)</f>
        <v>2</v>
      </c>
      <c r="J662" s="47" t="str">
        <f>IFERROR(__xludf.DUMMYFUNCTION("""COMPUTED_VALUE"""),"https:")</f>
        <v>https:</v>
      </c>
      <c r="K662" s="78" t="str">
        <f>IFERROR(__xludf.DUMMYFUNCTION("""COMPUTED_VALUE"""),"www.munzee.com")</f>
        <v>www.munzee.com</v>
      </c>
      <c r="L662" s="47" t="str">
        <f>IFERROR(__xludf.DUMMYFUNCTION("""COMPUTED_VALUE"""),"m")</f>
        <v>m</v>
      </c>
      <c r="M662" s="47" t="str">
        <f>IFERROR(__xludf.DUMMYFUNCTION("""COMPUTED_VALUE"""),"PawPatrolThomas")</f>
        <v>PawPatrolThomas</v>
      </c>
    </row>
    <row r="663">
      <c r="A663" s="47" t="str">
        <f>IFERROR(__xludf.DUMMYFUNCTION("""COMPUTED_VALUE"""),"Virtual Brown")</f>
        <v>Virtual Brown</v>
      </c>
      <c r="B663" s="47" t="str">
        <f>IFERROR(__xludf.DUMMYFUNCTION("""COMPUTED_VALUE"""),"sverlaan")</f>
        <v>sverlaan</v>
      </c>
      <c r="C663" s="78" t="str">
        <f>IFERROR(__xludf.DUMMYFUNCTION("""COMPUTED_VALUE"""),"https://www.munzee.com/m/sverlaan/3887/")</f>
        <v>https://www.munzee.com/m/sverlaan/3887/</v>
      </c>
      <c r="D663" s="47"/>
      <c r="E663" s="47" t="b">
        <f>IFERROR(__xludf.DUMMYFUNCTION("""COMPUTED_VALUE"""),TRUE)</f>
        <v>1</v>
      </c>
      <c r="F663" s="47" t="str">
        <f>IFERROR(__xludf.DUMMYFUNCTION("""COMPUTED_VALUE"""),"")</f>
        <v/>
      </c>
      <c r="G663" s="47" t="str">
        <f>IFERROR(__xludf.DUMMYFUNCTION("""COMPUTED_VALUE"""),"")</f>
        <v/>
      </c>
      <c r="H663" s="47"/>
      <c r="I663" s="47">
        <f>IFERROR(__xludf.DUMMYFUNCTION("""COMPUTED_VALUE"""),2.0)</f>
        <v>2</v>
      </c>
      <c r="J663" s="47" t="str">
        <f>IFERROR(__xludf.DUMMYFUNCTION("""COMPUTED_VALUE"""),"https:")</f>
        <v>https:</v>
      </c>
      <c r="K663" s="78" t="str">
        <f>IFERROR(__xludf.DUMMYFUNCTION("""COMPUTED_VALUE"""),"www.munzee.com")</f>
        <v>www.munzee.com</v>
      </c>
      <c r="L663" s="47" t="str">
        <f>IFERROR(__xludf.DUMMYFUNCTION("""COMPUTED_VALUE"""),"m")</f>
        <v>m</v>
      </c>
      <c r="M663" s="47" t="str">
        <f>IFERROR(__xludf.DUMMYFUNCTION("""COMPUTED_VALUE"""),"sverlaan")</f>
        <v>sverlaan</v>
      </c>
    </row>
    <row r="664">
      <c r="A664" s="47" t="str">
        <f>IFERROR(__xludf.DUMMYFUNCTION("""COMPUTED_VALUE"""),"Virtual Raw Sienna")</f>
        <v>Virtual Raw Sienna</v>
      </c>
      <c r="B664" s="47" t="str">
        <f>IFERROR(__xludf.DUMMYFUNCTION("""COMPUTED_VALUE"""),"Amadoreugen")</f>
        <v>Amadoreugen</v>
      </c>
      <c r="C664" s="78" t="str">
        <f>IFERROR(__xludf.DUMMYFUNCTION("""COMPUTED_VALUE"""),"https://www.munzee.com/m/amadoreugen/5827")</f>
        <v>https://www.munzee.com/m/amadoreugen/5827</v>
      </c>
      <c r="D664" s="47"/>
      <c r="E664" s="47" t="b">
        <f>IFERROR(__xludf.DUMMYFUNCTION("""COMPUTED_VALUE"""),TRUE)</f>
        <v>1</v>
      </c>
      <c r="F664" s="47" t="str">
        <f>IFERROR(__xludf.DUMMYFUNCTION("""COMPUTED_VALUE"""),"")</f>
        <v/>
      </c>
      <c r="G664" s="47" t="str">
        <f>IFERROR(__xludf.DUMMYFUNCTION("""COMPUTED_VALUE"""),"")</f>
        <v/>
      </c>
      <c r="H664" s="47"/>
      <c r="I664" s="47">
        <f>IFERROR(__xludf.DUMMYFUNCTION("""COMPUTED_VALUE"""),2.0)</f>
        <v>2</v>
      </c>
      <c r="J664" s="47" t="str">
        <f>IFERROR(__xludf.DUMMYFUNCTION("""COMPUTED_VALUE"""),"https:")</f>
        <v>https:</v>
      </c>
      <c r="K664" s="78" t="str">
        <f>IFERROR(__xludf.DUMMYFUNCTION("""COMPUTED_VALUE"""),"www.munzee.com")</f>
        <v>www.munzee.com</v>
      </c>
      <c r="L664" s="47" t="str">
        <f>IFERROR(__xludf.DUMMYFUNCTION("""COMPUTED_VALUE"""),"m")</f>
        <v>m</v>
      </c>
      <c r="M664" s="47" t="str">
        <f>IFERROR(__xludf.DUMMYFUNCTION("""COMPUTED_VALUE"""),"amadoreugen")</f>
        <v>amadoreugen</v>
      </c>
    </row>
    <row r="665">
      <c r="A665" s="47" t="str">
        <f>IFERROR(__xludf.DUMMYFUNCTION("""COMPUTED_VALUE"""),"Virtual Brown")</f>
        <v>Virtual Brown</v>
      </c>
      <c r="B665" s="47" t="str">
        <f>IFERROR(__xludf.DUMMYFUNCTION("""COMPUTED_VALUE"""),"TheFrog")</f>
        <v>TheFrog</v>
      </c>
      <c r="C665" s="78" t="str">
        <f>IFERROR(__xludf.DUMMYFUNCTION("""COMPUTED_VALUE"""),"https://www.munzee.com/m/TheFrog/4457/")</f>
        <v>https://www.munzee.com/m/TheFrog/4457/</v>
      </c>
      <c r="D665" s="47"/>
      <c r="E665" s="47" t="b">
        <f>IFERROR(__xludf.DUMMYFUNCTION("""COMPUTED_VALUE"""),TRUE)</f>
        <v>1</v>
      </c>
      <c r="F665" s="47" t="str">
        <f>IFERROR(__xludf.DUMMYFUNCTION("""COMPUTED_VALUE"""),"")</f>
        <v/>
      </c>
      <c r="G665" s="47" t="str">
        <f>IFERROR(__xludf.DUMMYFUNCTION("""COMPUTED_VALUE"""),"")</f>
        <v/>
      </c>
      <c r="H665" s="47"/>
      <c r="I665" s="47">
        <f>IFERROR(__xludf.DUMMYFUNCTION("""COMPUTED_VALUE"""),2.0)</f>
        <v>2</v>
      </c>
      <c r="J665" s="47" t="str">
        <f>IFERROR(__xludf.DUMMYFUNCTION("""COMPUTED_VALUE"""),"https:")</f>
        <v>https:</v>
      </c>
      <c r="K665" s="78" t="str">
        <f>IFERROR(__xludf.DUMMYFUNCTION("""COMPUTED_VALUE"""),"www.munzee.com")</f>
        <v>www.munzee.com</v>
      </c>
      <c r="L665" s="47" t="str">
        <f>IFERROR(__xludf.DUMMYFUNCTION("""COMPUTED_VALUE"""),"m")</f>
        <v>m</v>
      </c>
      <c r="M665" s="47" t="str">
        <f>IFERROR(__xludf.DUMMYFUNCTION("""COMPUTED_VALUE"""),"TheFrog")</f>
        <v>TheFrog</v>
      </c>
    </row>
    <row r="666">
      <c r="A666" s="47" t="str">
        <f>IFERROR(__xludf.DUMMYFUNCTION("""COMPUTED_VALUE"""),"Virtual Brown")</f>
        <v>Virtual Brown</v>
      </c>
      <c r="B666" s="47" t="str">
        <f>IFERROR(__xludf.DUMMYFUNCTION("""COMPUTED_VALUE"""),"123xilef")</f>
        <v>123xilef</v>
      </c>
      <c r="C666" s="78" t="str">
        <f>IFERROR(__xludf.DUMMYFUNCTION("""COMPUTED_VALUE"""),"https://www.munzee.com/m/123xilef/6997/")</f>
        <v>https://www.munzee.com/m/123xilef/6997/</v>
      </c>
      <c r="D666" s="47"/>
      <c r="E666" s="47" t="b">
        <f>IFERROR(__xludf.DUMMYFUNCTION("""COMPUTED_VALUE"""),TRUE)</f>
        <v>1</v>
      </c>
      <c r="F666" s="47" t="str">
        <f>IFERROR(__xludf.DUMMYFUNCTION("""COMPUTED_VALUE"""),"")</f>
        <v/>
      </c>
      <c r="G666" s="47" t="str">
        <f>IFERROR(__xludf.DUMMYFUNCTION("""COMPUTED_VALUE"""),"")</f>
        <v/>
      </c>
      <c r="H666" s="47"/>
      <c r="I666" s="47">
        <f>IFERROR(__xludf.DUMMYFUNCTION("""COMPUTED_VALUE"""),2.0)</f>
        <v>2</v>
      </c>
      <c r="J666" s="47" t="str">
        <f>IFERROR(__xludf.DUMMYFUNCTION("""COMPUTED_VALUE"""),"https:")</f>
        <v>https:</v>
      </c>
      <c r="K666" s="78" t="str">
        <f>IFERROR(__xludf.DUMMYFUNCTION("""COMPUTED_VALUE"""),"www.munzee.com")</f>
        <v>www.munzee.com</v>
      </c>
      <c r="L666" s="47" t="str">
        <f>IFERROR(__xludf.DUMMYFUNCTION("""COMPUTED_VALUE"""),"m")</f>
        <v>m</v>
      </c>
      <c r="M666" s="47" t="str">
        <f>IFERROR(__xludf.DUMMYFUNCTION("""COMPUTED_VALUE"""),"123xilef")</f>
        <v>123xilef</v>
      </c>
    </row>
    <row r="667">
      <c r="A667" s="47" t="str">
        <f>IFERROR(__xludf.DUMMYFUNCTION("""COMPUTED_VALUE"""),"Virtual Raw Sienna")</f>
        <v>Virtual Raw Sienna</v>
      </c>
      <c r="B667" s="47" t="str">
        <f>IFERROR(__xludf.DUMMYFUNCTION("""COMPUTED_VALUE"""),"TheFatCats")</f>
        <v>TheFatCats</v>
      </c>
      <c r="C667" s="78" t="str">
        <f>IFERROR(__xludf.DUMMYFUNCTION("""COMPUTED_VALUE"""),"https://www.munzee.com/m/TheFatCats/3942/")</f>
        <v>https://www.munzee.com/m/TheFatCats/3942/</v>
      </c>
      <c r="D667" s="47"/>
      <c r="E667" s="47" t="b">
        <f>IFERROR(__xludf.DUMMYFUNCTION("""COMPUTED_VALUE"""),TRUE)</f>
        <v>1</v>
      </c>
      <c r="F667" s="47" t="str">
        <f>IFERROR(__xludf.DUMMYFUNCTION("""COMPUTED_VALUE"""),"")</f>
        <v/>
      </c>
      <c r="G667" s="47" t="str">
        <f>IFERROR(__xludf.DUMMYFUNCTION("""COMPUTED_VALUE"""),"")</f>
        <v/>
      </c>
      <c r="H667" s="47"/>
      <c r="I667" s="47">
        <f>IFERROR(__xludf.DUMMYFUNCTION("""COMPUTED_VALUE"""),2.0)</f>
        <v>2</v>
      </c>
      <c r="J667" s="47" t="str">
        <f>IFERROR(__xludf.DUMMYFUNCTION("""COMPUTED_VALUE"""),"https:")</f>
        <v>https:</v>
      </c>
      <c r="K667" s="78" t="str">
        <f>IFERROR(__xludf.DUMMYFUNCTION("""COMPUTED_VALUE"""),"www.munzee.com")</f>
        <v>www.munzee.com</v>
      </c>
      <c r="L667" s="47" t="str">
        <f>IFERROR(__xludf.DUMMYFUNCTION("""COMPUTED_VALUE"""),"m")</f>
        <v>m</v>
      </c>
      <c r="M667" s="47" t="str">
        <f>IFERROR(__xludf.DUMMYFUNCTION("""COMPUTED_VALUE"""),"TheFatCats")</f>
        <v>TheFatCats</v>
      </c>
    </row>
    <row r="668">
      <c r="A668" s="47" t="str">
        <f>IFERROR(__xludf.DUMMYFUNCTION("""COMPUTED_VALUE"""),"Virtual Brown")</f>
        <v>Virtual Brown</v>
      </c>
      <c r="B668" s="47" t="str">
        <f>IFERROR(__xludf.DUMMYFUNCTION("""COMPUTED_VALUE"""),"BrotherWiliam")</f>
        <v>BrotherWiliam</v>
      </c>
      <c r="C668" s="78" t="str">
        <f>IFERROR(__xludf.DUMMYFUNCTION("""COMPUTED_VALUE"""),"https://www.munzee.com/m/BrotherWilliam/4280/")</f>
        <v>https://www.munzee.com/m/BrotherWilliam/4280/</v>
      </c>
      <c r="D668" s="47"/>
      <c r="E668" s="47" t="b">
        <f>IFERROR(__xludf.DUMMYFUNCTION("""COMPUTED_VALUE"""),TRUE)</f>
        <v>1</v>
      </c>
      <c r="F668" s="47" t="str">
        <f>IFERROR(__xludf.DUMMYFUNCTION("""COMPUTED_VALUE"""),"")</f>
        <v/>
      </c>
      <c r="G668" s="47" t="str">
        <f>IFERROR(__xludf.DUMMYFUNCTION("""COMPUTED_VALUE"""),"")</f>
        <v/>
      </c>
      <c r="H668" s="47"/>
      <c r="I668" s="47">
        <f>IFERROR(__xludf.DUMMYFUNCTION("""COMPUTED_VALUE"""),2.0)</f>
        <v>2</v>
      </c>
      <c r="J668" s="47" t="str">
        <f>IFERROR(__xludf.DUMMYFUNCTION("""COMPUTED_VALUE"""),"https:")</f>
        <v>https:</v>
      </c>
      <c r="K668" s="78" t="str">
        <f>IFERROR(__xludf.DUMMYFUNCTION("""COMPUTED_VALUE"""),"www.munzee.com")</f>
        <v>www.munzee.com</v>
      </c>
      <c r="L668" s="47" t="str">
        <f>IFERROR(__xludf.DUMMYFUNCTION("""COMPUTED_VALUE"""),"m")</f>
        <v>m</v>
      </c>
      <c r="M668" s="47" t="str">
        <f>IFERROR(__xludf.DUMMYFUNCTION("""COMPUTED_VALUE"""),"BrotherWilliam")</f>
        <v>BrotherWilliam</v>
      </c>
    </row>
    <row r="669">
      <c r="A669" s="47" t="str">
        <f>IFERROR(__xludf.DUMMYFUNCTION("""COMPUTED_VALUE"""),"Virtual Brown")</f>
        <v>Virtual Brown</v>
      </c>
      <c r="B669" s="47" t="str">
        <f>IFERROR(__xludf.DUMMYFUNCTION("""COMPUTED_VALUE"""),"ArtofEco")</f>
        <v>ArtofEco</v>
      </c>
      <c r="C669" s="78" t="str">
        <f>IFERROR(__xludf.DUMMYFUNCTION("""COMPUTED_VALUE"""),"https://www.munzee.com/m/ArtofEco/3116/")</f>
        <v>https://www.munzee.com/m/ArtofEco/3116/</v>
      </c>
      <c r="D669" s="47"/>
      <c r="E669" s="47" t="b">
        <f>IFERROR(__xludf.DUMMYFUNCTION("""COMPUTED_VALUE"""),TRUE)</f>
        <v>1</v>
      </c>
      <c r="F669" s="47" t="str">
        <f>IFERROR(__xludf.DUMMYFUNCTION("""COMPUTED_VALUE"""),"")</f>
        <v/>
      </c>
      <c r="G669" s="47" t="str">
        <f>IFERROR(__xludf.DUMMYFUNCTION("""COMPUTED_VALUE"""),"")</f>
        <v/>
      </c>
      <c r="H669" s="47"/>
      <c r="I669" s="47">
        <f>IFERROR(__xludf.DUMMYFUNCTION("""COMPUTED_VALUE"""),2.0)</f>
        <v>2</v>
      </c>
      <c r="J669" s="47" t="str">
        <f>IFERROR(__xludf.DUMMYFUNCTION("""COMPUTED_VALUE"""),"https:")</f>
        <v>https:</v>
      </c>
      <c r="K669" s="78" t="str">
        <f>IFERROR(__xludf.DUMMYFUNCTION("""COMPUTED_VALUE"""),"www.munzee.com")</f>
        <v>www.munzee.com</v>
      </c>
      <c r="L669" s="47" t="str">
        <f>IFERROR(__xludf.DUMMYFUNCTION("""COMPUTED_VALUE"""),"m")</f>
        <v>m</v>
      </c>
      <c r="M669" s="47" t="str">
        <f>IFERROR(__xludf.DUMMYFUNCTION("""COMPUTED_VALUE"""),"ArtofEco")</f>
        <v>ArtofEco</v>
      </c>
    </row>
    <row r="670">
      <c r="A670" s="47" t="str">
        <f>IFERROR(__xludf.DUMMYFUNCTION("""COMPUTED_VALUE"""),"Virtual Brown")</f>
        <v>Virtual Brown</v>
      </c>
      <c r="B670" s="47" t="str">
        <f>IFERROR(__xludf.DUMMYFUNCTION("""COMPUTED_VALUE"""),"TheFatCats")</f>
        <v>TheFatCats</v>
      </c>
      <c r="C670" s="78" t="str">
        <f>IFERROR(__xludf.DUMMYFUNCTION("""COMPUTED_VALUE"""),"https://www.munzee.com/m/TheFatCats/3948/")</f>
        <v>https://www.munzee.com/m/TheFatCats/3948/</v>
      </c>
      <c r="D670" s="47"/>
      <c r="E670" s="47" t="b">
        <f>IFERROR(__xludf.DUMMYFUNCTION("""COMPUTED_VALUE"""),TRUE)</f>
        <v>1</v>
      </c>
      <c r="F670" s="47" t="str">
        <f>IFERROR(__xludf.DUMMYFUNCTION("""COMPUTED_VALUE"""),"")</f>
        <v/>
      </c>
      <c r="G670" s="47" t="str">
        <f>IFERROR(__xludf.DUMMYFUNCTION("""COMPUTED_VALUE"""),"")</f>
        <v/>
      </c>
      <c r="H670" s="47"/>
      <c r="I670" s="47">
        <f>IFERROR(__xludf.DUMMYFUNCTION("""COMPUTED_VALUE"""),2.0)</f>
        <v>2</v>
      </c>
      <c r="J670" s="47" t="str">
        <f>IFERROR(__xludf.DUMMYFUNCTION("""COMPUTED_VALUE"""),"https:")</f>
        <v>https:</v>
      </c>
      <c r="K670" s="78" t="str">
        <f>IFERROR(__xludf.DUMMYFUNCTION("""COMPUTED_VALUE"""),"www.munzee.com")</f>
        <v>www.munzee.com</v>
      </c>
      <c r="L670" s="47" t="str">
        <f>IFERROR(__xludf.DUMMYFUNCTION("""COMPUTED_VALUE"""),"m")</f>
        <v>m</v>
      </c>
      <c r="M670" s="47" t="str">
        <f>IFERROR(__xludf.DUMMYFUNCTION("""COMPUTED_VALUE"""),"TheFatCats")</f>
        <v>TheFatCats</v>
      </c>
    </row>
    <row r="671">
      <c r="A671" s="47" t="str">
        <f>IFERROR(__xludf.DUMMYFUNCTION("""COMPUTED_VALUE"""),"Virtual Brown")</f>
        <v>Virtual Brown</v>
      </c>
      <c r="B671" s="47" t="str">
        <f>IFERROR(__xludf.DUMMYFUNCTION("""COMPUTED_VALUE"""),"djsmith")</f>
        <v>djsmith</v>
      </c>
      <c r="C671" s="78" t="str">
        <f>IFERROR(__xludf.DUMMYFUNCTION("""COMPUTED_VALUE"""),"https://www.munzee.com/m/DJSmith/7277/")</f>
        <v>https://www.munzee.com/m/DJSmith/7277/</v>
      </c>
      <c r="D671" s="47"/>
      <c r="E671" s="47" t="b">
        <f>IFERROR(__xludf.DUMMYFUNCTION("""COMPUTED_VALUE"""),TRUE)</f>
        <v>1</v>
      </c>
      <c r="F671" s="47"/>
      <c r="G671" s="47" t="str">
        <f>IFERROR(__xludf.DUMMYFUNCTION("""COMPUTED_VALUE"""),"")</f>
        <v/>
      </c>
      <c r="H671" s="47"/>
      <c r="I671" s="47">
        <f>IFERROR(__xludf.DUMMYFUNCTION("""COMPUTED_VALUE"""),2.0)</f>
        <v>2</v>
      </c>
      <c r="J671" s="47" t="str">
        <f>IFERROR(__xludf.DUMMYFUNCTION("""COMPUTED_VALUE"""),"https:")</f>
        <v>https:</v>
      </c>
      <c r="K671" s="78" t="str">
        <f>IFERROR(__xludf.DUMMYFUNCTION("""COMPUTED_VALUE"""),"www.munzee.com")</f>
        <v>www.munzee.com</v>
      </c>
      <c r="L671" s="47" t="str">
        <f>IFERROR(__xludf.DUMMYFUNCTION("""COMPUTED_VALUE"""),"m")</f>
        <v>m</v>
      </c>
      <c r="M671" s="47" t="str">
        <f>IFERROR(__xludf.DUMMYFUNCTION("""COMPUTED_VALUE"""),"DJSmith")</f>
        <v>DJSmith</v>
      </c>
    </row>
    <row r="672">
      <c r="A672" s="47" t="str">
        <f>IFERROR(__xludf.DUMMYFUNCTION("""COMPUTED_VALUE"""),"Virtual Brown")</f>
        <v>Virtual Brown</v>
      </c>
      <c r="B672" s="47" t="str">
        <f>IFERROR(__xludf.DUMMYFUNCTION("""COMPUTED_VALUE"""),"Wangotango")</f>
        <v>Wangotango</v>
      </c>
      <c r="C672" s="78" t="str">
        <f>IFERROR(__xludf.DUMMYFUNCTION("""COMPUTED_VALUE"""),"https://www.munzee.com/m/Wangotango/1352")</f>
        <v>https://www.munzee.com/m/Wangotango/1352</v>
      </c>
      <c r="D672" s="47"/>
      <c r="E672" s="47" t="b">
        <f>IFERROR(__xludf.DUMMYFUNCTION("""COMPUTED_VALUE"""),TRUE)</f>
        <v>1</v>
      </c>
      <c r="F672" s="47" t="str">
        <f>IFERROR(__xludf.DUMMYFUNCTION("""COMPUTED_VALUE"""),"")</f>
        <v/>
      </c>
      <c r="G672" s="47" t="str">
        <f>IFERROR(__xludf.DUMMYFUNCTION("""COMPUTED_VALUE"""),"")</f>
        <v/>
      </c>
      <c r="H672" s="47"/>
      <c r="I672" s="47">
        <f>IFERROR(__xludf.DUMMYFUNCTION("""COMPUTED_VALUE"""),2.0)</f>
        <v>2</v>
      </c>
      <c r="J672" s="47" t="str">
        <f>IFERROR(__xludf.DUMMYFUNCTION("""COMPUTED_VALUE"""),"https:")</f>
        <v>https:</v>
      </c>
      <c r="K672" s="78" t="str">
        <f>IFERROR(__xludf.DUMMYFUNCTION("""COMPUTED_VALUE"""),"www.munzee.com")</f>
        <v>www.munzee.com</v>
      </c>
      <c r="L672" s="47" t="str">
        <f>IFERROR(__xludf.DUMMYFUNCTION("""COMPUTED_VALUE"""),"m")</f>
        <v>m</v>
      </c>
      <c r="M672" s="47" t="str">
        <f>IFERROR(__xludf.DUMMYFUNCTION("""COMPUTED_VALUE"""),"Wangotango")</f>
        <v>Wangotango</v>
      </c>
    </row>
    <row r="673">
      <c r="A673" s="47" t="str">
        <f>IFERROR(__xludf.DUMMYFUNCTION("""COMPUTED_VALUE"""),"Virtual Brown")</f>
        <v>Virtual Brown</v>
      </c>
      <c r="B673" s="47" t="str">
        <f>IFERROR(__xludf.DUMMYFUNCTION("""COMPUTED_VALUE"""),"5Star")</f>
        <v>5Star</v>
      </c>
      <c r="C673" s="78" t="str">
        <f>IFERROR(__xludf.DUMMYFUNCTION("""COMPUTED_VALUE"""),"https://www.munzee.com/m/5Star/4692/")</f>
        <v>https://www.munzee.com/m/5Star/4692/</v>
      </c>
      <c r="D673" s="47"/>
      <c r="E673" s="47" t="b">
        <f>IFERROR(__xludf.DUMMYFUNCTION("""COMPUTED_VALUE"""),TRUE)</f>
        <v>1</v>
      </c>
      <c r="F673" s="47" t="str">
        <f>IFERROR(__xludf.DUMMYFUNCTION("""COMPUTED_VALUE"""),"")</f>
        <v/>
      </c>
      <c r="G673" s="47" t="str">
        <f>IFERROR(__xludf.DUMMYFUNCTION("""COMPUTED_VALUE"""),"")</f>
        <v/>
      </c>
      <c r="H673" s="47"/>
      <c r="I673" s="47">
        <f>IFERROR(__xludf.DUMMYFUNCTION("""COMPUTED_VALUE"""),2.0)</f>
        <v>2</v>
      </c>
      <c r="J673" s="47" t="str">
        <f>IFERROR(__xludf.DUMMYFUNCTION("""COMPUTED_VALUE"""),"https:")</f>
        <v>https:</v>
      </c>
      <c r="K673" s="78" t="str">
        <f>IFERROR(__xludf.DUMMYFUNCTION("""COMPUTED_VALUE"""),"www.munzee.com")</f>
        <v>www.munzee.com</v>
      </c>
      <c r="L673" s="47" t="str">
        <f>IFERROR(__xludf.DUMMYFUNCTION("""COMPUTED_VALUE"""),"m")</f>
        <v>m</v>
      </c>
      <c r="M673" s="47" t="str">
        <f>IFERROR(__xludf.DUMMYFUNCTION("""COMPUTED_VALUE"""),"5Star")</f>
        <v>5Star</v>
      </c>
    </row>
    <row r="674">
      <c r="A674" s="47" t="str">
        <f>IFERROR(__xludf.DUMMYFUNCTION("""COMPUTED_VALUE"""),"Virtual Raw Sienna")</f>
        <v>Virtual Raw Sienna</v>
      </c>
      <c r="B674" s="47" t="str">
        <f>IFERROR(__xludf.DUMMYFUNCTION("""COMPUTED_VALUE"""),"barefootguru")</f>
        <v>barefootguru</v>
      </c>
      <c r="C674" s="78" t="str">
        <f>IFERROR(__xludf.DUMMYFUNCTION("""COMPUTED_VALUE"""),"https://www.munzee.com/m/barefootguru/3185/")</f>
        <v>https://www.munzee.com/m/barefootguru/3185/</v>
      </c>
      <c r="D674" s="47"/>
      <c r="E674" s="47" t="b">
        <f>IFERROR(__xludf.DUMMYFUNCTION("""COMPUTED_VALUE"""),TRUE)</f>
        <v>1</v>
      </c>
      <c r="F674" s="47" t="str">
        <f>IFERROR(__xludf.DUMMYFUNCTION("""COMPUTED_VALUE"""),"")</f>
        <v/>
      </c>
      <c r="G674" s="47" t="str">
        <f>IFERROR(__xludf.DUMMYFUNCTION("""COMPUTED_VALUE"""),"")</f>
        <v/>
      </c>
      <c r="H674" s="47"/>
      <c r="I674" s="47">
        <f>IFERROR(__xludf.DUMMYFUNCTION("""COMPUTED_VALUE"""),2.0)</f>
        <v>2</v>
      </c>
      <c r="J674" s="47" t="str">
        <f>IFERROR(__xludf.DUMMYFUNCTION("""COMPUTED_VALUE"""),"https:")</f>
        <v>https:</v>
      </c>
      <c r="K674" s="78" t="str">
        <f>IFERROR(__xludf.DUMMYFUNCTION("""COMPUTED_VALUE"""),"www.munzee.com")</f>
        <v>www.munzee.com</v>
      </c>
      <c r="L674" s="47" t="str">
        <f>IFERROR(__xludf.DUMMYFUNCTION("""COMPUTED_VALUE"""),"m")</f>
        <v>m</v>
      </c>
      <c r="M674" s="47" t="str">
        <f>IFERROR(__xludf.DUMMYFUNCTION("""COMPUTED_VALUE"""),"barefootguru")</f>
        <v>barefootguru</v>
      </c>
    </row>
    <row r="675">
      <c r="A675" s="47" t="str">
        <f>IFERROR(__xludf.DUMMYFUNCTION("""COMPUTED_VALUE"""),"Virtual Raw Sienna")</f>
        <v>Virtual Raw Sienna</v>
      </c>
      <c r="B675" s="47" t="str">
        <f>IFERROR(__xludf.DUMMYFUNCTION("""COMPUTED_VALUE"""),"xrayneex")</f>
        <v>xrayneex</v>
      </c>
      <c r="C675" s="78" t="str">
        <f>IFERROR(__xludf.DUMMYFUNCTION("""COMPUTED_VALUE"""),"https://www.munzee.com/m/xrayneex/1542/")</f>
        <v>https://www.munzee.com/m/xrayneex/1542/</v>
      </c>
      <c r="D675" s="47"/>
      <c r="E675" s="47" t="b">
        <f>IFERROR(__xludf.DUMMYFUNCTION("""COMPUTED_VALUE"""),TRUE)</f>
        <v>1</v>
      </c>
      <c r="F675" s="47" t="str">
        <f>IFERROR(__xludf.DUMMYFUNCTION("""COMPUTED_VALUE"""),"")</f>
        <v/>
      </c>
      <c r="G675" s="47" t="str">
        <f>IFERROR(__xludf.DUMMYFUNCTION("""COMPUTED_VALUE"""),"")</f>
        <v/>
      </c>
      <c r="H675" s="47"/>
      <c r="I675" s="47">
        <f>IFERROR(__xludf.DUMMYFUNCTION("""COMPUTED_VALUE"""),2.0)</f>
        <v>2</v>
      </c>
      <c r="J675" s="47" t="str">
        <f>IFERROR(__xludf.DUMMYFUNCTION("""COMPUTED_VALUE"""),"https:")</f>
        <v>https:</v>
      </c>
      <c r="K675" s="78" t="str">
        <f>IFERROR(__xludf.DUMMYFUNCTION("""COMPUTED_VALUE"""),"www.munzee.com")</f>
        <v>www.munzee.com</v>
      </c>
      <c r="L675" s="47" t="str">
        <f>IFERROR(__xludf.DUMMYFUNCTION("""COMPUTED_VALUE"""),"m")</f>
        <v>m</v>
      </c>
      <c r="M675" s="47" t="str">
        <f>IFERROR(__xludf.DUMMYFUNCTION("""COMPUTED_VALUE"""),"xrayneex")</f>
        <v>xrayneex</v>
      </c>
    </row>
    <row r="676">
      <c r="A676" s="47" t="str">
        <f>IFERROR(__xludf.DUMMYFUNCTION("""COMPUTED_VALUE"""),"Virtual Brown")</f>
        <v>Virtual Brown</v>
      </c>
      <c r="B676" s="47" t="str">
        <f>IFERROR(__xludf.DUMMYFUNCTION("""COMPUTED_VALUE"""),"Bungle")</f>
        <v>Bungle</v>
      </c>
      <c r="C676" s="78" t="str">
        <f>IFERROR(__xludf.DUMMYFUNCTION("""COMPUTED_VALUE"""),"https://www.munzee.com/m/Bungle/3148")</f>
        <v>https://www.munzee.com/m/Bungle/3148</v>
      </c>
      <c r="D676" s="47"/>
      <c r="E676" s="47" t="b">
        <f>IFERROR(__xludf.DUMMYFUNCTION("""COMPUTED_VALUE"""),TRUE)</f>
        <v>1</v>
      </c>
      <c r="F676" s="47" t="str">
        <f>IFERROR(__xludf.DUMMYFUNCTION("""COMPUTED_VALUE"""),"")</f>
        <v/>
      </c>
      <c r="G676" s="47" t="str">
        <f>IFERROR(__xludf.DUMMYFUNCTION("""COMPUTED_VALUE"""),"")</f>
        <v/>
      </c>
      <c r="H676" s="47"/>
      <c r="I676" s="47">
        <f>IFERROR(__xludf.DUMMYFUNCTION("""COMPUTED_VALUE"""),2.0)</f>
        <v>2</v>
      </c>
      <c r="J676" s="47" t="str">
        <f>IFERROR(__xludf.DUMMYFUNCTION("""COMPUTED_VALUE"""),"https:")</f>
        <v>https:</v>
      </c>
      <c r="K676" s="78" t="str">
        <f>IFERROR(__xludf.DUMMYFUNCTION("""COMPUTED_VALUE"""),"www.munzee.com")</f>
        <v>www.munzee.com</v>
      </c>
      <c r="L676" s="47" t="str">
        <f>IFERROR(__xludf.DUMMYFUNCTION("""COMPUTED_VALUE"""),"m")</f>
        <v>m</v>
      </c>
      <c r="M676" s="47" t="str">
        <f>IFERROR(__xludf.DUMMYFUNCTION("""COMPUTED_VALUE"""),"Bungle")</f>
        <v>Bungle</v>
      </c>
    </row>
    <row r="677">
      <c r="A677" s="47" t="str">
        <f>IFERROR(__xludf.DUMMYFUNCTION("""COMPUTED_VALUE"""),"Virtual Brown")</f>
        <v>Virtual Brown</v>
      </c>
      <c r="B677" s="47" t="str">
        <f>IFERROR(__xludf.DUMMYFUNCTION("""COMPUTED_VALUE"""),"Belladivadee")</f>
        <v>Belladivadee</v>
      </c>
      <c r="C677" s="78" t="str">
        <f>IFERROR(__xludf.DUMMYFUNCTION("""COMPUTED_VALUE"""),"https://www.munzee.com/m/belladivadee/3272")</f>
        <v>https://www.munzee.com/m/belladivadee/3272</v>
      </c>
      <c r="D677" s="47"/>
      <c r="E677" s="47" t="b">
        <f>IFERROR(__xludf.DUMMYFUNCTION("""COMPUTED_VALUE"""),TRUE)</f>
        <v>1</v>
      </c>
      <c r="F677" s="47" t="str">
        <f>IFERROR(__xludf.DUMMYFUNCTION("""COMPUTED_VALUE"""),"")</f>
        <v/>
      </c>
      <c r="G677" s="47" t="str">
        <f>IFERROR(__xludf.DUMMYFUNCTION("""COMPUTED_VALUE"""),"")</f>
        <v/>
      </c>
      <c r="H677" s="47"/>
      <c r="I677" s="47">
        <f>IFERROR(__xludf.DUMMYFUNCTION("""COMPUTED_VALUE"""),2.0)</f>
        <v>2</v>
      </c>
      <c r="J677" s="47" t="str">
        <f>IFERROR(__xludf.DUMMYFUNCTION("""COMPUTED_VALUE"""),"https:")</f>
        <v>https:</v>
      </c>
      <c r="K677" s="78" t="str">
        <f>IFERROR(__xludf.DUMMYFUNCTION("""COMPUTED_VALUE"""),"www.munzee.com")</f>
        <v>www.munzee.com</v>
      </c>
      <c r="L677" s="47" t="str">
        <f>IFERROR(__xludf.DUMMYFUNCTION("""COMPUTED_VALUE"""),"m")</f>
        <v>m</v>
      </c>
      <c r="M677" s="47" t="str">
        <f>IFERROR(__xludf.DUMMYFUNCTION("""COMPUTED_VALUE"""),"belladivadee")</f>
        <v>belladivadee</v>
      </c>
    </row>
    <row r="678">
      <c r="A678" s="47" t="str">
        <f>IFERROR(__xludf.DUMMYFUNCTION("""COMPUTED_VALUE"""),"Virtual Brown")</f>
        <v>Virtual Brown</v>
      </c>
      <c r="B678" s="47" t="str">
        <f>IFERROR(__xludf.DUMMYFUNCTION("""COMPUTED_VALUE"""),"sverlaan")</f>
        <v>sverlaan</v>
      </c>
      <c r="C678" s="78" t="str">
        <f>IFERROR(__xludf.DUMMYFUNCTION("""COMPUTED_VALUE"""),"https://www.munzee.com/m/sverlaan/4638/")</f>
        <v>https://www.munzee.com/m/sverlaan/4638/</v>
      </c>
      <c r="D678" s="47"/>
      <c r="E678" s="47" t="b">
        <f>IFERROR(__xludf.DUMMYFUNCTION("""COMPUTED_VALUE"""),TRUE)</f>
        <v>1</v>
      </c>
      <c r="F678" s="47" t="str">
        <f>IFERROR(__xludf.DUMMYFUNCTION("""COMPUTED_VALUE"""),"")</f>
        <v/>
      </c>
      <c r="G678" s="47" t="str">
        <f>IFERROR(__xludf.DUMMYFUNCTION("""COMPUTED_VALUE"""),"")</f>
        <v/>
      </c>
      <c r="H678" s="47"/>
      <c r="I678" s="47">
        <f>IFERROR(__xludf.DUMMYFUNCTION("""COMPUTED_VALUE"""),2.0)</f>
        <v>2</v>
      </c>
      <c r="J678" s="47" t="str">
        <f>IFERROR(__xludf.DUMMYFUNCTION("""COMPUTED_VALUE"""),"https:")</f>
        <v>https:</v>
      </c>
      <c r="K678" s="78" t="str">
        <f>IFERROR(__xludf.DUMMYFUNCTION("""COMPUTED_VALUE"""),"www.munzee.com")</f>
        <v>www.munzee.com</v>
      </c>
      <c r="L678" s="47" t="str">
        <f>IFERROR(__xludf.DUMMYFUNCTION("""COMPUTED_VALUE"""),"m")</f>
        <v>m</v>
      </c>
      <c r="M678" s="47" t="str">
        <f>IFERROR(__xludf.DUMMYFUNCTION("""COMPUTED_VALUE"""),"sverlaan")</f>
        <v>sverlaan</v>
      </c>
    </row>
    <row r="679">
      <c r="A679" s="47" t="str">
        <f>IFERROR(__xludf.DUMMYFUNCTION("""COMPUTED_VALUE"""),"Virtual Raw Sienna")</f>
        <v>Virtual Raw Sienna</v>
      </c>
      <c r="B679" s="47" t="str">
        <f>IFERROR(__xludf.DUMMYFUNCTION("""COMPUTED_VALUE"""),"PawPatrolThomas")</f>
        <v>PawPatrolThomas</v>
      </c>
      <c r="C679" s="78" t="str">
        <f>IFERROR(__xludf.DUMMYFUNCTION("""COMPUTED_VALUE"""),"https://www.munzee.com/m/PawPatrolThomas/3057/")</f>
        <v>https://www.munzee.com/m/PawPatrolThomas/3057/</v>
      </c>
      <c r="D679" s="47"/>
      <c r="E679" s="47" t="b">
        <f>IFERROR(__xludf.DUMMYFUNCTION("""COMPUTED_VALUE"""),TRUE)</f>
        <v>1</v>
      </c>
      <c r="F679" s="47" t="str">
        <f>IFERROR(__xludf.DUMMYFUNCTION("""COMPUTED_VALUE"""),"")</f>
        <v/>
      </c>
      <c r="G679" s="47" t="str">
        <f>IFERROR(__xludf.DUMMYFUNCTION("""COMPUTED_VALUE"""),"")</f>
        <v/>
      </c>
      <c r="H679" s="47"/>
      <c r="I679" s="47">
        <f>IFERROR(__xludf.DUMMYFUNCTION("""COMPUTED_VALUE"""),2.0)</f>
        <v>2</v>
      </c>
      <c r="J679" s="47" t="str">
        <f>IFERROR(__xludf.DUMMYFUNCTION("""COMPUTED_VALUE"""),"https:")</f>
        <v>https:</v>
      </c>
      <c r="K679" s="78" t="str">
        <f>IFERROR(__xludf.DUMMYFUNCTION("""COMPUTED_VALUE"""),"www.munzee.com")</f>
        <v>www.munzee.com</v>
      </c>
      <c r="L679" s="47" t="str">
        <f>IFERROR(__xludf.DUMMYFUNCTION("""COMPUTED_VALUE"""),"m")</f>
        <v>m</v>
      </c>
      <c r="M679" s="47" t="str">
        <f>IFERROR(__xludf.DUMMYFUNCTION("""COMPUTED_VALUE"""),"PawPatrolThomas")</f>
        <v>PawPatrolThomas</v>
      </c>
    </row>
    <row r="680">
      <c r="A680" s="47" t="str">
        <f>IFERROR(__xludf.DUMMYFUNCTION("""COMPUTED_VALUE"""),"Virtual Raw Sienna")</f>
        <v>Virtual Raw Sienna</v>
      </c>
      <c r="B680" s="47" t="str">
        <f>IFERROR(__xludf.DUMMYFUNCTION("""COMPUTED_VALUE"""),"emilep68")</f>
        <v>emilep68</v>
      </c>
      <c r="C680" s="78" t="str">
        <f>IFERROR(__xludf.DUMMYFUNCTION("""COMPUTED_VALUE"""),"https://www.munzee.com/m/EmileP68/3334/")</f>
        <v>https://www.munzee.com/m/EmileP68/3334/</v>
      </c>
      <c r="D680" s="47"/>
      <c r="E680" s="47" t="b">
        <f>IFERROR(__xludf.DUMMYFUNCTION("""COMPUTED_VALUE"""),TRUE)</f>
        <v>1</v>
      </c>
      <c r="F680" s="47" t="str">
        <f>IFERROR(__xludf.DUMMYFUNCTION("""COMPUTED_VALUE"""),"")</f>
        <v/>
      </c>
      <c r="G680" s="47" t="str">
        <f>IFERROR(__xludf.DUMMYFUNCTION("""COMPUTED_VALUE"""),"")</f>
        <v/>
      </c>
      <c r="H680" s="47"/>
      <c r="I680" s="47">
        <f>IFERROR(__xludf.DUMMYFUNCTION("""COMPUTED_VALUE"""),2.0)</f>
        <v>2</v>
      </c>
      <c r="J680" s="47" t="str">
        <f>IFERROR(__xludf.DUMMYFUNCTION("""COMPUTED_VALUE"""),"https:")</f>
        <v>https:</v>
      </c>
      <c r="K680" s="78" t="str">
        <f>IFERROR(__xludf.DUMMYFUNCTION("""COMPUTED_VALUE"""),"www.munzee.com")</f>
        <v>www.munzee.com</v>
      </c>
      <c r="L680" s="47" t="str">
        <f>IFERROR(__xludf.DUMMYFUNCTION("""COMPUTED_VALUE"""),"m")</f>
        <v>m</v>
      </c>
      <c r="M680" s="47" t="str">
        <f>IFERROR(__xludf.DUMMYFUNCTION("""COMPUTED_VALUE"""),"EmileP68")</f>
        <v>EmileP68</v>
      </c>
    </row>
    <row r="681">
      <c r="A681" s="47" t="str">
        <f>IFERROR(__xludf.DUMMYFUNCTION("""COMPUTED_VALUE"""),"Virtual Brown")</f>
        <v>Virtual Brown</v>
      </c>
      <c r="B681" s="47" t="str">
        <f>IFERROR(__xludf.DUMMYFUNCTION("""COMPUTED_VALUE"""),"ArtofEco")</f>
        <v>ArtofEco</v>
      </c>
      <c r="C681" s="78" t="str">
        <f>IFERROR(__xludf.DUMMYFUNCTION("""COMPUTED_VALUE"""),"https://www.munzee.com/m/ArtofEco/3060/")</f>
        <v>https://www.munzee.com/m/ArtofEco/3060/</v>
      </c>
      <c r="D681" s="47"/>
      <c r="E681" s="47" t="b">
        <f>IFERROR(__xludf.DUMMYFUNCTION("""COMPUTED_VALUE"""),TRUE)</f>
        <v>1</v>
      </c>
      <c r="F681" s="47" t="str">
        <f>IFERROR(__xludf.DUMMYFUNCTION("""COMPUTED_VALUE"""),"")</f>
        <v/>
      </c>
      <c r="G681" s="47" t="str">
        <f>IFERROR(__xludf.DUMMYFUNCTION("""COMPUTED_VALUE"""),"")</f>
        <v/>
      </c>
      <c r="H681" s="47"/>
      <c r="I681" s="47">
        <f>IFERROR(__xludf.DUMMYFUNCTION("""COMPUTED_VALUE"""),2.0)</f>
        <v>2</v>
      </c>
      <c r="J681" s="47" t="str">
        <f>IFERROR(__xludf.DUMMYFUNCTION("""COMPUTED_VALUE"""),"https:")</f>
        <v>https:</v>
      </c>
      <c r="K681" s="78" t="str">
        <f>IFERROR(__xludf.DUMMYFUNCTION("""COMPUTED_VALUE"""),"www.munzee.com")</f>
        <v>www.munzee.com</v>
      </c>
      <c r="L681" s="47" t="str">
        <f>IFERROR(__xludf.DUMMYFUNCTION("""COMPUTED_VALUE"""),"m")</f>
        <v>m</v>
      </c>
      <c r="M681" s="47" t="str">
        <f>IFERROR(__xludf.DUMMYFUNCTION("""COMPUTED_VALUE"""),"ArtofEco")</f>
        <v>ArtofEco</v>
      </c>
    </row>
    <row r="682">
      <c r="A682" s="47" t="str">
        <f>IFERROR(__xludf.DUMMYFUNCTION("""COMPUTED_VALUE"""),"Virtual Brown")</f>
        <v>Virtual Brown</v>
      </c>
      <c r="B682" s="47" t="str">
        <f>IFERROR(__xludf.DUMMYFUNCTION("""COMPUTED_VALUE"""),"BrotherWilliam")</f>
        <v>BrotherWilliam</v>
      </c>
      <c r="C682" s="78" t="str">
        <f>IFERROR(__xludf.DUMMYFUNCTION("""COMPUTED_VALUE"""),"https://www.munzee.com/m/BrotherWilliam/4125/")</f>
        <v>https://www.munzee.com/m/BrotherWilliam/4125/</v>
      </c>
      <c r="D682" s="47"/>
      <c r="E682" s="47" t="b">
        <f>IFERROR(__xludf.DUMMYFUNCTION("""COMPUTED_VALUE"""),TRUE)</f>
        <v>1</v>
      </c>
      <c r="F682" s="47" t="str">
        <f>IFERROR(__xludf.DUMMYFUNCTION("""COMPUTED_VALUE"""),"")</f>
        <v/>
      </c>
      <c r="G682" s="47" t="str">
        <f>IFERROR(__xludf.DUMMYFUNCTION("""COMPUTED_VALUE"""),"")</f>
        <v/>
      </c>
      <c r="H682" s="47"/>
      <c r="I682" s="47">
        <f>IFERROR(__xludf.DUMMYFUNCTION("""COMPUTED_VALUE"""),2.0)</f>
        <v>2</v>
      </c>
      <c r="J682" s="47" t="str">
        <f>IFERROR(__xludf.DUMMYFUNCTION("""COMPUTED_VALUE"""),"#REF!")</f>
        <v>#REF!</v>
      </c>
      <c r="K682" s="47"/>
      <c r="L682" s="47"/>
      <c r="M682" s="47"/>
    </row>
    <row r="683">
      <c r="A683" s="47" t="str">
        <f>IFERROR(__xludf.DUMMYFUNCTION("""COMPUTED_VALUE"""),"Virtual Brown")</f>
        <v>Virtual Brown</v>
      </c>
      <c r="B683" s="47" t="str">
        <f>IFERROR(__xludf.DUMMYFUNCTION("""COMPUTED_VALUE"""),"babyw")</f>
        <v>babyw</v>
      </c>
      <c r="C683" s="78" t="str">
        <f>IFERROR(__xludf.DUMMYFUNCTION("""COMPUTED_VALUE"""),"https://www.munzee.com/m/babyw/3255/")</f>
        <v>https://www.munzee.com/m/babyw/3255/</v>
      </c>
      <c r="D683" s="47"/>
      <c r="E683" s="47" t="b">
        <f>IFERROR(__xludf.DUMMYFUNCTION("""COMPUTED_VALUE"""),TRUE)</f>
        <v>1</v>
      </c>
      <c r="F683" s="47" t="str">
        <f>IFERROR(__xludf.DUMMYFUNCTION("""COMPUTED_VALUE"""),"")</f>
        <v/>
      </c>
      <c r="G683" s="47" t="str">
        <f>IFERROR(__xludf.DUMMYFUNCTION("""COMPUTED_VALUE"""),"")</f>
        <v/>
      </c>
      <c r="H683" s="47"/>
      <c r="I683" s="47">
        <f>IFERROR(__xludf.DUMMYFUNCTION("""COMPUTED_VALUE"""),2.0)</f>
        <v>2</v>
      </c>
      <c r="J683" s="47" t="str">
        <f>IFERROR(__xludf.DUMMYFUNCTION("""COMPUTED_VALUE"""),"https:")</f>
        <v>https:</v>
      </c>
      <c r="K683" s="78" t="str">
        <f>IFERROR(__xludf.DUMMYFUNCTION("""COMPUTED_VALUE"""),"www.munzee.com")</f>
        <v>www.munzee.com</v>
      </c>
      <c r="L683" s="47" t="str">
        <f>IFERROR(__xludf.DUMMYFUNCTION("""COMPUTED_VALUE"""),"m")</f>
        <v>m</v>
      </c>
      <c r="M683" s="47" t="str">
        <f>IFERROR(__xludf.DUMMYFUNCTION("""COMPUTED_VALUE"""),"babyw")</f>
        <v>babyw</v>
      </c>
    </row>
    <row r="684">
      <c r="A684" s="47" t="str">
        <f>IFERROR(__xludf.DUMMYFUNCTION("""COMPUTED_VALUE"""),"Virtual Raw Sienna")</f>
        <v>Virtual Raw Sienna</v>
      </c>
      <c r="B684" s="47" t="str">
        <f>IFERROR(__xludf.DUMMYFUNCTION("""COMPUTED_VALUE"""),"5star")</f>
        <v>5star</v>
      </c>
      <c r="C684" s="78" t="str">
        <f>IFERROR(__xludf.DUMMYFUNCTION("""COMPUTED_VALUE"""),"https://www.munzee.com/m/5Star/5979/")</f>
        <v>https://www.munzee.com/m/5Star/5979/</v>
      </c>
      <c r="D684" s="47"/>
      <c r="E684" s="47" t="b">
        <f>IFERROR(__xludf.DUMMYFUNCTION("""COMPUTED_VALUE"""),TRUE)</f>
        <v>1</v>
      </c>
      <c r="F684" s="47" t="str">
        <f>IFERROR(__xludf.DUMMYFUNCTION("""COMPUTED_VALUE"""),"")</f>
        <v/>
      </c>
      <c r="G684" s="47" t="str">
        <f>IFERROR(__xludf.DUMMYFUNCTION("""COMPUTED_VALUE"""),"")</f>
        <v/>
      </c>
      <c r="H684" s="47"/>
      <c r="I684" s="47">
        <f>IFERROR(__xludf.DUMMYFUNCTION("""COMPUTED_VALUE"""),2.0)</f>
        <v>2</v>
      </c>
      <c r="J684" s="47" t="str">
        <f>IFERROR(__xludf.DUMMYFUNCTION("""COMPUTED_VALUE"""),"https:")</f>
        <v>https:</v>
      </c>
      <c r="K684" s="78" t="str">
        <f>IFERROR(__xludf.DUMMYFUNCTION("""COMPUTED_VALUE"""),"www.munzee.com")</f>
        <v>www.munzee.com</v>
      </c>
      <c r="L684" s="47" t="str">
        <f>IFERROR(__xludf.DUMMYFUNCTION("""COMPUTED_VALUE"""),"m")</f>
        <v>m</v>
      </c>
      <c r="M684" s="47" t="str">
        <f>IFERROR(__xludf.DUMMYFUNCTION("""COMPUTED_VALUE"""),"5Star")</f>
        <v>5Star</v>
      </c>
    </row>
    <row r="685">
      <c r="A685" s="47" t="str">
        <f>IFERROR(__xludf.DUMMYFUNCTION("""COMPUTED_VALUE"""),"Virtual Brown")</f>
        <v>Virtual Brown</v>
      </c>
      <c r="B685" s="47" t="str">
        <f>IFERROR(__xludf.DUMMYFUNCTION("""COMPUTED_VALUE"""),"cbf600")</f>
        <v>cbf600</v>
      </c>
      <c r="C685" s="78" t="str">
        <f>IFERROR(__xludf.DUMMYFUNCTION("""COMPUTED_VALUE"""),"https://www.munzee.com/m/cbf600/2867/")</f>
        <v>https://www.munzee.com/m/cbf600/2867/</v>
      </c>
      <c r="D685" s="47"/>
      <c r="E685" s="47" t="b">
        <f>IFERROR(__xludf.DUMMYFUNCTION("""COMPUTED_VALUE"""),TRUE)</f>
        <v>1</v>
      </c>
      <c r="F685" s="47"/>
      <c r="G685" s="47" t="str">
        <f>IFERROR(__xludf.DUMMYFUNCTION("""COMPUTED_VALUE"""),"")</f>
        <v/>
      </c>
      <c r="H685" s="47"/>
      <c r="I685" s="47">
        <f>IFERROR(__xludf.DUMMYFUNCTION("""COMPUTED_VALUE"""),2.0)</f>
        <v>2</v>
      </c>
      <c r="J685" s="47" t="str">
        <f>IFERROR(__xludf.DUMMYFUNCTION("""COMPUTED_VALUE"""),"https:")</f>
        <v>https:</v>
      </c>
      <c r="K685" s="78" t="str">
        <f>IFERROR(__xludf.DUMMYFUNCTION("""COMPUTED_VALUE"""),"www.munzee.com")</f>
        <v>www.munzee.com</v>
      </c>
      <c r="L685" s="47" t="str">
        <f>IFERROR(__xludf.DUMMYFUNCTION("""COMPUTED_VALUE"""),"m")</f>
        <v>m</v>
      </c>
      <c r="M685" s="47" t="str">
        <f>IFERROR(__xludf.DUMMYFUNCTION("""COMPUTED_VALUE"""),"cbf600")</f>
        <v>cbf600</v>
      </c>
    </row>
    <row r="686">
      <c r="A686" s="47" t="str">
        <f>IFERROR(__xludf.DUMMYFUNCTION("""COMPUTED_VALUE"""),"Virtual Brown")</f>
        <v>Virtual Brown</v>
      </c>
      <c r="B686" s="47" t="str">
        <f>IFERROR(__xludf.DUMMYFUNCTION("""COMPUTED_VALUE"""),"fsafranek")</f>
        <v>fsafranek</v>
      </c>
      <c r="C686" s="78" t="str">
        <f>IFERROR(__xludf.DUMMYFUNCTION("""COMPUTED_VALUE"""),"https://www.munzee.com/m/fsafranek/4674/")</f>
        <v>https://www.munzee.com/m/fsafranek/4674/</v>
      </c>
      <c r="D686" s="47"/>
      <c r="E686" s="47" t="b">
        <f>IFERROR(__xludf.DUMMYFUNCTION("""COMPUTED_VALUE"""),TRUE)</f>
        <v>1</v>
      </c>
      <c r="F686" s="47" t="str">
        <f>IFERROR(__xludf.DUMMYFUNCTION("""COMPUTED_VALUE"""),"")</f>
        <v/>
      </c>
      <c r="G686" s="47" t="str">
        <f>IFERROR(__xludf.DUMMYFUNCTION("""COMPUTED_VALUE"""),"")</f>
        <v/>
      </c>
      <c r="H686" s="47"/>
      <c r="I686" s="47">
        <f>IFERROR(__xludf.DUMMYFUNCTION("""COMPUTED_VALUE"""),2.0)</f>
        <v>2</v>
      </c>
      <c r="J686" s="47" t="str">
        <f>IFERROR(__xludf.DUMMYFUNCTION("""COMPUTED_VALUE"""),"https:")</f>
        <v>https:</v>
      </c>
      <c r="K686" s="78" t="str">
        <f>IFERROR(__xludf.DUMMYFUNCTION("""COMPUTED_VALUE"""),"www.munzee.com")</f>
        <v>www.munzee.com</v>
      </c>
      <c r="L686" s="47" t="str">
        <f>IFERROR(__xludf.DUMMYFUNCTION("""COMPUTED_VALUE"""),"m")</f>
        <v>m</v>
      </c>
      <c r="M686" s="47" t="str">
        <f>IFERROR(__xludf.DUMMYFUNCTION("""COMPUTED_VALUE"""),"fsafranek")</f>
        <v>fsafranek</v>
      </c>
    </row>
    <row r="687">
      <c r="A687" s="47" t="str">
        <f>IFERROR(__xludf.DUMMYFUNCTION("""COMPUTED_VALUE"""),"Virtual Brown")</f>
        <v>Virtual Brown</v>
      </c>
      <c r="B687" s="47" t="str">
        <f>IFERROR(__xludf.DUMMYFUNCTION("""COMPUTED_VALUE"""),"OdinsFiRe")</f>
        <v>OdinsFiRe</v>
      </c>
      <c r="C687" s="78" t="str">
        <f>IFERROR(__xludf.DUMMYFUNCTION("""COMPUTED_VALUE"""),"https://www.munzee.com/m/OdinsFiRe/1811/")</f>
        <v>https://www.munzee.com/m/OdinsFiRe/1811/</v>
      </c>
      <c r="D687" s="47"/>
      <c r="E687" s="47" t="b">
        <f>IFERROR(__xludf.DUMMYFUNCTION("""COMPUTED_VALUE"""),TRUE)</f>
        <v>1</v>
      </c>
      <c r="F687" s="47" t="str">
        <f>IFERROR(__xludf.DUMMYFUNCTION("""COMPUTED_VALUE"""),"")</f>
        <v/>
      </c>
      <c r="G687" s="47" t="str">
        <f>IFERROR(__xludf.DUMMYFUNCTION("""COMPUTED_VALUE"""),"")</f>
        <v/>
      </c>
      <c r="H687" s="47"/>
      <c r="I687" s="47">
        <f>IFERROR(__xludf.DUMMYFUNCTION("""COMPUTED_VALUE"""),2.0)</f>
        <v>2</v>
      </c>
      <c r="J687" s="47" t="str">
        <f>IFERROR(__xludf.DUMMYFUNCTION("""COMPUTED_VALUE"""),"https:")</f>
        <v>https:</v>
      </c>
      <c r="K687" s="78" t="str">
        <f>IFERROR(__xludf.DUMMYFUNCTION("""COMPUTED_VALUE"""),"www.munzee.com")</f>
        <v>www.munzee.com</v>
      </c>
      <c r="L687" s="47" t="str">
        <f>IFERROR(__xludf.DUMMYFUNCTION("""COMPUTED_VALUE"""),"m")</f>
        <v>m</v>
      </c>
      <c r="M687" s="47" t="str">
        <f>IFERROR(__xludf.DUMMYFUNCTION("""COMPUTED_VALUE"""),"OdinsFiRe")</f>
        <v>OdinsFiRe</v>
      </c>
    </row>
    <row r="688">
      <c r="A688" s="47" t="str">
        <f>IFERROR(__xludf.DUMMYFUNCTION("""COMPUTED_VALUE"""),"Virtual Brown")</f>
        <v>Virtual Brown</v>
      </c>
      <c r="B688" s="47" t="str">
        <f>IFERROR(__xludf.DUMMYFUNCTION("""COMPUTED_VALUE"""),"xrayneex")</f>
        <v>xrayneex</v>
      </c>
      <c r="C688" s="78" t="str">
        <f>IFERROR(__xludf.DUMMYFUNCTION("""COMPUTED_VALUE"""),"https://www.munzee.com/m/xrayneex/1552/")</f>
        <v>https://www.munzee.com/m/xrayneex/1552/</v>
      </c>
      <c r="D688" s="47"/>
      <c r="E688" s="47" t="b">
        <f>IFERROR(__xludf.DUMMYFUNCTION("""COMPUTED_VALUE"""),TRUE)</f>
        <v>1</v>
      </c>
      <c r="F688" s="47" t="str">
        <f>IFERROR(__xludf.DUMMYFUNCTION("""COMPUTED_VALUE"""),"")</f>
        <v/>
      </c>
      <c r="G688" s="47" t="str">
        <f>IFERROR(__xludf.DUMMYFUNCTION("""COMPUTED_VALUE"""),"")</f>
        <v/>
      </c>
      <c r="H688" s="47"/>
      <c r="I688" s="47">
        <f>IFERROR(__xludf.DUMMYFUNCTION("""COMPUTED_VALUE"""),2.0)</f>
        <v>2</v>
      </c>
      <c r="J688" s="47" t="str">
        <f>IFERROR(__xludf.DUMMYFUNCTION("""COMPUTED_VALUE"""),"https:")</f>
        <v>https:</v>
      </c>
      <c r="K688" s="78" t="str">
        <f>IFERROR(__xludf.DUMMYFUNCTION("""COMPUTED_VALUE"""),"www.munzee.com")</f>
        <v>www.munzee.com</v>
      </c>
      <c r="L688" s="47" t="str">
        <f>IFERROR(__xludf.DUMMYFUNCTION("""COMPUTED_VALUE"""),"m")</f>
        <v>m</v>
      </c>
      <c r="M688" s="47" t="str">
        <f>IFERROR(__xludf.DUMMYFUNCTION("""COMPUTED_VALUE"""),"xrayneex")</f>
        <v>xrayneex</v>
      </c>
    </row>
    <row r="689">
      <c r="A689" s="47" t="str">
        <f>IFERROR(__xludf.DUMMYFUNCTION("""COMPUTED_VALUE"""),"Virtual Brown")</f>
        <v>Virtual Brown</v>
      </c>
      <c r="B689" s="47" t="str">
        <f>IFERROR(__xludf.DUMMYFUNCTION("""COMPUTED_VALUE"""),"Aniara")</f>
        <v>Aniara</v>
      </c>
      <c r="C689" s="78" t="str">
        <f>IFERROR(__xludf.DUMMYFUNCTION("""COMPUTED_VALUE"""),"https://www.munzee.com/m/Aniara/6952")</f>
        <v>https://www.munzee.com/m/Aniara/6952</v>
      </c>
      <c r="D689" s="47"/>
      <c r="E689" s="47" t="b">
        <f>IFERROR(__xludf.DUMMYFUNCTION("""COMPUTED_VALUE"""),TRUE)</f>
        <v>1</v>
      </c>
      <c r="F689" s="47" t="str">
        <f>IFERROR(__xludf.DUMMYFUNCTION("""COMPUTED_VALUE"""),"")</f>
        <v/>
      </c>
      <c r="G689" s="47" t="str">
        <f>IFERROR(__xludf.DUMMYFUNCTION("""COMPUTED_VALUE"""),"")</f>
        <v/>
      </c>
      <c r="H689" s="47"/>
      <c r="I689" s="47">
        <f>IFERROR(__xludf.DUMMYFUNCTION("""COMPUTED_VALUE"""),2.0)</f>
        <v>2</v>
      </c>
      <c r="J689" s="47" t="str">
        <f>IFERROR(__xludf.DUMMYFUNCTION("""COMPUTED_VALUE"""),"https:")</f>
        <v>https:</v>
      </c>
      <c r="K689" s="78" t="str">
        <f>IFERROR(__xludf.DUMMYFUNCTION("""COMPUTED_VALUE"""),"www.munzee.com")</f>
        <v>www.munzee.com</v>
      </c>
      <c r="L689" s="47" t="str">
        <f>IFERROR(__xludf.DUMMYFUNCTION("""COMPUTED_VALUE"""),"m")</f>
        <v>m</v>
      </c>
      <c r="M689" s="47" t="str">
        <f>IFERROR(__xludf.DUMMYFUNCTION("""COMPUTED_VALUE"""),"Aniara")</f>
        <v>Aniara</v>
      </c>
    </row>
    <row r="690">
      <c r="A690" s="47" t="str">
        <f>IFERROR(__xludf.DUMMYFUNCTION("""COMPUTED_VALUE"""),"Virtual Brown")</f>
        <v>Virtual Brown</v>
      </c>
      <c r="B690" s="47" t="str">
        <f>IFERROR(__xludf.DUMMYFUNCTION("""COMPUTED_VALUE"""),"Drazoria")</f>
        <v>Drazoria</v>
      </c>
      <c r="C690" s="78" t="str">
        <f>IFERROR(__xludf.DUMMYFUNCTION("""COMPUTED_VALUE"""),"https://www.munzee.com/m/Drazoria/848/")</f>
        <v>https://www.munzee.com/m/Drazoria/848/</v>
      </c>
      <c r="D690" s="47"/>
      <c r="E690" s="47" t="b">
        <f>IFERROR(__xludf.DUMMYFUNCTION("""COMPUTED_VALUE"""),TRUE)</f>
        <v>1</v>
      </c>
      <c r="F690" s="47" t="str">
        <f>IFERROR(__xludf.DUMMYFUNCTION("""COMPUTED_VALUE"""),"")</f>
        <v/>
      </c>
      <c r="G690" s="47" t="str">
        <f>IFERROR(__xludf.DUMMYFUNCTION("""COMPUTED_VALUE"""),"")</f>
        <v/>
      </c>
      <c r="H690" s="47"/>
      <c r="I690" s="47">
        <f>IFERROR(__xludf.DUMMYFUNCTION("""COMPUTED_VALUE"""),2.0)</f>
        <v>2</v>
      </c>
      <c r="J690" s="47" t="str">
        <f>IFERROR(__xludf.DUMMYFUNCTION("""COMPUTED_VALUE"""),"https:")</f>
        <v>https:</v>
      </c>
      <c r="K690" s="78" t="str">
        <f>IFERROR(__xludf.DUMMYFUNCTION("""COMPUTED_VALUE"""),"www.munzee.com")</f>
        <v>www.munzee.com</v>
      </c>
      <c r="L690" s="47" t="str">
        <f>IFERROR(__xludf.DUMMYFUNCTION("""COMPUTED_VALUE"""),"m")</f>
        <v>m</v>
      </c>
      <c r="M690" s="47" t="str">
        <f>IFERROR(__xludf.DUMMYFUNCTION("""COMPUTED_VALUE"""),"Drazoria")</f>
        <v>Drazoria</v>
      </c>
    </row>
    <row r="691">
      <c r="A691" s="47" t="str">
        <f>IFERROR(__xludf.DUMMYFUNCTION("""COMPUTED_VALUE"""),"Virtual Brown")</f>
        <v>Virtual Brown</v>
      </c>
      <c r="B691" s="47" t="str">
        <f>IFERROR(__xludf.DUMMYFUNCTION("""COMPUTED_VALUE"""),"Tinake1309")</f>
        <v>Tinake1309</v>
      </c>
      <c r="C691" s="78" t="str">
        <f>IFERROR(__xludf.DUMMYFUNCTION("""COMPUTED_VALUE"""),"https://www.munzee.com/m/Tinake1309/851/")</f>
        <v>https://www.munzee.com/m/Tinake1309/851/</v>
      </c>
      <c r="D691" s="47"/>
      <c r="E691" s="47" t="b">
        <f>IFERROR(__xludf.DUMMYFUNCTION("""COMPUTED_VALUE"""),TRUE)</f>
        <v>1</v>
      </c>
      <c r="F691" s="47" t="str">
        <f>IFERROR(__xludf.DUMMYFUNCTION("""COMPUTED_VALUE"""),"")</f>
        <v/>
      </c>
      <c r="G691" s="47" t="str">
        <f>IFERROR(__xludf.DUMMYFUNCTION("""COMPUTED_VALUE"""),"")</f>
        <v/>
      </c>
      <c r="H691" s="47"/>
      <c r="I691" s="47">
        <f>IFERROR(__xludf.DUMMYFUNCTION("""COMPUTED_VALUE"""),2.0)</f>
        <v>2</v>
      </c>
      <c r="J691" s="47" t="str">
        <f>IFERROR(__xludf.DUMMYFUNCTION("""COMPUTED_VALUE"""),"https:")</f>
        <v>https:</v>
      </c>
      <c r="K691" s="78" t="str">
        <f>IFERROR(__xludf.DUMMYFUNCTION("""COMPUTED_VALUE"""),"www.munzee.com")</f>
        <v>www.munzee.com</v>
      </c>
      <c r="L691" s="47" t="str">
        <f>IFERROR(__xludf.DUMMYFUNCTION("""COMPUTED_VALUE"""),"m")</f>
        <v>m</v>
      </c>
      <c r="M691" s="47" t="str">
        <f>IFERROR(__xludf.DUMMYFUNCTION("""COMPUTED_VALUE"""),"Tinake1309")</f>
        <v>Tinake1309</v>
      </c>
    </row>
    <row r="692">
      <c r="A692" s="47" t="str">
        <f>IFERROR(__xludf.DUMMYFUNCTION("""COMPUTED_VALUE"""),"Virtual Brown")</f>
        <v>Virtual Brown</v>
      </c>
      <c r="B692" s="47" t="str">
        <f>IFERROR(__xludf.DUMMYFUNCTION("""COMPUTED_VALUE"""),"Berg14")</f>
        <v>Berg14</v>
      </c>
      <c r="C692" s="78" t="str">
        <f>IFERROR(__xludf.DUMMYFUNCTION("""COMPUTED_VALUE"""),"https://www.munzee.com/m/Berg14/654/")</f>
        <v>https://www.munzee.com/m/Berg14/654/</v>
      </c>
      <c r="D692" s="47"/>
      <c r="E692" s="47" t="b">
        <f>IFERROR(__xludf.DUMMYFUNCTION("""COMPUTED_VALUE"""),TRUE)</f>
        <v>1</v>
      </c>
      <c r="F692" s="47" t="str">
        <f>IFERROR(__xludf.DUMMYFUNCTION("""COMPUTED_VALUE"""),"")</f>
        <v/>
      </c>
      <c r="G692" s="47" t="str">
        <f>IFERROR(__xludf.DUMMYFUNCTION("""COMPUTED_VALUE"""),"")</f>
        <v/>
      </c>
      <c r="H692" s="47"/>
      <c r="I692" s="47">
        <f>IFERROR(__xludf.DUMMYFUNCTION("""COMPUTED_VALUE"""),2.0)</f>
        <v>2</v>
      </c>
      <c r="J692" s="47" t="str">
        <f>IFERROR(__xludf.DUMMYFUNCTION("""COMPUTED_VALUE"""),"https:")</f>
        <v>https:</v>
      </c>
      <c r="K692" s="78" t="str">
        <f>IFERROR(__xludf.DUMMYFUNCTION("""COMPUTED_VALUE"""),"www.munzee.com")</f>
        <v>www.munzee.com</v>
      </c>
      <c r="L692" s="47" t="str">
        <f>IFERROR(__xludf.DUMMYFUNCTION("""COMPUTED_VALUE"""),"m")</f>
        <v>m</v>
      </c>
      <c r="M692" s="47" t="str">
        <f>IFERROR(__xludf.DUMMYFUNCTION("""COMPUTED_VALUE"""),"Berg14")</f>
        <v>Berg14</v>
      </c>
    </row>
    <row r="693">
      <c r="A693" s="47" t="str">
        <f>IFERROR(__xludf.DUMMYFUNCTION("""COMPUTED_VALUE"""),"Virtual Brown")</f>
        <v>Virtual Brown</v>
      </c>
      <c r="B693" s="47" t="str">
        <f>IFERROR(__xludf.DUMMYFUNCTION("""COMPUTED_VALUE"""),"Niks13")</f>
        <v>Niks13</v>
      </c>
      <c r="C693" s="78" t="str">
        <f>IFERROR(__xludf.DUMMYFUNCTION("""COMPUTED_VALUE"""),"https://www.munzee.com/m/Niks13/636/")</f>
        <v>https://www.munzee.com/m/Niks13/636/</v>
      </c>
      <c r="D693" s="47"/>
      <c r="E693" s="47" t="b">
        <f>IFERROR(__xludf.DUMMYFUNCTION("""COMPUTED_VALUE"""),TRUE)</f>
        <v>1</v>
      </c>
      <c r="F693" s="47" t="str">
        <f>IFERROR(__xludf.DUMMYFUNCTION("""COMPUTED_VALUE"""),"")</f>
        <v/>
      </c>
      <c r="G693" s="47" t="str">
        <f>IFERROR(__xludf.DUMMYFUNCTION("""COMPUTED_VALUE"""),"")</f>
        <v/>
      </c>
      <c r="H693" s="47"/>
      <c r="I693" s="47">
        <f>IFERROR(__xludf.DUMMYFUNCTION("""COMPUTED_VALUE"""),2.0)</f>
        <v>2</v>
      </c>
      <c r="J693" s="47" t="str">
        <f>IFERROR(__xludf.DUMMYFUNCTION("""COMPUTED_VALUE"""),"https:")</f>
        <v>https:</v>
      </c>
      <c r="K693" s="78" t="str">
        <f>IFERROR(__xludf.DUMMYFUNCTION("""COMPUTED_VALUE"""),"www.munzee.com")</f>
        <v>www.munzee.com</v>
      </c>
      <c r="L693" s="47" t="str">
        <f>IFERROR(__xludf.DUMMYFUNCTION("""COMPUTED_VALUE"""),"m")</f>
        <v>m</v>
      </c>
      <c r="M693" s="47" t="str">
        <f>IFERROR(__xludf.DUMMYFUNCTION("""COMPUTED_VALUE"""),"Niks13")</f>
        <v>Niks13</v>
      </c>
    </row>
    <row r="694">
      <c r="A694" s="47" t="str">
        <f>IFERROR(__xludf.DUMMYFUNCTION("""COMPUTED_VALUE"""),"Virtual Brown")</f>
        <v>Virtual Brown</v>
      </c>
      <c r="B694" s="47" t="str">
        <f>IFERROR(__xludf.DUMMYFUNCTION("""COMPUTED_VALUE"""),"Anetzet")</f>
        <v>Anetzet</v>
      </c>
      <c r="C694" s="78" t="str">
        <f>IFERROR(__xludf.DUMMYFUNCTION("""COMPUTED_VALUE"""),"https://www.munzee.com/m/Anetzet/3159/")</f>
        <v>https://www.munzee.com/m/Anetzet/3159/</v>
      </c>
      <c r="D694" s="47"/>
      <c r="E694" s="47" t="b">
        <f>IFERROR(__xludf.DUMMYFUNCTION("""COMPUTED_VALUE"""),TRUE)</f>
        <v>1</v>
      </c>
      <c r="F694" s="47" t="str">
        <f>IFERROR(__xludf.DUMMYFUNCTION("""COMPUTED_VALUE"""),"")</f>
        <v/>
      </c>
      <c r="G694" s="47" t="str">
        <f>IFERROR(__xludf.DUMMYFUNCTION("""COMPUTED_VALUE"""),"")</f>
        <v/>
      </c>
      <c r="H694" s="47"/>
      <c r="I694" s="47">
        <f>IFERROR(__xludf.DUMMYFUNCTION("""COMPUTED_VALUE"""),2.0)</f>
        <v>2</v>
      </c>
      <c r="J694" s="47" t="str">
        <f>IFERROR(__xludf.DUMMYFUNCTION("""COMPUTED_VALUE"""),"https:")</f>
        <v>https:</v>
      </c>
      <c r="K694" s="78" t="str">
        <f>IFERROR(__xludf.DUMMYFUNCTION("""COMPUTED_VALUE"""),"www.munzee.com")</f>
        <v>www.munzee.com</v>
      </c>
      <c r="L694" s="47" t="str">
        <f>IFERROR(__xludf.DUMMYFUNCTION("""COMPUTED_VALUE"""),"m")</f>
        <v>m</v>
      </c>
      <c r="M694" s="47" t="str">
        <f>IFERROR(__xludf.DUMMYFUNCTION("""COMPUTED_VALUE"""),"Anetzet")</f>
        <v>Anetzet</v>
      </c>
    </row>
    <row r="695">
      <c r="A695" s="47" t="str">
        <f>IFERROR(__xludf.DUMMYFUNCTION("""COMPUTED_VALUE"""),"Virtual Brown")</f>
        <v>Virtual Brown</v>
      </c>
      <c r="B695" s="47" t="str">
        <f>IFERROR(__xludf.DUMMYFUNCTION("""COMPUTED_VALUE"""),"barefootguru")</f>
        <v>barefootguru</v>
      </c>
      <c r="C695" s="78" t="str">
        <f>IFERROR(__xludf.DUMMYFUNCTION("""COMPUTED_VALUE"""),"https://www.munzee.com/m/barefootguru/3197/")</f>
        <v>https://www.munzee.com/m/barefootguru/3197/</v>
      </c>
      <c r="D695" s="47"/>
      <c r="E695" s="47" t="b">
        <f>IFERROR(__xludf.DUMMYFUNCTION("""COMPUTED_VALUE"""),TRUE)</f>
        <v>1</v>
      </c>
      <c r="F695" s="47" t="str">
        <f>IFERROR(__xludf.DUMMYFUNCTION("""COMPUTED_VALUE"""),"")</f>
        <v/>
      </c>
      <c r="G695" s="47" t="str">
        <f>IFERROR(__xludf.DUMMYFUNCTION("""COMPUTED_VALUE"""),"")</f>
        <v/>
      </c>
      <c r="H695" s="47"/>
      <c r="I695" s="47">
        <f>IFERROR(__xludf.DUMMYFUNCTION("""COMPUTED_VALUE"""),2.0)</f>
        <v>2</v>
      </c>
      <c r="J695" s="47" t="str">
        <f>IFERROR(__xludf.DUMMYFUNCTION("""COMPUTED_VALUE"""),"https:")</f>
        <v>https:</v>
      </c>
      <c r="K695" s="78" t="str">
        <f>IFERROR(__xludf.DUMMYFUNCTION("""COMPUTED_VALUE"""),"www.munzee.com")</f>
        <v>www.munzee.com</v>
      </c>
      <c r="L695" s="47" t="str">
        <f>IFERROR(__xludf.DUMMYFUNCTION("""COMPUTED_VALUE"""),"m")</f>
        <v>m</v>
      </c>
      <c r="M695" s="47" t="str">
        <f>IFERROR(__xludf.DUMMYFUNCTION("""COMPUTED_VALUE"""),"barefootguru")</f>
        <v>barefootguru</v>
      </c>
    </row>
    <row r="696">
      <c r="A696" s="47" t="str">
        <f>IFERROR(__xludf.DUMMYFUNCTION("""COMPUTED_VALUE"""),"Virtual Raw Sienna")</f>
        <v>Virtual Raw Sienna</v>
      </c>
      <c r="B696" s="47" t="str">
        <f>IFERROR(__xludf.DUMMYFUNCTION("""COMPUTED_VALUE"""),"GroteSufferd")</f>
        <v>GroteSufferd</v>
      </c>
      <c r="C696" s="78" t="str">
        <f>IFERROR(__xludf.DUMMYFUNCTION("""COMPUTED_VALUE"""),"https://www.munzee.com/m/GroteSufferd/441/")</f>
        <v>https://www.munzee.com/m/GroteSufferd/441/</v>
      </c>
      <c r="D696" s="47"/>
      <c r="E696" s="47" t="b">
        <f>IFERROR(__xludf.DUMMYFUNCTION("""COMPUTED_VALUE"""),TRUE)</f>
        <v>1</v>
      </c>
      <c r="F696" s="47" t="str">
        <f>IFERROR(__xludf.DUMMYFUNCTION("""COMPUTED_VALUE"""),"")</f>
        <v/>
      </c>
      <c r="G696" s="47" t="str">
        <f>IFERROR(__xludf.DUMMYFUNCTION("""COMPUTED_VALUE"""),"")</f>
        <v/>
      </c>
      <c r="H696" s="47"/>
      <c r="I696" s="47">
        <f>IFERROR(__xludf.DUMMYFUNCTION("""COMPUTED_VALUE"""),2.0)</f>
        <v>2</v>
      </c>
      <c r="J696" s="47" t="str">
        <f>IFERROR(__xludf.DUMMYFUNCTION("""COMPUTED_VALUE"""),"https:")</f>
        <v>https:</v>
      </c>
      <c r="K696" s="78" t="str">
        <f>IFERROR(__xludf.DUMMYFUNCTION("""COMPUTED_VALUE"""),"www.munzee.com")</f>
        <v>www.munzee.com</v>
      </c>
      <c r="L696" s="47" t="str">
        <f>IFERROR(__xludf.DUMMYFUNCTION("""COMPUTED_VALUE"""),"m")</f>
        <v>m</v>
      </c>
      <c r="M696" s="47" t="str">
        <f>IFERROR(__xludf.DUMMYFUNCTION("""COMPUTED_VALUE"""),"GroteSufferd")</f>
        <v>GroteSufferd</v>
      </c>
    </row>
    <row r="697">
      <c r="A697" s="47" t="str">
        <f>IFERROR(__xludf.DUMMYFUNCTION("""COMPUTED_VALUE"""),"Virtual Brown")</f>
        <v>Virtual Brown</v>
      </c>
      <c r="B697" s="47" t="str">
        <f>IFERROR(__xludf.DUMMYFUNCTION("""COMPUTED_VALUE"""),"J1Huisman")</f>
        <v>J1Huisman</v>
      </c>
      <c r="C697" s="78" t="str">
        <f>IFERROR(__xludf.DUMMYFUNCTION("""COMPUTED_VALUE"""),"https://www.munzee.com/m/J1Huisman/11792/")</f>
        <v>https://www.munzee.com/m/J1Huisman/11792/</v>
      </c>
      <c r="D697" s="47"/>
      <c r="E697" s="47" t="b">
        <f>IFERROR(__xludf.DUMMYFUNCTION("""COMPUTED_VALUE"""),TRUE)</f>
        <v>1</v>
      </c>
      <c r="F697" s="47" t="str">
        <f>IFERROR(__xludf.DUMMYFUNCTION("""COMPUTED_VALUE"""),"")</f>
        <v/>
      </c>
      <c r="G697" s="47" t="str">
        <f>IFERROR(__xludf.DUMMYFUNCTION("""COMPUTED_VALUE"""),"")</f>
        <v/>
      </c>
      <c r="H697" s="47"/>
      <c r="I697" s="47">
        <f>IFERROR(__xludf.DUMMYFUNCTION("""COMPUTED_VALUE"""),2.0)</f>
        <v>2</v>
      </c>
      <c r="J697" s="47" t="str">
        <f>IFERROR(__xludf.DUMMYFUNCTION("""COMPUTED_VALUE"""),"https:")</f>
        <v>https:</v>
      </c>
      <c r="K697" s="78" t="str">
        <f>IFERROR(__xludf.DUMMYFUNCTION("""COMPUTED_VALUE"""),"www.munzee.com")</f>
        <v>www.munzee.com</v>
      </c>
      <c r="L697" s="47" t="str">
        <f>IFERROR(__xludf.DUMMYFUNCTION("""COMPUTED_VALUE"""),"m")</f>
        <v>m</v>
      </c>
      <c r="M697" s="47" t="str">
        <f>IFERROR(__xludf.DUMMYFUNCTION("""COMPUTED_VALUE"""),"J1Huisman")</f>
        <v>J1Huisman</v>
      </c>
    </row>
    <row r="698">
      <c r="A698" s="47" t="str">
        <f>IFERROR(__xludf.DUMMYFUNCTION("""COMPUTED_VALUE"""),"Virtual Brown")</f>
        <v>Virtual Brown</v>
      </c>
      <c r="B698" s="47" t="str">
        <f>IFERROR(__xludf.DUMMYFUNCTION("""COMPUTED_VALUE"""),"EmileP68")</f>
        <v>EmileP68</v>
      </c>
      <c r="C698" s="78" t="str">
        <f>IFERROR(__xludf.DUMMYFUNCTION("""COMPUTED_VALUE"""),"https://www.munzee.com/m/EmileP68/4051/")</f>
        <v>https://www.munzee.com/m/EmileP68/4051/</v>
      </c>
      <c r="D698" s="47"/>
      <c r="E698" s="47" t="b">
        <f>IFERROR(__xludf.DUMMYFUNCTION("""COMPUTED_VALUE"""),TRUE)</f>
        <v>1</v>
      </c>
      <c r="F698" s="47"/>
      <c r="G698" s="47" t="str">
        <f>IFERROR(__xludf.DUMMYFUNCTION("""COMPUTED_VALUE"""),"")</f>
        <v/>
      </c>
      <c r="H698" s="47"/>
      <c r="I698" s="47">
        <f>IFERROR(__xludf.DUMMYFUNCTION("""COMPUTED_VALUE"""),2.0)</f>
        <v>2</v>
      </c>
      <c r="J698" s="47" t="str">
        <f>IFERROR(__xludf.DUMMYFUNCTION("""COMPUTED_VALUE"""),"https:")</f>
        <v>https:</v>
      </c>
      <c r="K698" s="78" t="str">
        <f>IFERROR(__xludf.DUMMYFUNCTION("""COMPUTED_VALUE"""),"www.munzee.com")</f>
        <v>www.munzee.com</v>
      </c>
      <c r="L698" s="47" t="str">
        <f>IFERROR(__xludf.DUMMYFUNCTION("""COMPUTED_VALUE"""),"m")</f>
        <v>m</v>
      </c>
      <c r="M698" s="47" t="str">
        <f>IFERROR(__xludf.DUMMYFUNCTION("""COMPUTED_VALUE"""),"EmileP68")</f>
        <v>EmileP68</v>
      </c>
    </row>
    <row r="699">
      <c r="A699" s="47" t="str">
        <f>IFERROR(__xludf.DUMMYFUNCTION("""COMPUTED_VALUE"""),"Virtual Brown")</f>
        <v>Virtual Brown</v>
      </c>
      <c r="B699" s="47" t="str">
        <f>IFERROR(__xludf.DUMMYFUNCTION("""COMPUTED_VALUE"""),"ArtofEco")</f>
        <v>ArtofEco</v>
      </c>
      <c r="C699" s="78" t="str">
        <f>IFERROR(__xludf.DUMMYFUNCTION("""COMPUTED_VALUE"""),"https://www.munzee.com/m/ArtofEco/3061/")</f>
        <v>https://www.munzee.com/m/ArtofEco/3061/</v>
      </c>
      <c r="D699" s="47"/>
      <c r="E699" s="47" t="b">
        <f>IFERROR(__xludf.DUMMYFUNCTION("""COMPUTED_VALUE"""),TRUE)</f>
        <v>1</v>
      </c>
      <c r="F699" s="47" t="str">
        <f>IFERROR(__xludf.DUMMYFUNCTION("""COMPUTED_VALUE"""),"")</f>
        <v/>
      </c>
      <c r="G699" s="47" t="str">
        <f>IFERROR(__xludf.DUMMYFUNCTION("""COMPUTED_VALUE"""),"")</f>
        <v/>
      </c>
      <c r="H699" s="47"/>
      <c r="I699" s="47">
        <f>IFERROR(__xludf.DUMMYFUNCTION("""COMPUTED_VALUE"""),2.0)</f>
        <v>2</v>
      </c>
      <c r="J699" s="47" t="str">
        <f>IFERROR(__xludf.DUMMYFUNCTION("""COMPUTED_VALUE"""),"https:")</f>
        <v>https:</v>
      </c>
      <c r="K699" s="78" t="str">
        <f>IFERROR(__xludf.DUMMYFUNCTION("""COMPUTED_VALUE"""),"www.munzee.com")</f>
        <v>www.munzee.com</v>
      </c>
      <c r="L699" s="47" t="str">
        <f>IFERROR(__xludf.DUMMYFUNCTION("""COMPUTED_VALUE"""),"m")</f>
        <v>m</v>
      </c>
      <c r="M699" s="47" t="str">
        <f>IFERROR(__xludf.DUMMYFUNCTION("""COMPUTED_VALUE"""),"ArtofEco")</f>
        <v>ArtofEco</v>
      </c>
    </row>
    <row r="700">
      <c r="A700" s="47" t="str">
        <f>IFERROR(__xludf.DUMMYFUNCTION("""COMPUTED_VALUE"""),"Virtual Raw Sienna")</f>
        <v>Virtual Raw Sienna</v>
      </c>
      <c r="B700" s="47" t="str">
        <f>IFERROR(__xludf.DUMMYFUNCTION("""COMPUTED_VALUE"""),"Aniara")</f>
        <v>Aniara</v>
      </c>
      <c r="C700" s="78" t="str">
        <f>IFERROR(__xludf.DUMMYFUNCTION("""COMPUTED_VALUE"""),"https://www.munzee.com/m/Aniara/6951/")</f>
        <v>https://www.munzee.com/m/Aniara/6951/</v>
      </c>
      <c r="D700" s="47"/>
      <c r="E700" s="47" t="b">
        <f>IFERROR(__xludf.DUMMYFUNCTION("""COMPUTED_VALUE"""),TRUE)</f>
        <v>1</v>
      </c>
      <c r="F700" s="47" t="str">
        <f>IFERROR(__xludf.DUMMYFUNCTION("""COMPUTED_VALUE"""),"")</f>
        <v/>
      </c>
      <c r="G700" s="47" t="str">
        <f>IFERROR(__xludf.DUMMYFUNCTION("""COMPUTED_VALUE"""),"")</f>
        <v/>
      </c>
      <c r="H700" s="47"/>
      <c r="I700" s="47">
        <f>IFERROR(__xludf.DUMMYFUNCTION("""COMPUTED_VALUE"""),2.0)</f>
        <v>2</v>
      </c>
      <c r="J700" s="47" t="str">
        <f>IFERROR(__xludf.DUMMYFUNCTION("""COMPUTED_VALUE"""),"https:")</f>
        <v>https:</v>
      </c>
      <c r="K700" s="78" t="str">
        <f>IFERROR(__xludf.DUMMYFUNCTION("""COMPUTED_VALUE"""),"www.munzee.com")</f>
        <v>www.munzee.com</v>
      </c>
      <c r="L700" s="47" t="str">
        <f>IFERROR(__xludf.DUMMYFUNCTION("""COMPUTED_VALUE"""),"m")</f>
        <v>m</v>
      </c>
      <c r="M700" s="47" t="str">
        <f>IFERROR(__xludf.DUMMYFUNCTION("""COMPUTED_VALUE"""),"Aniara")</f>
        <v>Aniara</v>
      </c>
    </row>
    <row r="701">
      <c r="A701" s="47" t="str">
        <f>IFERROR(__xludf.DUMMYFUNCTION("""COMPUTED_VALUE"""),"Virtual Brown")</f>
        <v>Virtual Brown</v>
      </c>
      <c r="B701" s="47" t="str">
        <f>IFERROR(__xludf.DUMMYFUNCTION("""COMPUTED_VALUE"""),"BrotherWilliam")</f>
        <v>BrotherWilliam</v>
      </c>
      <c r="C701" s="78" t="str">
        <f>IFERROR(__xludf.DUMMYFUNCTION("""COMPUTED_VALUE"""),"https://www.munzee.com/m/BrotherWilliam/4236/")</f>
        <v>https://www.munzee.com/m/BrotherWilliam/4236/</v>
      </c>
      <c r="D701" s="47"/>
      <c r="E701" s="47" t="b">
        <f>IFERROR(__xludf.DUMMYFUNCTION("""COMPUTED_VALUE"""),TRUE)</f>
        <v>1</v>
      </c>
      <c r="F701" s="47" t="str">
        <f>IFERROR(__xludf.DUMMYFUNCTION("""COMPUTED_VALUE"""),"")</f>
        <v/>
      </c>
      <c r="G701" s="47" t="str">
        <f>IFERROR(__xludf.DUMMYFUNCTION("""COMPUTED_VALUE"""),"")</f>
        <v/>
      </c>
      <c r="H701" s="47"/>
      <c r="I701" s="47">
        <f>IFERROR(__xludf.DUMMYFUNCTION("""COMPUTED_VALUE"""),2.0)</f>
        <v>2</v>
      </c>
      <c r="J701" s="47" t="str">
        <f>IFERROR(__xludf.DUMMYFUNCTION("""COMPUTED_VALUE"""),"https:")</f>
        <v>https:</v>
      </c>
      <c r="K701" s="78" t="str">
        <f>IFERROR(__xludf.DUMMYFUNCTION("""COMPUTED_VALUE"""),"www.munzee.com")</f>
        <v>www.munzee.com</v>
      </c>
      <c r="L701" s="47" t="str">
        <f>IFERROR(__xludf.DUMMYFUNCTION("""COMPUTED_VALUE"""),"m")</f>
        <v>m</v>
      </c>
      <c r="M701" s="47" t="str">
        <f>IFERROR(__xludf.DUMMYFUNCTION("""COMPUTED_VALUE"""),"BrotherWilliam")</f>
        <v>BrotherWilliam</v>
      </c>
    </row>
    <row r="702">
      <c r="A702" s="47" t="str">
        <f>IFERROR(__xludf.DUMMYFUNCTION("""COMPUTED_VALUE"""),"Virtual Brown")</f>
        <v>Virtual Brown</v>
      </c>
      <c r="B702" s="47" t="str">
        <f>IFERROR(__xludf.DUMMYFUNCTION("""COMPUTED_VALUE"""),"Derlame ")</f>
        <v>Derlame </v>
      </c>
      <c r="C702" s="78" t="str">
        <f>IFERROR(__xludf.DUMMYFUNCTION("""COMPUTED_VALUE"""),"https://www.munzee.com/m/Derlame/13443/")</f>
        <v>https://www.munzee.com/m/Derlame/13443/</v>
      </c>
      <c r="D702" s="47"/>
      <c r="E702" s="47" t="b">
        <f>IFERROR(__xludf.DUMMYFUNCTION("""COMPUTED_VALUE"""),TRUE)</f>
        <v>1</v>
      </c>
      <c r="F702" s="47" t="str">
        <f>IFERROR(__xludf.DUMMYFUNCTION("""COMPUTED_VALUE"""),"")</f>
        <v/>
      </c>
      <c r="G702" s="47" t="str">
        <f>IFERROR(__xludf.DUMMYFUNCTION("""COMPUTED_VALUE"""),"")</f>
        <v/>
      </c>
      <c r="H702" s="47"/>
      <c r="I702" s="47">
        <f>IFERROR(__xludf.DUMMYFUNCTION("""COMPUTED_VALUE"""),2.0)</f>
        <v>2</v>
      </c>
      <c r="J702" s="47" t="str">
        <f>IFERROR(__xludf.DUMMYFUNCTION("""COMPUTED_VALUE"""),"https:")</f>
        <v>https:</v>
      </c>
      <c r="K702" s="78" t="str">
        <f>IFERROR(__xludf.DUMMYFUNCTION("""COMPUTED_VALUE"""),"www.munzee.com")</f>
        <v>www.munzee.com</v>
      </c>
      <c r="L702" s="47" t="str">
        <f>IFERROR(__xludf.DUMMYFUNCTION("""COMPUTED_VALUE"""),"m")</f>
        <v>m</v>
      </c>
      <c r="M702" s="47" t="str">
        <f>IFERROR(__xludf.DUMMYFUNCTION("""COMPUTED_VALUE"""),"Derlame")</f>
        <v>Derlame</v>
      </c>
    </row>
    <row r="703">
      <c r="A703" s="47" t="str">
        <f>IFERROR(__xludf.DUMMYFUNCTION("""COMPUTED_VALUE"""),"Virtual Raw Sienna")</f>
        <v>Virtual Raw Sienna</v>
      </c>
      <c r="B703" s="47" t="str">
        <f>IFERROR(__xludf.DUMMYFUNCTION("""COMPUTED_VALUE"""),"GeodudeDK")</f>
        <v>GeodudeDK</v>
      </c>
      <c r="C703" s="78" t="str">
        <f>IFERROR(__xludf.DUMMYFUNCTION("""COMPUTED_VALUE"""),"https://www.munzee.com/m/GeodudeDK/3403/")</f>
        <v>https://www.munzee.com/m/GeodudeDK/3403/</v>
      </c>
      <c r="D703" s="47"/>
      <c r="E703" s="47" t="b">
        <f>IFERROR(__xludf.DUMMYFUNCTION("""COMPUTED_VALUE"""),TRUE)</f>
        <v>1</v>
      </c>
      <c r="F703" s="47" t="str">
        <f>IFERROR(__xludf.DUMMYFUNCTION("""COMPUTED_VALUE"""),"")</f>
        <v/>
      </c>
      <c r="G703" s="47" t="str">
        <f>IFERROR(__xludf.DUMMYFUNCTION("""COMPUTED_VALUE"""),"")</f>
        <v/>
      </c>
      <c r="H703" s="47"/>
      <c r="I703" s="47">
        <f>IFERROR(__xludf.DUMMYFUNCTION("""COMPUTED_VALUE"""),2.0)</f>
        <v>2</v>
      </c>
      <c r="J703" s="47" t="str">
        <f>IFERROR(__xludf.DUMMYFUNCTION("""COMPUTED_VALUE"""),"https:")</f>
        <v>https:</v>
      </c>
      <c r="K703" s="78" t="str">
        <f>IFERROR(__xludf.DUMMYFUNCTION("""COMPUTED_VALUE"""),"www.munzee.com")</f>
        <v>www.munzee.com</v>
      </c>
      <c r="L703" s="47" t="str">
        <f>IFERROR(__xludf.DUMMYFUNCTION("""COMPUTED_VALUE"""),"m")</f>
        <v>m</v>
      </c>
      <c r="M703" s="47" t="str">
        <f>IFERROR(__xludf.DUMMYFUNCTION("""COMPUTED_VALUE"""),"GeodudeDK")</f>
        <v>GeodudeDK</v>
      </c>
    </row>
    <row r="704">
      <c r="A704" s="47" t="str">
        <f>IFERROR(__xludf.DUMMYFUNCTION("""COMPUTED_VALUE"""),"Virtual Brown")</f>
        <v>Virtual Brown</v>
      </c>
      <c r="B704" s="47" t="str">
        <f>IFERROR(__xludf.DUMMYFUNCTION("""COMPUTED_VALUE"""),"cbf600")</f>
        <v>cbf600</v>
      </c>
      <c r="C704" s="78" t="str">
        <f>IFERROR(__xludf.DUMMYFUNCTION("""COMPUTED_VALUE"""),"https://www.munzee.com/m/cbf600/2539/")</f>
        <v>https://www.munzee.com/m/cbf600/2539/</v>
      </c>
      <c r="D704" s="47"/>
      <c r="E704" s="47" t="b">
        <f>IFERROR(__xludf.DUMMYFUNCTION("""COMPUTED_VALUE"""),TRUE)</f>
        <v>1</v>
      </c>
      <c r="F704" s="47" t="str">
        <f>IFERROR(__xludf.DUMMYFUNCTION("""COMPUTED_VALUE"""),"")</f>
        <v/>
      </c>
      <c r="G704" s="47" t="str">
        <f>IFERROR(__xludf.DUMMYFUNCTION("""COMPUTED_VALUE"""),"")</f>
        <v/>
      </c>
      <c r="H704" s="47"/>
      <c r="I704" s="47">
        <f>IFERROR(__xludf.DUMMYFUNCTION("""COMPUTED_VALUE"""),2.0)</f>
        <v>2</v>
      </c>
      <c r="J704" s="47" t="str">
        <f>IFERROR(__xludf.DUMMYFUNCTION("""COMPUTED_VALUE"""),"https:")</f>
        <v>https:</v>
      </c>
      <c r="K704" s="78" t="str">
        <f>IFERROR(__xludf.DUMMYFUNCTION("""COMPUTED_VALUE"""),"www.munzee.com")</f>
        <v>www.munzee.com</v>
      </c>
      <c r="L704" s="47" t="str">
        <f>IFERROR(__xludf.DUMMYFUNCTION("""COMPUTED_VALUE"""),"m")</f>
        <v>m</v>
      </c>
      <c r="M704" s="47" t="str">
        <f>IFERROR(__xludf.DUMMYFUNCTION("""COMPUTED_VALUE"""),"cbf600")</f>
        <v>cbf600</v>
      </c>
    </row>
    <row r="705">
      <c r="A705" s="47" t="str">
        <f>IFERROR(__xludf.DUMMYFUNCTION("""COMPUTED_VALUE"""),"Virtual Raw Sienna")</f>
        <v>Virtual Raw Sienna</v>
      </c>
      <c r="B705" s="47" t="str">
        <f>IFERROR(__xludf.DUMMYFUNCTION("""COMPUTED_VALUE"""),"lison55")</f>
        <v>lison55</v>
      </c>
      <c r="C705" s="78" t="str">
        <f>IFERROR(__xludf.DUMMYFUNCTION("""COMPUTED_VALUE"""),"https://www.munzee.com/m/lison55/5523/")</f>
        <v>https://www.munzee.com/m/lison55/5523/</v>
      </c>
      <c r="D705" s="47"/>
      <c r="E705" s="47" t="b">
        <f>IFERROR(__xludf.DUMMYFUNCTION("""COMPUTED_VALUE"""),TRUE)</f>
        <v>1</v>
      </c>
      <c r="F705" s="47" t="str">
        <f>IFERROR(__xludf.DUMMYFUNCTION("""COMPUTED_VALUE"""),"")</f>
        <v/>
      </c>
      <c r="G705" s="47" t="str">
        <f>IFERROR(__xludf.DUMMYFUNCTION("""COMPUTED_VALUE"""),"")</f>
        <v/>
      </c>
      <c r="H705" s="47"/>
      <c r="I705" s="47">
        <f>IFERROR(__xludf.DUMMYFUNCTION("""COMPUTED_VALUE"""),2.0)</f>
        <v>2</v>
      </c>
      <c r="J705" s="47" t="str">
        <f>IFERROR(__xludf.DUMMYFUNCTION("""COMPUTED_VALUE"""),"https:")</f>
        <v>https:</v>
      </c>
      <c r="K705" s="78" t="str">
        <f>IFERROR(__xludf.DUMMYFUNCTION("""COMPUTED_VALUE"""),"www.munzee.com")</f>
        <v>www.munzee.com</v>
      </c>
      <c r="L705" s="47" t="str">
        <f>IFERROR(__xludf.DUMMYFUNCTION("""COMPUTED_VALUE"""),"m")</f>
        <v>m</v>
      </c>
      <c r="M705" s="47" t="str">
        <f>IFERROR(__xludf.DUMMYFUNCTION("""COMPUTED_VALUE"""),"lison55")</f>
        <v>lison55</v>
      </c>
    </row>
    <row r="706">
      <c r="A706" s="47" t="str">
        <f>IFERROR(__xludf.DUMMYFUNCTION("""COMPUTED_VALUE"""),"Virtual Brown")</f>
        <v>Virtual Brown</v>
      </c>
      <c r="B706" s="47" t="str">
        <f>IFERROR(__xludf.DUMMYFUNCTION("""COMPUTED_VALUE"""),"Bisquick2")</f>
        <v>Bisquick2</v>
      </c>
      <c r="C706" s="78" t="str">
        <f>IFERROR(__xludf.DUMMYFUNCTION("""COMPUTED_VALUE"""),"https://www.munzee.com/m/Bisquick2/4560/")</f>
        <v>https://www.munzee.com/m/Bisquick2/4560/</v>
      </c>
      <c r="D706" s="47"/>
      <c r="E706" s="47" t="b">
        <f>IFERROR(__xludf.DUMMYFUNCTION("""COMPUTED_VALUE"""),TRUE)</f>
        <v>1</v>
      </c>
      <c r="F706" s="47" t="str">
        <f>IFERROR(__xludf.DUMMYFUNCTION("""COMPUTED_VALUE"""),"")</f>
        <v/>
      </c>
      <c r="G706" s="47" t="str">
        <f>IFERROR(__xludf.DUMMYFUNCTION("""COMPUTED_VALUE"""),"")</f>
        <v/>
      </c>
      <c r="H706" s="47"/>
      <c r="I706" s="47">
        <f>IFERROR(__xludf.DUMMYFUNCTION("""COMPUTED_VALUE"""),2.0)</f>
        <v>2</v>
      </c>
      <c r="J706" s="47" t="str">
        <f>IFERROR(__xludf.DUMMYFUNCTION("""COMPUTED_VALUE"""),"https:")</f>
        <v>https:</v>
      </c>
      <c r="K706" s="78" t="str">
        <f>IFERROR(__xludf.DUMMYFUNCTION("""COMPUTED_VALUE"""),"www.munzee.com")</f>
        <v>www.munzee.com</v>
      </c>
      <c r="L706" s="47" t="str">
        <f>IFERROR(__xludf.DUMMYFUNCTION("""COMPUTED_VALUE"""),"m")</f>
        <v>m</v>
      </c>
      <c r="M706" s="47" t="str">
        <f>IFERROR(__xludf.DUMMYFUNCTION("""COMPUTED_VALUE"""),"Bisquick2")</f>
        <v>Bisquick2</v>
      </c>
    </row>
    <row r="707">
      <c r="A707" s="47" t="str">
        <f>IFERROR(__xludf.DUMMYFUNCTION("""COMPUTED_VALUE"""),"Virtual Brown")</f>
        <v>Virtual Brown</v>
      </c>
      <c r="B707" s="47" t="str">
        <f>IFERROR(__xludf.DUMMYFUNCTION("""COMPUTED_VALUE"""),"GeodudeDK")</f>
        <v>GeodudeDK</v>
      </c>
      <c r="C707" s="78" t="str">
        <f>IFERROR(__xludf.DUMMYFUNCTION("""COMPUTED_VALUE"""),"https://www.munzee.com/m/GeodudeDK/3404/")</f>
        <v>https://www.munzee.com/m/GeodudeDK/3404/</v>
      </c>
      <c r="D707" s="47"/>
      <c r="E707" s="47" t="b">
        <f>IFERROR(__xludf.DUMMYFUNCTION("""COMPUTED_VALUE"""),TRUE)</f>
        <v>1</v>
      </c>
      <c r="F707" s="47" t="str">
        <f>IFERROR(__xludf.DUMMYFUNCTION("""COMPUTED_VALUE"""),"")</f>
        <v/>
      </c>
      <c r="G707" s="47" t="str">
        <f>IFERROR(__xludf.DUMMYFUNCTION("""COMPUTED_VALUE"""),"")</f>
        <v/>
      </c>
      <c r="H707" s="47"/>
      <c r="I707" s="47">
        <f>IFERROR(__xludf.DUMMYFUNCTION("""COMPUTED_VALUE"""),2.0)</f>
        <v>2</v>
      </c>
      <c r="J707" s="47" t="str">
        <f>IFERROR(__xludf.DUMMYFUNCTION("""COMPUTED_VALUE"""),"https:")</f>
        <v>https:</v>
      </c>
      <c r="K707" s="78" t="str">
        <f>IFERROR(__xludf.DUMMYFUNCTION("""COMPUTED_VALUE"""),"www.munzee.com")</f>
        <v>www.munzee.com</v>
      </c>
      <c r="L707" s="47" t="str">
        <f>IFERROR(__xludf.DUMMYFUNCTION("""COMPUTED_VALUE"""),"m")</f>
        <v>m</v>
      </c>
      <c r="M707" s="47" t="str">
        <f>IFERROR(__xludf.DUMMYFUNCTION("""COMPUTED_VALUE"""),"GeodudeDK")</f>
        <v>GeodudeDK</v>
      </c>
    </row>
    <row r="708">
      <c r="A708" s="47" t="str">
        <f>IFERROR(__xludf.DUMMYFUNCTION("""COMPUTED_VALUE"""),"Virtual Brown")</f>
        <v>Virtual Brown</v>
      </c>
      <c r="B708" s="47" t="str">
        <f>IFERROR(__xludf.DUMMYFUNCTION("""COMPUTED_VALUE"""),"Pinkeltje")</f>
        <v>Pinkeltje</v>
      </c>
      <c r="C708" s="78" t="str">
        <f>IFERROR(__xludf.DUMMYFUNCTION("""COMPUTED_VALUE"""),"https://www.munzee.com/m/Pinkeltje/1537/")</f>
        <v>https://www.munzee.com/m/Pinkeltje/1537/</v>
      </c>
      <c r="D708" s="47"/>
      <c r="E708" s="47" t="b">
        <f>IFERROR(__xludf.DUMMYFUNCTION("""COMPUTED_VALUE"""),TRUE)</f>
        <v>1</v>
      </c>
      <c r="F708" s="47" t="str">
        <f>IFERROR(__xludf.DUMMYFUNCTION("""COMPUTED_VALUE"""),"")</f>
        <v/>
      </c>
      <c r="G708" s="47" t="str">
        <f>IFERROR(__xludf.DUMMYFUNCTION("""COMPUTED_VALUE"""),"")</f>
        <v/>
      </c>
      <c r="H708" s="47"/>
      <c r="I708" s="47">
        <f>IFERROR(__xludf.DUMMYFUNCTION("""COMPUTED_VALUE"""),2.0)</f>
        <v>2</v>
      </c>
      <c r="J708" s="47" t="str">
        <f>IFERROR(__xludf.DUMMYFUNCTION("""COMPUTED_VALUE"""),"https:")</f>
        <v>https:</v>
      </c>
      <c r="K708" s="78" t="str">
        <f>IFERROR(__xludf.DUMMYFUNCTION("""COMPUTED_VALUE"""),"www.munzee.com")</f>
        <v>www.munzee.com</v>
      </c>
      <c r="L708" s="47" t="str">
        <f>IFERROR(__xludf.DUMMYFUNCTION("""COMPUTED_VALUE"""),"m")</f>
        <v>m</v>
      </c>
      <c r="M708" s="47" t="str">
        <f>IFERROR(__xludf.DUMMYFUNCTION("""COMPUTED_VALUE"""),"Pinkeltje")</f>
        <v>Pinkeltje</v>
      </c>
    </row>
    <row r="709">
      <c r="A709" s="47" t="str">
        <f>IFERROR(__xludf.DUMMYFUNCTION("""COMPUTED_VALUE"""),"Virtual Brown")</f>
        <v>Virtual Brown</v>
      </c>
      <c r="B709" s="47" t="str">
        <f>IFERROR(__xludf.DUMMYFUNCTION("""COMPUTED_VALUE"""),"Amadoreugen")</f>
        <v>Amadoreugen</v>
      </c>
      <c r="C709" s="78" t="str">
        <f>IFERROR(__xludf.DUMMYFUNCTION("""COMPUTED_VALUE"""),"https://www.munzee.com/m/amadoreugen/5826")</f>
        <v>https://www.munzee.com/m/amadoreugen/5826</v>
      </c>
      <c r="D709" s="47"/>
      <c r="E709" s="47" t="b">
        <f>IFERROR(__xludf.DUMMYFUNCTION("""COMPUTED_VALUE"""),TRUE)</f>
        <v>1</v>
      </c>
      <c r="F709" s="47" t="str">
        <f>IFERROR(__xludf.DUMMYFUNCTION("""COMPUTED_VALUE"""),"")</f>
        <v/>
      </c>
      <c r="G709" s="47" t="str">
        <f>IFERROR(__xludf.DUMMYFUNCTION("""COMPUTED_VALUE"""),"")</f>
        <v/>
      </c>
      <c r="H709" s="47"/>
      <c r="I709" s="47">
        <f>IFERROR(__xludf.DUMMYFUNCTION("""COMPUTED_VALUE"""),2.0)</f>
        <v>2</v>
      </c>
      <c r="J709" s="47" t="str">
        <f>IFERROR(__xludf.DUMMYFUNCTION("""COMPUTED_VALUE"""),"https:")</f>
        <v>https:</v>
      </c>
      <c r="K709" s="78" t="str">
        <f>IFERROR(__xludf.DUMMYFUNCTION("""COMPUTED_VALUE"""),"www.munzee.com")</f>
        <v>www.munzee.com</v>
      </c>
      <c r="L709" s="47" t="str">
        <f>IFERROR(__xludf.DUMMYFUNCTION("""COMPUTED_VALUE"""),"m")</f>
        <v>m</v>
      </c>
      <c r="M709" s="47" t="str">
        <f>IFERROR(__xludf.DUMMYFUNCTION("""COMPUTED_VALUE"""),"amadoreugen")</f>
        <v>amadoreugen</v>
      </c>
    </row>
    <row r="710">
      <c r="A710" s="47" t="str">
        <f>IFERROR(__xludf.DUMMYFUNCTION("""COMPUTED_VALUE"""),"Virtual Brown")</f>
        <v>Virtual Brown</v>
      </c>
      <c r="B710" s="47" t="str">
        <f>IFERROR(__xludf.DUMMYFUNCTION("""COMPUTED_VALUE"""),"cbf600")</f>
        <v>cbf600</v>
      </c>
      <c r="C710" s="78" t="str">
        <f>IFERROR(__xludf.DUMMYFUNCTION("""COMPUTED_VALUE"""),"https://www.munzee.com/m/cbf600/2647/")</f>
        <v>https://www.munzee.com/m/cbf600/2647/</v>
      </c>
      <c r="D710" s="47"/>
      <c r="E710" s="47" t="b">
        <f>IFERROR(__xludf.DUMMYFUNCTION("""COMPUTED_VALUE"""),TRUE)</f>
        <v>1</v>
      </c>
      <c r="F710" s="47" t="str">
        <f>IFERROR(__xludf.DUMMYFUNCTION("""COMPUTED_VALUE"""),"")</f>
        <v/>
      </c>
      <c r="G710" s="47" t="str">
        <f>IFERROR(__xludf.DUMMYFUNCTION("""COMPUTED_VALUE"""),"")</f>
        <v/>
      </c>
      <c r="H710" s="47"/>
      <c r="I710" s="47">
        <f>IFERROR(__xludf.DUMMYFUNCTION("""COMPUTED_VALUE"""),2.0)</f>
        <v>2</v>
      </c>
      <c r="J710" s="47" t="str">
        <f>IFERROR(__xludf.DUMMYFUNCTION("""COMPUTED_VALUE"""),"https:")</f>
        <v>https:</v>
      </c>
      <c r="K710" s="78" t="str">
        <f>IFERROR(__xludf.DUMMYFUNCTION("""COMPUTED_VALUE"""),"www.munzee.com")</f>
        <v>www.munzee.com</v>
      </c>
      <c r="L710" s="47" t="str">
        <f>IFERROR(__xludf.DUMMYFUNCTION("""COMPUTED_VALUE"""),"m")</f>
        <v>m</v>
      </c>
      <c r="M710" s="47" t="str">
        <f>IFERROR(__xludf.DUMMYFUNCTION("""COMPUTED_VALUE"""),"cbf600")</f>
        <v>cbf600</v>
      </c>
    </row>
    <row r="711">
      <c r="A711" s="47" t="str">
        <f>IFERROR(__xludf.DUMMYFUNCTION("""COMPUTED_VALUE"""),"Virtual Brown")</f>
        <v>Virtual Brown</v>
      </c>
      <c r="B711" s="47" t="str">
        <f>IFERROR(__xludf.DUMMYFUNCTION("""COMPUTED_VALUE"""),"fsafranek")</f>
        <v>fsafranek</v>
      </c>
      <c r="C711" s="78" t="str">
        <f>IFERROR(__xludf.DUMMYFUNCTION("""COMPUTED_VALUE"""),"https://www.munzee.com/m/fsafranek/4760/")</f>
        <v>https://www.munzee.com/m/fsafranek/4760/</v>
      </c>
      <c r="D711" s="47"/>
      <c r="E711" s="47" t="b">
        <f>IFERROR(__xludf.DUMMYFUNCTION("""COMPUTED_VALUE"""),TRUE)</f>
        <v>1</v>
      </c>
      <c r="F711" s="47" t="str">
        <f>IFERROR(__xludf.DUMMYFUNCTION("""COMPUTED_VALUE"""),"")</f>
        <v/>
      </c>
      <c r="G711" s="47" t="str">
        <f>IFERROR(__xludf.DUMMYFUNCTION("""COMPUTED_VALUE"""),"")</f>
        <v/>
      </c>
      <c r="H711" s="47"/>
      <c r="I711" s="47">
        <f>IFERROR(__xludf.DUMMYFUNCTION("""COMPUTED_VALUE"""),2.0)</f>
        <v>2</v>
      </c>
      <c r="J711" s="47" t="str">
        <f>IFERROR(__xludf.DUMMYFUNCTION("""COMPUTED_VALUE"""),"https:")</f>
        <v>https:</v>
      </c>
      <c r="K711" s="78" t="str">
        <f>IFERROR(__xludf.DUMMYFUNCTION("""COMPUTED_VALUE"""),"www.munzee.com")</f>
        <v>www.munzee.com</v>
      </c>
      <c r="L711" s="47" t="str">
        <f>IFERROR(__xludf.DUMMYFUNCTION("""COMPUTED_VALUE"""),"m")</f>
        <v>m</v>
      </c>
      <c r="M711" s="47" t="str">
        <f>IFERROR(__xludf.DUMMYFUNCTION("""COMPUTED_VALUE"""),"fsafranek")</f>
        <v>fsafranek</v>
      </c>
    </row>
    <row r="712">
      <c r="A712" s="47" t="str">
        <f>IFERROR(__xludf.DUMMYFUNCTION("""COMPUTED_VALUE"""),"Virtual Brown")</f>
        <v>Virtual Brown</v>
      </c>
      <c r="B712" s="47" t="str">
        <f>IFERROR(__xludf.DUMMYFUNCTION("""COMPUTED_VALUE"""),"Fossillady")</f>
        <v>Fossillady</v>
      </c>
      <c r="C712" s="78" t="str">
        <f>IFERROR(__xludf.DUMMYFUNCTION("""COMPUTED_VALUE"""),"https://www.munzee.com/m/Fossillady/3447")</f>
        <v>https://www.munzee.com/m/Fossillady/3447</v>
      </c>
      <c r="D712" s="47"/>
      <c r="E712" s="47" t="b">
        <f>IFERROR(__xludf.DUMMYFUNCTION("""COMPUTED_VALUE"""),TRUE)</f>
        <v>1</v>
      </c>
      <c r="F712" s="47" t="str">
        <f>IFERROR(__xludf.DUMMYFUNCTION("""COMPUTED_VALUE"""),"")</f>
        <v/>
      </c>
      <c r="G712" s="47" t="str">
        <f>IFERROR(__xludf.DUMMYFUNCTION("""COMPUTED_VALUE"""),"")</f>
        <v/>
      </c>
      <c r="H712" s="47"/>
      <c r="I712" s="47">
        <f>IFERROR(__xludf.DUMMYFUNCTION("""COMPUTED_VALUE"""),2.0)</f>
        <v>2</v>
      </c>
      <c r="J712" s="47" t="str">
        <f>IFERROR(__xludf.DUMMYFUNCTION("""COMPUTED_VALUE"""),"https:")</f>
        <v>https:</v>
      </c>
      <c r="K712" s="78" t="str">
        <f>IFERROR(__xludf.DUMMYFUNCTION("""COMPUTED_VALUE"""),"www.munzee.com")</f>
        <v>www.munzee.com</v>
      </c>
      <c r="L712" s="47" t="str">
        <f>IFERROR(__xludf.DUMMYFUNCTION("""COMPUTED_VALUE"""),"m")</f>
        <v>m</v>
      </c>
      <c r="M712" s="47" t="str">
        <f>IFERROR(__xludf.DUMMYFUNCTION("""COMPUTED_VALUE"""),"Fossillady")</f>
        <v>Fossillady</v>
      </c>
    </row>
    <row r="713">
      <c r="A713" s="47" t="str">
        <f>IFERROR(__xludf.DUMMYFUNCTION("""COMPUTED_VALUE"""),"Virtual Raw Sienna")</f>
        <v>Virtual Raw Sienna</v>
      </c>
      <c r="B713" s="47" t="str">
        <f>IFERROR(__xludf.DUMMYFUNCTION("""COMPUTED_VALUE"""),"IggiePiggie")</f>
        <v>IggiePiggie</v>
      </c>
      <c r="C713" s="78" t="str">
        <f>IFERROR(__xludf.DUMMYFUNCTION("""COMPUTED_VALUE"""),"https://www.munzee.com/m/IggiePiggie/2127/")</f>
        <v>https://www.munzee.com/m/IggiePiggie/2127/</v>
      </c>
      <c r="D713" s="47"/>
      <c r="E713" s="47" t="b">
        <f>IFERROR(__xludf.DUMMYFUNCTION("""COMPUTED_VALUE"""),TRUE)</f>
        <v>1</v>
      </c>
      <c r="F713" s="47" t="str">
        <f>IFERROR(__xludf.DUMMYFUNCTION("""COMPUTED_VALUE"""),"")</f>
        <v/>
      </c>
      <c r="G713" s="47" t="str">
        <f>IFERROR(__xludf.DUMMYFUNCTION("""COMPUTED_VALUE"""),"")</f>
        <v/>
      </c>
      <c r="H713" s="47"/>
      <c r="I713" s="47">
        <f>IFERROR(__xludf.DUMMYFUNCTION("""COMPUTED_VALUE"""),2.0)</f>
        <v>2</v>
      </c>
      <c r="J713" s="47" t="str">
        <f>IFERROR(__xludf.DUMMYFUNCTION("""COMPUTED_VALUE"""),"https:")</f>
        <v>https:</v>
      </c>
      <c r="K713" s="78" t="str">
        <f>IFERROR(__xludf.DUMMYFUNCTION("""COMPUTED_VALUE"""),"www.munzee.com")</f>
        <v>www.munzee.com</v>
      </c>
      <c r="L713" s="47" t="str">
        <f>IFERROR(__xludf.DUMMYFUNCTION("""COMPUTED_VALUE"""),"m")</f>
        <v>m</v>
      </c>
      <c r="M713" s="47" t="str">
        <f>IFERROR(__xludf.DUMMYFUNCTION("""COMPUTED_VALUE"""),"IggiePiggie")</f>
        <v>IggiePiggie</v>
      </c>
    </row>
    <row r="714">
      <c r="A714" s="47" t="str">
        <f>IFERROR(__xludf.DUMMYFUNCTION("""COMPUTED_VALUE"""),"Virtual Brown")</f>
        <v>Virtual Brown</v>
      </c>
      <c r="B714" s="47" t="str">
        <f>IFERROR(__xludf.DUMMYFUNCTION("""COMPUTED_VALUE"""),"BrotherWilliam")</f>
        <v>BrotherWilliam</v>
      </c>
      <c r="C714" s="78" t="str">
        <f>IFERROR(__xludf.DUMMYFUNCTION("""COMPUTED_VALUE"""),"https://www.munzee.com/m/BrotherWilliam/4289/")</f>
        <v>https://www.munzee.com/m/BrotherWilliam/4289/</v>
      </c>
      <c r="D714" s="47"/>
      <c r="E714" s="47" t="b">
        <f>IFERROR(__xludf.DUMMYFUNCTION("""COMPUTED_VALUE"""),TRUE)</f>
        <v>1</v>
      </c>
      <c r="F714" s="47" t="str">
        <f>IFERROR(__xludf.DUMMYFUNCTION("""COMPUTED_VALUE"""),"")</f>
        <v/>
      </c>
      <c r="G714" s="47" t="str">
        <f>IFERROR(__xludf.DUMMYFUNCTION("""COMPUTED_VALUE"""),"")</f>
        <v/>
      </c>
      <c r="H714" s="47"/>
      <c r="I714" s="47">
        <f>IFERROR(__xludf.DUMMYFUNCTION("""COMPUTED_VALUE"""),2.0)</f>
        <v>2</v>
      </c>
      <c r="J714" s="47" t="str">
        <f>IFERROR(__xludf.DUMMYFUNCTION("""COMPUTED_VALUE"""),"https:")</f>
        <v>https:</v>
      </c>
      <c r="K714" s="78" t="str">
        <f>IFERROR(__xludf.DUMMYFUNCTION("""COMPUTED_VALUE"""),"www.munzee.com")</f>
        <v>www.munzee.com</v>
      </c>
      <c r="L714" s="47" t="str">
        <f>IFERROR(__xludf.DUMMYFUNCTION("""COMPUTED_VALUE"""),"m")</f>
        <v>m</v>
      </c>
      <c r="M714" s="47" t="str">
        <f>IFERROR(__xludf.DUMMYFUNCTION("""COMPUTED_VALUE"""),"BrotherWilliam")</f>
        <v>BrotherWilliam</v>
      </c>
    </row>
    <row r="715">
      <c r="A715" s="47" t="str">
        <f>IFERROR(__xludf.DUMMYFUNCTION("""COMPUTED_VALUE"""),"Virtual Brown")</f>
        <v>Virtual Brown</v>
      </c>
      <c r="B715" s="47" t="str">
        <f>IFERROR(__xludf.DUMMYFUNCTION("""COMPUTED_VALUE"""),"mding4gold")</f>
        <v>mding4gold</v>
      </c>
      <c r="C715" s="78" t="str">
        <f>IFERROR(__xludf.DUMMYFUNCTION("""COMPUTED_VALUE"""),"https://www.munzee.com/m/mding4gold/4985")</f>
        <v>https://www.munzee.com/m/mding4gold/4985</v>
      </c>
      <c r="D715" s="47"/>
      <c r="E715" s="47" t="b">
        <f>IFERROR(__xludf.DUMMYFUNCTION("""COMPUTED_VALUE"""),TRUE)</f>
        <v>1</v>
      </c>
      <c r="F715" s="47" t="str">
        <f>IFERROR(__xludf.DUMMYFUNCTION("""COMPUTED_VALUE"""),"")</f>
        <v/>
      </c>
      <c r="G715" s="47" t="str">
        <f>IFERROR(__xludf.DUMMYFUNCTION("""COMPUTED_VALUE"""),"")</f>
        <v/>
      </c>
      <c r="H715" s="47"/>
      <c r="I715" s="47">
        <f>IFERROR(__xludf.DUMMYFUNCTION("""COMPUTED_VALUE"""),2.0)</f>
        <v>2</v>
      </c>
      <c r="J715" s="47" t="str">
        <f>IFERROR(__xludf.DUMMYFUNCTION("""COMPUTED_VALUE"""),"https:")</f>
        <v>https:</v>
      </c>
      <c r="K715" s="78" t="str">
        <f>IFERROR(__xludf.DUMMYFUNCTION("""COMPUTED_VALUE"""),"www.munzee.com")</f>
        <v>www.munzee.com</v>
      </c>
      <c r="L715" s="47" t="str">
        <f>IFERROR(__xludf.DUMMYFUNCTION("""COMPUTED_VALUE"""),"m")</f>
        <v>m</v>
      </c>
      <c r="M715" s="47" t="str">
        <f>IFERROR(__xludf.DUMMYFUNCTION("""COMPUTED_VALUE"""),"mding4gold")</f>
        <v>mding4gold</v>
      </c>
    </row>
    <row r="716">
      <c r="A716" s="47" t="str">
        <f>IFERROR(__xludf.DUMMYFUNCTION("""COMPUTED_VALUE"""),"Virtual Raw Sienna")</f>
        <v>Virtual Raw Sienna</v>
      </c>
      <c r="B716" s="47" t="str">
        <f>IFERROR(__xludf.DUMMYFUNCTION("""COMPUTED_VALUE"""),"xrayneex")</f>
        <v>xrayneex</v>
      </c>
      <c r="C716" s="78" t="str">
        <f>IFERROR(__xludf.DUMMYFUNCTION("""COMPUTED_VALUE"""),"https://www.munzee.com/m/xrayneex/1549/")</f>
        <v>https://www.munzee.com/m/xrayneex/1549/</v>
      </c>
      <c r="D716" s="47"/>
      <c r="E716" s="47" t="b">
        <f>IFERROR(__xludf.DUMMYFUNCTION("""COMPUTED_VALUE"""),TRUE)</f>
        <v>1</v>
      </c>
      <c r="F716" s="47" t="str">
        <f>IFERROR(__xludf.DUMMYFUNCTION("""COMPUTED_VALUE"""),"")</f>
        <v/>
      </c>
      <c r="G716" s="47" t="str">
        <f>IFERROR(__xludf.DUMMYFUNCTION("""COMPUTED_VALUE"""),"")</f>
        <v/>
      </c>
      <c r="H716" s="47"/>
      <c r="I716" s="47">
        <f>IFERROR(__xludf.DUMMYFUNCTION("""COMPUTED_VALUE"""),2.0)</f>
        <v>2</v>
      </c>
      <c r="J716" s="47" t="str">
        <f>IFERROR(__xludf.DUMMYFUNCTION("""COMPUTED_VALUE"""),"https:")</f>
        <v>https:</v>
      </c>
      <c r="K716" s="78" t="str">
        <f>IFERROR(__xludf.DUMMYFUNCTION("""COMPUTED_VALUE"""),"www.munzee.com")</f>
        <v>www.munzee.com</v>
      </c>
      <c r="L716" s="47" t="str">
        <f>IFERROR(__xludf.DUMMYFUNCTION("""COMPUTED_VALUE"""),"m")</f>
        <v>m</v>
      </c>
      <c r="M716" s="47" t="str">
        <f>IFERROR(__xludf.DUMMYFUNCTION("""COMPUTED_VALUE"""),"xrayneex")</f>
        <v>xrayneex</v>
      </c>
    </row>
    <row r="717">
      <c r="A717" s="47" t="str">
        <f>IFERROR(__xludf.DUMMYFUNCTION("""COMPUTED_VALUE"""),"Virtual Brown")</f>
        <v>Virtual Brown</v>
      </c>
      <c r="B717" s="47" t="str">
        <f>IFERROR(__xludf.DUMMYFUNCTION("""COMPUTED_VALUE"""),"TheFrog")</f>
        <v>TheFrog</v>
      </c>
      <c r="C717" s="78" t="str">
        <f>IFERROR(__xludf.DUMMYFUNCTION("""COMPUTED_VALUE"""),"https://www.munzee.com/m/TheFrog/5203/")</f>
        <v>https://www.munzee.com/m/TheFrog/5203/</v>
      </c>
      <c r="D717" s="47"/>
      <c r="E717" s="47" t="b">
        <f>IFERROR(__xludf.DUMMYFUNCTION("""COMPUTED_VALUE"""),TRUE)</f>
        <v>1</v>
      </c>
      <c r="F717" s="47" t="str">
        <f>IFERROR(__xludf.DUMMYFUNCTION("""COMPUTED_VALUE"""),"")</f>
        <v/>
      </c>
      <c r="G717" s="47" t="str">
        <f>IFERROR(__xludf.DUMMYFUNCTION("""COMPUTED_VALUE"""),"")</f>
        <v/>
      </c>
      <c r="H717" s="47"/>
      <c r="I717" s="47">
        <f>IFERROR(__xludf.DUMMYFUNCTION("""COMPUTED_VALUE"""),2.0)</f>
        <v>2</v>
      </c>
      <c r="J717" s="47" t="str">
        <f>IFERROR(__xludf.DUMMYFUNCTION("""COMPUTED_VALUE"""),"https:")</f>
        <v>https:</v>
      </c>
      <c r="K717" s="78" t="str">
        <f>IFERROR(__xludf.DUMMYFUNCTION("""COMPUTED_VALUE"""),"www.munzee.com")</f>
        <v>www.munzee.com</v>
      </c>
      <c r="L717" s="47" t="str">
        <f>IFERROR(__xludf.DUMMYFUNCTION("""COMPUTED_VALUE"""),"m")</f>
        <v>m</v>
      </c>
      <c r="M717" s="47" t="str">
        <f>IFERROR(__xludf.DUMMYFUNCTION("""COMPUTED_VALUE"""),"TheFrog")</f>
        <v>TheFrog</v>
      </c>
    </row>
    <row r="718">
      <c r="A718" s="47" t="str">
        <f>IFERROR(__xludf.DUMMYFUNCTION("""COMPUTED_VALUE"""),"Virtual Brown")</f>
        <v>Virtual Brown</v>
      </c>
      <c r="B718" s="47" t="str">
        <f>IFERROR(__xludf.DUMMYFUNCTION("""COMPUTED_VALUE"""),"123xilef")</f>
        <v>123xilef</v>
      </c>
      <c r="C718" s="78" t="str">
        <f>IFERROR(__xludf.DUMMYFUNCTION("""COMPUTED_VALUE"""),"https://www.munzee.com/m/123xilef/7722/")</f>
        <v>https://www.munzee.com/m/123xilef/7722/</v>
      </c>
      <c r="D718" s="47"/>
      <c r="E718" s="47" t="b">
        <f>IFERROR(__xludf.DUMMYFUNCTION("""COMPUTED_VALUE"""),TRUE)</f>
        <v>1</v>
      </c>
      <c r="F718" s="47" t="str">
        <f>IFERROR(__xludf.DUMMYFUNCTION("""COMPUTED_VALUE"""),"")</f>
        <v/>
      </c>
      <c r="G718" s="47" t="str">
        <f>IFERROR(__xludf.DUMMYFUNCTION("""COMPUTED_VALUE"""),"")</f>
        <v/>
      </c>
      <c r="H718" s="47"/>
      <c r="I718" s="47">
        <f>IFERROR(__xludf.DUMMYFUNCTION("""COMPUTED_VALUE"""),2.0)</f>
        <v>2</v>
      </c>
      <c r="J718" s="47" t="str">
        <f>IFERROR(__xludf.DUMMYFUNCTION("""COMPUTED_VALUE"""),"https:")</f>
        <v>https:</v>
      </c>
      <c r="K718" s="78" t="str">
        <f>IFERROR(__xludf.DUMMYFUNCTION("""COMPUTED_VALUE"""),"www.munzee.com")</f>
        <v>www.munzee.com</v>
      </c>
      <c r="L718" s="47" t="str">
        <f>IFERROR(__xludf.DUMMYFUNCTION("""COMPUTED_VALUE"""),"m")</f>
        <v>m</v>
      </c>
      <c r="M718" s="47" t="str">
        <f>IFERROR(__xludf.DUMMYFUNCTION("""COMPUTED_VALUE"""),"123xilef")</f>
        <v>123xilef</v>
      </c>
    </row>
    <row r="719">
      <c r="A719" s="47" t="str">
        <f>IFERROR(__xludf.DUMMYFUNCTION("""COMPUTED_VALUE"""),"Virtual Raw Sienna")</f>
        <v>Virtual Raw Sienna</v>
      </c>
      <c r="B719" s="47" t="str">
        <f>IFERROR(__xludf.DUMMYFUNCTION("""COMPUTED_VALUE"""),"Amadoreugen")</f>
        <v>Amadoreugen</v>
      </c>
      <c r="C719" s="78" t="str">
        <f>IFERROR(__xludf.DUMMYFUNCTION("""COMPUTED_VALUE"""),"https://www.munzee.com/m/amadoreugen/5842")</f>
        <v>https://www.munzee.com/m/amadoreugen/5842</v>
      </c>
      <c r="D719" s="47"/>
      <c r="E719" s="47" t="b">
        <f>IFERROR(__xludf.DUMMYFUNCTION("""COMPUTED_VALUE"""),TRUE)</f>
        <v>1</v>
      </c>
      <c r="F719" s="47" t="str">
        <f>IFERROR(__xludf.DUMMYFUNCTION("""COMPUTED_VALUE"""),"")</f>
        <v/>
      </c>
      <c r="G719" s="47" t="str">
        <f>IFERROR(__xludf.DUMMYFUNCTION("""COMPUTED_VALUE"""),"")</f>
        <v/>
      </c>
      <c r="H719" s="47"/>
      <c r="I719" s="47">
        <f>IFERROR(__xludf.DUMMYFUNCTION("""COMPUTED_VALUE"""),2.0)</f>
        <v>2</v>
      </c>
      <c r="J719" s="47" t="str">
        <f>IFERROR(__xludf.DUMMYFUNCTION("""COMPUTED_VALUE"""),"https:")</f>
        <v>https:</v>
      </c>
      <c r="K719" s="78" t="str">
        <f>IFERROR(__xludf.DUMMYFUNCTION("""COMPUTED_VALUE"""),"www.munzee.com")</f>
        <v>www.munzee.com</v>
      </c>
      <c r="L719" s="47" t="str">
        <f>IFERROR(__xludf.DUMMYFUNCTION("""COMPUTED_VALUE"""),"m")</f>
        <v>m</v>
      </c>
      <c r="M719" s="47" t="str">
        <f>IFERROR(__xludf.DUMMYFUNCTION("""COMPUTED_VALUE"""),"amadoreugen")</f>
        <v>amadoreugen</v>
      </c>
    </row>
    <row r="720">
      <c r="A720" s="47" t="str">
        <f>IFERROR(__xludf.DUMMYFUNCTION("""COMPUTED_VALUE"""),"Virtual Brown")</f>
        <v>Virtual Brown</v>
      </c>
      <c r="B720" s="47" t="str">
        <f>IFERROR(__xludf.DUMMYFUNCTION("""COMPUTED_VALUE"""),"Mallet75")</f>
        <v>Mallet75</v>
      </c>
      <c r="C720" s="78" t="str">
        <f>IFERROR(__xludf.DUMMYFUNCTION("""COMPUTED_VALUE"""),"https://www.munzee.com/m/Mallet75/781/")</f>
        <v>https://www.munzee.com/m/Mallet75/781/</v>
      </c>
      <c r="D720" s="47"/>
      <c r="E720" s="47" t="b">
        <f>IFERROR(__xludf.DUMMYFUNCTION("""COMPUTED_VALUE"""),TRUE)</f>
        <v>1</v>
      </c>
      <c r="F720" s="47"/>
      <c r="G720" s="47" t="str">
        <f>IFERROR(__xludf.DUMMYFUNCTION("""COMPUTED_VALUE"""),"")</f>
        <v/>
      </c>
      <c r="H720" s="47"/>
      <c r="I720" s="47">
        <f>IFERROR(__xludf.DUMMYFUNCTION("""COMPUTED_VALUE"""),2.0)</f>
        <v>2</v>
      </c>
      <c r="J720" s="47" t="str">
        <f>IFERROR(__xludf.DUMMYFUNCTION("""COMPUTED_VALUE"""),"https:")</f>
        <v>https:</v>
      </c>
      <c r="K720" s="78" t="str">
        <f>IFERROR(__xludf.DUMMYFUNCTION("""COMPUTED_VALUE"""),"www.munzee.com")</f>
        <v>www.munzee.com</v>
      </c>
      <c r="L720" s="47" t="str">
        <f>IFERROR(__xludf.DUMMYFUNCTION("""COMPUTED_VALUE"""),"m")</f>
        <v>m</v>
      </c>
      <c r="M720" s="47" t="str">
        <f>IFERROR(__xludf.DUMMYFUNCTION("""COMPUTED_VALUE"""),"Mallet75")</f>
        <v>Mallet75</v>
      </c>
    </row>
    <row r="721">
      <c r="A721" s="47" t="str">
        <f>IFERROR(__xludf.DUMMYFUNCTION("""COMPUTED_VALUE"""),"Virtual Brown")</f>
        <v>Virtual Brown</v>
      </c>
      <c r="B721" s="47" t="str">
        <f>IFERROR(__xludf.DUMMYFUNCTION("""COMPUTED_VALUE"""),"Trappertje")</f>
        <v>Trappertje</v>
      </c>
      <c r="C721" s="78" t="str">
        <f>IFERROR(__xludf.DUMMYFUNCTION("""COMPUTED_VALUE"""),"https://www.munzee.com/m/Trappertje/5521/")</f>
        <v>https://www.munzee.com/m/Trappertje/5521/</v>
      </c>
      <c r="D721" s="47"/>
      <c r="E721" s="47" t="b">
        <f>IFERROR(__xludf.DUMMYFUNCTION("""COMPUTED_VALUE"""),TRUE)</f>
        <v>1</v>
      </c>
      <c r="F721" s="47" t="str">
        <f>IFERROR(__xludf.DUMMYFUNCTION("""COMPUTED_VALUE"""),"")</f>
        <v/>
      </c>
      <c r="G721" s="47" t="str">
        <f>IFERROR(__xludf.DUMMYFUNCTION("""COMPUTED_VALUE"""),"")</f>
        <v/>
      </c>
      <c r="H721" s="47"/>
      <c r="I721" s="47">
        <f>IFERROR(__xludf.DUMMYFUNCTION("""COMPUTED_VALUE"""),2.0)</f>
        <v>2</v>
      </c>
      <c r="J721" s="47" t="str">
        <f>IFERROR(__xludf.DUMMYFUNCTION("""COMPUTED_VALUE"""),"https:")</f>
        <v>https:</v>
      </c>
      <c r="K721" s="78" t="str">
        <f>IFERROR(__xludf.DUMMYFUNCTION("""COMPUTED_VALUE"""),"www.munzee.com")</f>
        <v>www.munzee.com</v>
      </c>
      <c r="L721" s="47" t="str">
        <f>IFERROR(__xludf.DUMMYFUNCTION("""COMPUTED_VALUE"""),"m")</f>
        <v>m</v>
      </c>
      <c r="M721" s="47" t="str">
        <f>IFERROR(__xludf.DUMMYFUNCTION("""COMPUTED_VALUE"""),"Trappertje")</f>
        <v>Trappertje</v>
      </c>
    </row>
    <row r="722">
      <c r="A722" s="47" t="str">
        <f>IFERROR(__xludf.DUMMYFUNCTION("""COMPUTED_VALUE"""),"Virtual Brown")</f>
        <v>Virtual Brown</v>
      </c>
      <c r="B722" s="47" t="str">
        <f>IFERROR(__xludf.DUMMYFUNCTION("""COMPUTED_VALUE"""),"PawPatrolThomas")</f>
        <v>PawPatrolThomas</v>
      </c>
      <c r="C722" s="78" t="str">
        <f>IFERROR(__xludf.DUMMYFUNCTION("""COMPUTED_VALUE"""),"https://www.munzee.com/m/PawPatrolThomas/2089/")</f>
        <v>https://www.munzee.com/m/PawPatrolThomas/2089/</v>
      </c>
      <c r="D722" s="47"/>
      <c r="E722" s="47" t="b">
        <f>IFERROR(__xludf.DUMMYFUNCTION("""COMPUTED_VALUE"""),TRUE)</f>
        <v>1</v>
      </c>
      <c r="F722" s="47" t="str">
        <f>IFERROR(__xludf.DUMMYFUNCTION("""COMPUTED_VALUE"""),"")</f>
        <v/>
      </c>
      <c r="G722" s="47" t="str">
        <f>IFERROR(__xludf.DUMMYFUNCTION("""COMPUTED_VALUE"""),"")</f>
        <v/>
      </c>
      <c r="H722" s="47"/>
      <c r="I722" s="47">
        <f>IFERROR(__xludf.DUMMYFUNCTION("""COMPUTED_VALUE"""),2.0)</f>
        <v>2</v>
      </c>
      <c r="J722" s="47" t="str">
        <f>IFERROR(__xludf.DUMMYFUNCTION("""COMPUTED_VALUE"""),"https:")</f>
        <v>https:</v>
      </c>
      <c r="K722" s="78" t="str">
        <f>IFERROR(__xludf.DUMMYFUNCTION("""COMPUTED_VALUE"""),"www.munzee.com")</f>
        <v>www.munzee.com</v>
      </c>
      <c r="L722" s="47" t="str">
        <f>IFERROR(__xludf.DUMMYFUNCTION("""COMPUTED_VALUE"""),"m")</f>
        <v>m</v>
      </c>
      <c r="M722" s="47" t="str">
        <f>IFERROR(__xludf.DUMMYFUNCTION("""COMPUTED_VALUE"""),"PawPatrolThomas")</f>
        <v>PawPatrolThomas</v>
      </c>
    </row>
    <row r="723">
      <c r="A723" s="47" t="str">
        <f>IFERROR(__xludf.DUMMYFUNCTION("""COMPUTED_VALUE"""),"Virtual Brown")</f>
        <v>Virtual Brown</v>
      </c>
      <c r="B723" s="47" t="str">
        <f>IFERROR(__xludf.DUMMYFUNCTION("""COMPUTED_VALUE"""),"WangoTango")</f>
        <v>WangoTango</v>
      </c>
      <c r="C723" s="78" t="str">
        <f>IFERROR(__xludf.DUMMYFUNCTION("""COMPUTED_VALUE"""),"https://www.munzee.com/m/Wangotango/1644")</f>
        <v>https://www.munzee.com/m/Wangotango/1644</v>
      </c>
      <c r="D723" s="47"/>
      <c r="E723" s="47" t="b">
        <f>IFERROR(__xludf.DUMMYFUNCTION("""COMPUTED_VALUE"""),TRUE)</f>
        <v>1</v>
      </c>
      <c r="F723" s="47" t="str">
        <f>IFERROR(__xludf.DUMMYFUNCTION("""COMPUTED_VALUE"""),"")</f>
        <v/>
      </c>
      <c r="G723" s="47" t="str">
        <f>IFERROR(__xludf.DUMMYFUNCTION("""COMPUTED_VALUE"""),"")</f>
        <v/>
      </c>
      <c r="H723" s="47"/>
      <c r="I723" s="47">
        <f>IFERROR(__xludf.DUMMYFUNCTION("""COMPUTED_VALUE"""),2.0)</f>
        <v>2</v>
      </c>
      <c r="J723" s="47" t="str">
        <f>IFERROR(__xludf.DUMMYFUNCTION("""COMPUTED_VALUE"""),"https:")</f>
        <v>https:</v>
      </c>
      <c r="K723" s="78" t="str">
        <f>IFERROR(__xludf.DUMMYFUNCTION("""COMPUTED_VALUE"""),"www.munzee.com")</f>
        <v>www.munzee.com</v>
      </c>
      <c r="L723" s="47" t="str">
        <f>IFERROR(__xludf.DUMMYFUNCTION("""COMPUTED_VALUE"""),"m")</f>
        <v>m</v>
      </c>
      <c r="M723" s="47" t="str">
        <f>IFERROR(__xludf.DUMMYFUNCTION("""COMPUTED_VALUE"""),"Wangotango")</f>
        <v>Wangotango</v>
      </c>
    </row>
    <row r="724">
      <c r="A724" s="47" t="str">
        <f>IFERROR(__xludf.DUMMYFUNCTION("""COMPUTED_VALUE"""),"Virtual Brown")</f>
        <v>Virtual Brown</v>
      </c>
      <c r="B724" s="47" t="str">
        <f>IFERROR(__xludf.DUMMYFUNCTION("""COMPUTED_VALUE"""),"emilep68")</f>
        <v>emilep68</v>
      </c>
      <c r="C724" s="78" t="str">
        <f>IFERROR(__xludf.DUMMYFUNCTION("""COMPUTED_VALUE"""),"https://www.munzee.com/m/EmileP68/2790/")</f>
        <v>https://www.munzee.com/m/EmileP68/2790/</v>
      </c>
      <c r="D724" s="47"/>
      <c r="E724" s="47" t="b">
        <f>IFERROR(__xludf.DUMMYFUNCTION("""COMPUTED_VALUE"""),TRUE)</f>
        <v>1</v>
      </c>
      <c r="F724" s="47" t="str">
        <f>IFERROR(__xludf.DUMMYFUNCTION("""COMPUTED_VALUE"""),"")</f>
        <v/>
      </c>
      <c r="G724" s="47" t="str">
        <f>IFERROR(__xludf.DUMMYFUNCTION("""COMPUTED_VALUE"""),"")</f>
        <v/>
      </c>
      <c r="H724" s="47"/>
      <c r="I724" s="47">
        <f>IFERROR(__xludf.DUMMYFUNCTION("""COMPUTED_VALUE"""),2.0)</f>
        <v>2</v>
      </c>
      <c r="J724" s="47" t="str">
        <f>IFERROR(__xludf.DUMMYFUNCTION("""COMPUTED_VALUE"""),"https:")</f>
        <v>https:</v>
      </c>
      <c r="K724" s="78" t="str">
        <f>IFERROR(__xludf.DUMMYFUNCTION("""COMPUTED_VALUE"""),"www.munzee.com")</f>
        <v>www.munzee.com</v>
      </c>
      <c r="L724" s="47" t="str">
        <f>IFERROR(__xludf.DUMMYFUNCTION("""COMPUTED_VALUE"""),"m")</f>
        <v>m</v>
      </c>
      <c r="M724" s="47" t="str">
        <f>IFERROR(__xludf.DUMMYFUNCTION("""COMPUTED_VALUE"""),"EmileP68")</f>
        <v>EmileP68</v>
      </c>
    </row>
    <row r="725">
      <c r="A725" s="47" t="str">
        <f>IFERROR(__xludf.DUMMYFUNCTION("""COMPUTED_VALUE"""),"Virtual Brown")</f>
        <v>Virtual Brown</v>
      </c>
      <c r="B725" s="47" t="str">
        <f>IFERROR(__xludf.DUMMYFUNCTION("""COMPUTED_VALUE"""),"sverlaan")</f>
        <v>sverlaan</v>
      </c>
      <c r="C725" s="78" t="str">
        <f>IFERROR(__xludf.DUMMYFUNCTION("""COMPUTED_VALUE"""),"https://www.munzee.com/m/sverlaan/3886/")</f>
        <v>https://www.munzee.com/m/sverlaan/3886/</v>
      </c>
      <c r="D725" s="47"/>
      <c r="E725" s="47" t="b">
        <f>IFERROR(__xludf.DUMMYFUNCTION("""COMPUTED_VALUE"""),TRUE)</f>
        <v>1</v>
      </c>
      <c r="F725" s="47" t="str">
        <f>IFERROR(__xludf.DUMMYFUNCTION("""COMPUTED_VALUE"""),"")</f>
        <v/>
      </c>
      <c r="G725" s="47" t="str">
        <f>IFERROR(__xludf.DUMMYFUNCTION("""COMPUTED_VALUE"""),"")</f>
        <v/>
      </c>
      <c r="H725" s="47"/>
      <c r="I725" s="47">
        <f>IFERROR(__xludf.DUMMYFUNCTION("""COMPUTED_VALUE"""),2.0)</f>
        <v>2</v>
      </c>
      <c r="J725" s="47" t="str">
        <f>IFERROR(__xludf.DUMMYFUNCTION("""COMPUTED_VALUE"""),"https:")</f>
        <v>https:</v>
      </c>
      <c r="K725" s="78" t="str">
        <f>IFERROR(__xludf.DUMMYFUNCTION("""COMPUTED_VALUE"""),"www.munzee.com")</f>
        <v>www.munzee.com</v>
      </c>
      <c r="L725" s="47" t="str">
        <f>IFERROR(__xludf.DUMMYFUNCTION("""COMPUTED_VALUE"""),"m")</f>
        <v>m</v>
      </c>
      <c r="M725" s="47" t="str">
        <f>IFERROR(__xludf.DUMMYFUNCTION("""COMPUTED_VALUE"""),"sverlaan")</f>
        <v>sverlaan</v>
      </c>
    </row>
    <row r="726">
      <c r="A726" s="47" t="str">
        <f>IFERROR(__xludf.DUMMYFUNCTION("""COMPUTED_VALUE"""),"Virtual Raw Sienna")</f>
        <v>Virtual Raw Sienna</v>
      </c>
      <c r="B726" s="47" t="str">
        <f>IFERROR(__xludf.DUMMYFUNCTION("""COMPUTED_VALUE"""),"Aniara")</f>
        <v>Aniara</v>
      </c>
      <c r="C726" s="78" t="str">
        <f>IFERROR(__xludf.DUMMYFUNCTION("""COMPUTED_VALUE"""),"https://www.munzee.com/m/Aniara/6947/")</f>
        <v>https://www.munzee.com/m/Aniara/6947/</v>
      </c>
      <c r="D726" s="47"/>
      <c r="E726" s="47" t="b">
        <f>IFERROR(__xludf.DUMMYFUNCTION("""COMPUTED_VALUE"""),TRUE)</f>
        <v>1</v>
      </c>
      <c r="F726" s="47" t="str">
        <f>IFERROR(__xludf.DUMMYFUNCTION("""COMPUTED_VALUE"""),"")</f>
        <v/>
      </c>
      <c r="G726" s="47" t="str">
        <f>IFERROR(__xludf.DUMMYFUNCTION("""COMPUTED_VALUE"""),"")</f>
        <v/>
      </c>
      <c r="H726" s="47"/>
      <c r="I726" s="47">
        <f>IFERROR(__xludf.DUMMYFUNCTION("""COMPUTED_VALUE"""),2.0)</f>
        <v>2</v>
      </c>
      <c r="J726" s="47" t="str">
        <f>IFERROR(__xludf.DUMMYFUNCTION("""COMPUTED_VALUE"""),"https:")</f>
        <v>https:</v>
      </c>
      <c r="K726" s="78" t="str">
        <f>IFERROR(__xludf.DUMMYFUNCTION("""COMPUTED_VALUE"""),"www.munzee.com")</f>
        <v>www.munzee.com</v>
      </c>
      <c r="L726" s="47" t="str">
        <f>IFERROR(__xludf.DUMMYFUNCTION("""COMPUTED_VALUE"""),"m")</f>
        <v>m</v>
      </c>
      <c r="M726" s="47" t="str">
        <f>IFERROR(__xludf.DUMMYFUNCTION("""COMPUTED_VALUE"""),"Aniara")</f>
        <v>Aniara</v>
      </c>
    </row>
    <row r="727">
      <c r="A727" s="47" t="str">
        <f>IFERROR(__xludf.DUMMYFUNCTION("""COMPUTED_VALUE"""),"Virtual Raw Sienna")</f>
        <v>Virtual Raw Sienna</v>
      </c>
      <c r="B727" s="47" t="str">
        <f>IFERROR(__xludf.DUMMYFUNCTION("""COMPUTED_VALUE"""),"wally62")</f>
        <v>wally62</v>
      </c>
      <c r="C727" s="78" t="str">
        <f>IFERROR(__xludf.DUMMYFUNCTION("""COMPUTED_VALUE"""),"https://www.munzee.com/m/wally62/4468/")</f>
        <v>https://www.munzee.com/m/wally62/4468/</v>
      </c>
      <c r="D727" s="47"/>
      <c r="E727" s="47" t="b">
        <f>IFERROR(__xludf.DUMMYFUNCTION("""COMPUTED_VALUE"""),TRUE)</f>
        <v>1</v>
      </c>
      <c r="F727" s="47" t="str">
        <f>IFERROR(__xludf.DUMMYFUNCTION("""COMPUTED_VALUE"""),"")</f>
        <v/>
      </c>
      <c r="G727" s="47" t="str">
        <f>IFERROR(__xludf.DUMMYFUNCTION("""COMPUTED_VALUE"""),"")</f>
        <v/>
      </c>
      <c r="H727" s="47"/>
      <c r="I727" s="47">
        <f>IFERROR(__xludf.DUMMYFUNCTION("""COMPUTED_VALUE"""),2.0)</f>
        <v>2</v>
      </c>
      <c r="J727" s="47" t="str">
        <f>IFERROR(__xludf.DUMMYFUNCTION("""COMPUTED_VALUE"""),"https:")</f>
        <v>https:</v>
      </c>
      <c r="K727" s="78" t="str">
        <f>IFERROR(__xludf.DUMMYFUNCTION("""COMPUTED_VALUE"""),"www.munzee.com")</f>
        <v>www.munzee.com</v>
      </c>
      <c r="L727" s="47" t="str">
        <f>IFERROR(__xludf.DUMMYFUNCTION("""COMPUTED_VALUE"""),"m")</f>
        <v>m</v>
      </c>
      <c r="M727" s="47" t="str">
        <f>IFERROR(__xludf.DUMMYFUNCTION("""COMPUTED_VALUE"""),"wally62")</f>
        <v>wally62</v>
      </c>
    </row>
    <row r="728">
      <c r="A728" s="47" t="str">
        <f>IFERROR(__xludf.DUMMYFUNCTION("""COMPUTED_VALUE"""),"Virtual Brown")</f>
        <v>Virtual Brown</v>
      </c>
      <c r="B728" s="47" t="str">
        <f>IFERROR(__xludf.DUMMYFUNCTION("""COMPUTED_VALUE"""),"Amadoreugen")</f>
        <v>Amadoreugen</v>
      </c>
      <c r="C728" s="78" t="str">
        <f>IFERROR(__xludf.DUMMYFUNCTION("""COMPUTED_VALUE"""),"https://www.munzee.com/m/amadoreugen/5994")</f>
        <v>https://www.munzee.com/m/amadoreugen/5994</v>
      </c>
      <c r="D728" s="47"/>
      <c r="E728" s="47" t="b">
        <f>IFERROR(__xludf.DUMMYFUNCTION("""COMPUTED_VALUE"""),TRUE)</f>
        <v>1</v>
      </c>
      <c r="F728" s="47" t="str">
        <f>IFERROR(__xludf.DUMMYFUNCTION("""COMPUTED_VALUE"""),"")</f>
        <v/>
      </c>
      <c r="G728" s="47" t="str">
        <f>IFERROR(__xludf.DUMMYFUNCTION("""COMPUTED_VALUE"""),"")</f>
        <v/>
      </c>
      <c r="H728" s="47"/>
      <c r="I728" s="47">
        <f>IFERROR(__xludf.DUMMYFUNCTION("""COMPUTED_VALUE"""),2.0)</f>
        <v>2</v>
      </c>
      <c r="J728" s="47" t="str">
        <f>IFERROR(__xludf.DUMMYFUNCTION("""COMPUTED_VALUE"""),"https:")</f>
        <v>https:</v>
      </c>
      <c r="K728" s="78" t="str">
        <f>IFERROR(__xludf.DUMMYFUNCTION("""COMPUTED_VALUE"""),"www.munzee.com")</f>
        <v>www.munzee.com</v>
      </c>
      <c r="L728" s="47" t="str">
        <f>IFERROR(__xludf.DUMMYFUNCTION("""COMPUTED_VALUE"""),"m")</f>
        <v>m</v>
      </c>
      <c r="M728" s="47" t="str">
        <f>IFERROR(__xludf.DUMMYFUNCTION("""COMPUTED_VALUE"""),"amadoreugen")</f>
        <v>amadoreugen</v>
      </c>
    </row>
    <row r="729">
      <c r="A729" s="47" t="str">
        <f>IFERROR(__xludf.DUMMYFUNCTION("""COMPUTED_VALUE"""),"Virtual Brown")</f>
        <v>Virtual Brown</v>
      </c>
      <c r="B729" s="47" t="str">
        <f>IFERROR(__xludf.DUMMYFUNCTION("""COMPUTED_VALUE"""),"belladivadee")</f>
        <v>belladivadee</v>
      </c>
      <c r="C729" s="78" t="str">
        <f>IFERROR(__xludf.DUMMYFUNCTION("""COMPUTED_VALUE"""),"https://www.munzee.com/m/belladivadee/3097")</f>
        <v>https://www.munzee.com/m/belladivadee/3097</v>
      </c>
      <c r="D729" s="47"/>
      <c r="E729" s="47" t="b">
        <f>IFERROR(__xludf.DUMMYFUNCTION("""COMPUTED_VALUE"""),TRUE)</f>
        <v>1</v>
      </c>
      <c r="F729" s="47" t="str">
        <f>IFERROR(__xludf.DUMMYFUNCTION("""COMPUTED_VALUE"""),"")</f>
        <v/>
      </c>
      <c r="G729" s="47" t="str">
        <f>IFERROR(__xludf.DUMMYFUNCTION("""COMPUTED_VALUE"""),"")</f>
        <v/>
      </c>
      <c r="H729" s="47"/>
      <c r="I729" s="47">
        <f>IFERROR(__xludf.DUMMYFUNCTION("""COMPUTED_VALUE"""),2.0)</f>
        <v>2</v>
      </c>
      <c r="J729" s="47" t="str">
        <f>IFERROR(__xludf.DUMMYFUNCTION("""COMPUTED_VALUE"""),"https:")</f>
        <v>https:</v>
      </c>
      <c r="K729" s="78" t="str">
        <f>IFERROR(__xludf.DUMMYFUNCTION("""COMPUTED_VALUE"""),"www.munzee.com")</f>
        <v>www.munzee.com</v>
      </c>
      <c r="L729" s="47" t="str">
        <f>IFERROR(__xludf.DUMMYFUNCTION("""COMPUTED_VALUE"""),"m")</f>
        <v>m</v>
      </c>
      <c r="M729" s="47" t="str">
        <f>IFERROR(__xludf.DUMMYFUNCTION("""COMPUTED_VALUE"""),"belladivadee")</f>
        <v>belladivadee</v>
      </c>
    </row>
    <row r="730">
      <c r="A730" s="47" t="str">
        <f>IFERROR(__xludf.DUMMYFUNCTION("""COMPUTED_VALUE"""),"Virtual Brown")</f>
        <v>Virtual Brown</v>
      </c>
      <c r="B730" s="47" t="str">
        <f>IFERROR(__xludf.DUMMYFUNCTION("""COMPUTED_VALUE"""),"sverlaan")</f>
        <v>sverlaan</v>
      </c>
      <c r="C730" s="78" t="str">
        <f>IFERROR(__xludf.DUMMYFUNCTION("""COMPUTED_VALUE"""),"https://www.munzee.com/m/sverlaan/4636/")</f>
        <v>https://www.munzee.com/m/sverlaan/4636/</v>
      </c>
      <c r="D730" s="47"/>
      <c r="E730" s="47" t="b">
        <f>IFERROR(__xludf.DUMMYFUNCTION("""COMPUTED_VALUE"""),TRUE)</f>
        <v>1</v>
      </c>
      <c r="F730" s="47" t="str">
        <f>IFERROR(__xludf.DUMMYFUNCTION("""COMPUTED_VALUE"""),"")</f>
        <v/>
      </c>
      <c r="G730" s="47" t="str">
        <f>IFERROR(__xludf.DUMMYFUNCTION("""COMPUTED_VALUE"""),"")</f>
        <v/>
      </c>
      <c r="H730" s="47"/>
      <c r="I730" s="47">
        <f>IFERROR(__xludf.DUMMYFUNCTION("""COMPUTED_VALUE"""),2.0)</f>
        <v>2</v>
      </c>
      <c r="J730" s="47" t="str">
        <f>IFERROR(__xludf.DUMMYFUNCTION("""COMPUTED_VALUE"""),"https:")</f>
        <v>https:</v>
      </c>
      <c r="K730" s="78" t="str">
        <f>IFERROR(__xludf.DUMMYFUNCTION("""COMPUTED_VALUE"""),"www.munzee.com")</f>
        <v>www.munzee.com</v>
      </c>
      <c r="L730" s="47" t="str">
        <f>IFERROR(__xludf.DUMMYFUNCTION("""COMPUTED_VALUE"""),"m")</f>
        <v>m</v>
      </c>
      <c r="M730" s="47" t="str">
        <f>IFERROR(__xludf.DUMMYFUNCTION("""COMPUTED_VALUE"""),"sverlaan")</f>
        <v>sverlaan</v>
      </c>
    </row>
    <row r="731">
      <c r="A731" s="47" t="str">
        <f>IFERROR(__xludf.DUMMYFUNCTION("""COMPUTED_VALUE"""),"Virtual Raw Sienna")</f>
        <v>Virtual Raw Sienna</v>
      </c>
      <c r="B731" s="47" t="str">
        <f>IFERROR(__xludf.DUMMYFUNCTION("""COMPUTED_VALUE"""),"emilep68")</f>
        <v>emilep68</v>
      </c>
      <c r="C731" s="78" t="str">
        <f>IFERROR(__xludf.DUMMYFUNCTION("""COMPUTED_VALUE"""),"https://www.munzee.com/m/EmileP68/3366/")</f>
        <v>https://www.munzee.com/m/EmileP68/3366/</v>
      </c>
      <c r="D731" s="47"/>
      <c r="E731" s="47" t="b">
        <f>IFERROR(__xludf.DUMMYFUNCTION("""COMPUTED_VALUE"""),TRUE)</f>
        <v>1</v>
      </c>
      <c r="F731" s="47" t="str">
        <f>IFERROR(__xludf.DUMMYFUNCTION("""COMPUTED_VALUE"""),"")</f>
        <v/>
      </c>
      <c r="G731" s="47" t="str">
        <f>IFERROR(__xludf.DUMMYFUNCTION("""COMPUTED_VALUE"""),"")</f>
        <v/>
      </c>
      <c r="H731" s="47"/>
      <c r="I731" s="47">
        <f>IFERROR(__xludf.DUMMYFUNCTION("""COMPUTED_VALUE"""),2.0)</f>
        <v>2</v>
      </c>
      <c r="J731" s="47" t="str">
        <f>IFERROR(__xludf.DUMMYFUNCTION("""COMPUTED_VALUE"""),"https:")</f>
        <v>https:</v>
      </c>
      <c r="K731" s="78" t="str">
        <f>IFERROR(__xludf.DUMMYFUNCTION("""COMPUTED_VALUE"""),"www.munzee.com")</f>
        <v>www.munzee.com</v>
      </c>
      <c r="L731" s="47" t="str">
        <f>IFERROR(__xludf.DUMMYFUNCTION("""COMPUTED_VALUE"""),"m")</f>
        <v>m</v>
      </c>
      <c r="M731" s="47" t="str">
        <f>IFERROR(__xludf.DUMMYFUNCTION("""COMPUTED_VALUE"""),"EmileP68")</f>
        <v>EmileP68</v>
      </c>
    </row>
    <row r="732">
      <c r="A732" s="47" t="str">
        <f>IFERROR(__xludf.DUMMYFUNCTION("""COMPUTED_VALUE"""),"Virtual Raw Sienna")</f>
        <v>Virtual Raw Sienna</v>
      </c>
      <c r="B732" s="47" t="str">
        <f>IFERROR(__xludf.DUMMYFUNCTION("""COMPUTED_VALUE"""),"pawpatrolthomas")</f>
        <v>pawpatrolthomas</v>
      </c>
      <c r="C732" s="78" t="str">
        <f>IFERROR(__xludf.DUMMYFUNCTION("""COMPUTED_VALUE"""),"https://www.munzee.com/m/pawpatrolthomas/2674/")</f>
        <v>https://www.munzee.com/m/pawpatrolthomas/2674/</v>
      </c>
      <c r="D732" s="47"/>
      <c r="E732" s="47" t="b">
        <f>IFERROR(__xludf.DUMMYFUNCTION("""COMPUTED_VALUE"""),TRUE)</f>
        <v>1</v>
      </c>
      <c r="F732" s="47" t="str">
        <f>IFERROR(__xludf.DUMMYFUNCTION("""COMPUTED_VALUE"""),"")</f>
        <v/>
      </c>
      <c r="G732" s="47" t="str">
        <f>IFERROR(__xludf.DUMMYFUNCTION("""COMPUTED_VALUE"""),"")</f>
        <v/>
      </c>
      <c r="H732" s="47"/>
      <c r="I732" s="47">
        <f>IFERROR(__xludf.DUMMYFUNCTION("""COMPUTED_VALUE"""),2.0)</f>
        <v>2</v>
      </c>
      <c r="J732" s="47" t="str">
        <f>IFERROR(__xludf.DUMMYFUNCTION("""COMPUTED_VALUE"""),"https:")</f>
        <v>https:</v>
      </c>
      <c r="K732" s="78" t="str">
        <f>IFERROR(__xludf.DUMMYFUNCTION("""COMPUTED_VALUE"""),"www.munzee.com")</f>
        <v>www.munzee.com</v>
      </c>
      <c r="L732" s="47" t="str">
        <f>IFERROR(__xludf.DUMMYFUNCTION("""COMPUTED_VALUE"""),"m")</f>
        <v>m</v>
      </c>
      <c r="M732" s="47" t="str">
        <f>IFERROR(__xludf.DUMMYFUNCTION("""COMPUTED_VALUE"""),"pawpatrolthomas")</f>
        <v>pawpatrolthomas</v>
      </c>
    </row>
    <row r="733">
      <c r="A733" s="47" t="str">
        <f>IFERROR(__xludf.DUMMYFUNCTION("""COMPUTED_VALUE"""),"Virtual Brown")</f>
        <v>Virtual Brown</v>
      </c>
      <c r="B733" s="47" t="str">
        <f>IFERROR(__xludf.DUMMYFUNCTION("""COMPUTED_VALUE"""),"Derlame ")</f>
        <v>Derlame </v>
      </c>
      <c r="C733" s="78" t="str">
        <f>IFERROR(__xludf.DUMMYFUNCTION("""COMPUTED_VALUE"""),"https://www.munzee.com/m/Derlame/13867/")</f>
        <v>https://www.munzee.com/m/Derlame/13867/</v>
      </c>
      <c r="D733" s="47"/>
      <c r="E733" s="47" t="b">
        <f>IFERROR(__xludf.DUMMYFUNCTION("""COMPUTED_VALUE"""),TRUE)</f>
        <v>1</v>
      </c>
      <c r="F733" s="47" t="str">
        <f>IFERROR(__xludf.DUMMYFUNCTION("""COMPUTED_VALUE"""),"")</f>
        <v/>
      </c>
      <c r="G733" s="47" t="str">
        <f>IFERROR(__xludf.DUMMYFUNCTION("""COMPUTED_VALUE"""),"")</f>
        <v/>
      </c>
      <c r="H733" s="47"/>
      <c r="I733" s="47">
        <f>IFERROR(__xludf.DUMMYFUNCTION("""COMPUTED_VALUE"""),2.0)</f>
        <v>2</v>
      </c>
      <c r="J733" s="47" t="str">
        <f>IFERROR(__xludf.DUMMYFUNCTION("""COMPUTED_VALUE"""),"https:")</f>
        <v>https:</v>
      </c>
      <c r="K733" s="78" t="str">
        <f>IFERROR(__xludf.DUMMYFUNCTION("""COMPUTED_VALUE"""),"www.munzee.com")</f>
        <v>www.munzee.com</v>
      </c>
      <c r="L733" s="47" t="str">
        <f>IFERROR(__xludf.DUMMYFUNCTION("""COMPUTED_VALUE"""),"m")</f>
        <v>m</v>
      </c>
      <c r="M733" s="47" t="str">
        <f>IFERROR(__xludf.DUMMYFUNCTION("""COMPUTED_VALUE"""),"Derlame")</f>
        <v>Derlame</v>
      </c>
    </row>
    <row r="734">
      <c r="A734" s="47" t="str">
        <f>IFERROR(__xludf.DUMMYFUNCTION("""COMPUTED_VALUE"""),"Virtual Brown")</f>
        <v>Virtual Brown</v>
      </c>
      <c r="B734" s="47" t="str">
        <f>IFERROR(__xludf.DUMMYFUNCTION("""COMPUTED_VALUE"""),"Drazoria")</f>
        <v>Drazoria</v>
      </c>
      <c r="C734" s="78" t="str">
        <f>IFERROR(__xludf.DUMMYFUNCTION("""COMPUTED_VALUE"""),"https://www.munzee.com/m/Drazoria/971/")</f>
        <v>https://www.munzee.com/m/Drazoria/971/</v>
      </c>
      <c r="D734" s="47"/>
      <c r="E734" s="47" t="b">
        <f>IFERROR(__xludf.DUMMYFUNCTION("""COMPUTED_VALUE"""),TRUE)</f>
        <v>1</v>
      </c>
      <c r="F734" s="47" t="str">
        <f>IFERROR(__xludf.DUMMYFUNCTION("""COMPUTED_VALUE"""),"")</f>
        <v/>
      </c>
      <c r="G734" s="47" t="str">
        <f>IFERROR(__xludf.DUMMYFUNCTION("""COMPUTED_VALUE"""),"")</f>
        <v/>
      </c>
      <c r="H734" s="47"/>
      <c r="I734" s="47">
        <f>IFERROR(__xludf.DUMMYFUNCTION("""COMPUTED_VALUE"""),2.0)</f>
        <v>2</v>
      </c>
      <c r="J734" s="47" t="str">
        <f>IFERROR(__xludf.DUMMYFUNCTION("""COMPUTED_VALUE"""),"https:")</f>
        <v>https:</v>
      </c>
      <c r="K734" s="78" t="str">
        <f>IFERROR(__xludf.DUMMYFUNCTION("""COMPUTED_VALUE"""),"www.munzee.com")</f>
        <v>www.munzee.com</v>
      </c>
      <c r="L734" s="47" t="str">
        <f>IFERROR(__xludf.DUMMYFUNCTION("""COMPUTED_VALUE"""),"m")</f>
        <v>m</v>
      </c>
      <c r="M734" s="47" t="str">
        <f>IFERROR(__xludf.DUMMYFUNCTION("""COMPUTED_VALUE"""),"Drazoria")</f>
        <v>Drazoria</v>
      </c>
    </row>
    <row r="735">
      <c r="A735" s="47" t="str">
        <f>IFERROR(__xludf.DUMMYFUNCTION("""COMPUTED_VALUE"""),"Virtual Brown")</f>
        <v>Virtual Brown</v>
      </c>
      <c r="B735" s="47" t="str">
        <f>IFERROR(__xludf.DUMMYFUNCTION("""COMPUTED_VALUE"""),"Tinake1309")</f>
        <v>Tinake1309</v>
      </c>
      <c r="C735" s="78" t="str">
        <f>IFERROR(__xludf.DUMMYFUNCTION("""COMPUTED_VALUE"""),"https://www.munzee.com/m/Tinake1309/860/")</f>
        <v>https://www.munzee.com/m/Tinake1309/860/</v>
      </c>
      <c r="D735" s="47"/>
      <c r="E735" s="47" t="b">
        <f>IFERROR(__xludf.DUMMYFUNCTION("""COMPUTED_VALUE"""),TRUE)</f>
        <v>1</v>
      </c>
      <c r="F735" s="47" t="str">
        <f>IFERROR(__xludf.DUMMYFUNCTION("""COMPUTED_VALUE"""),"")</f>
        <v/>
      </c>
      <c r="G735" s="47" t="str">
        <f>IFERROR(__xludf.DUMMYFUNCTION("""COMPUTED_VALUE"""),"")</f>
        <v/>
      </c>
      <c r="H735" s="47"/>
      <c r="I735" s="47">
        <f>IFERROR(__xludf.DUMMYFUNCTION("""COMPUTED_VALUE"""),2.0)</f>
        <v>2</v>
      </c>
      <c r="J735" s="47" t="str">
        <f>IFERROR(__xludf.DUMMYFUNCTION("""COMPUTED_VALUE"""),"https:")</f>
        <v>https:</v>
      </c>
      <c r="K735" s="78" t="str">
        <f>IFERROR(__xludf.DUMMYFUNCTION("""COMPUTED_VALUE"""),"www.munzee.com")</f>
        <v>www.munzee.com</v>
      </c>
      <c r="L735" s="47" t="str">
        <f>IFERROR(__xludf.DUMMYFUNCTION("""COMPUTED_VALUE"""),"m")</f>
        <v>m</v>
      </c>
      <c r="M735" s="47" t="str">
        <f>IFERROR(__xludf.DUMMYFUNCTION("""COMPUTED_VALUE"""),"Tinake1309")</f>
        <v>Tinake1309</v>
      </c>
    </row>
    <row r="736">
      <c r="A736" s="47" t="str">
        <f>IFERROR(__xludf.DUMMYFUNCTION("""COMPUTED_VALUE"""),"Virtual Raw Sienna")</f>
        <v>Virtual Raw Sienna</v>
      </c>
      <c r="B736" s="47" t="str">
        <f>IFERROR(__xludf.DUMMYFUNCTION("""COMPUTED_VALUE"""),"Berg14")</f>
        <v>Berg14</v>
      </c>
      <c r="C736" s="78" t="str">
        <f>IFERROR(__xludf.DUMMYFUNCTION("""COMPUTED_VALUE"""),"https://www.munzee.com/m/Berg14/676/")</f>
        <v>https://www.munzee.com/m/Berg14/676/</v>
      </c>
      <c r="D736" s="47"/>
      <c r="E736" s="47" t="b">
        <f>IFERROR(__xludf.DUMMYFUNCTION("""COMPUTED_VALUE"""),TRUE)</f>
        <v>1</v>
      </c>
      <c r="F736" s="47" t="str">
        <f>IFERROR(__xludf.DUMMYFUNCTION("""COMPUTED_VALUE"""),"")</f>
        <v/>
      </c>
      <c r="G736" s="47" t="str">
        <f>IFERROR(__xludf.DUMMYFUNCTION("""COMPUTED_VALUE"""),"")</f>
        <v/>
      </c>
      <c r="H736" s="47"/>
      <c r="I736" s="47">
        <f>IFERROR(__xludf.DUMMYFUNCTION("""COMPUTED_VALUE"""),2.0)</f>
        <v>2</v>
      </c>
      <c r="J736" s="47" t="str">
        <f>IFERROR(__xludf.DUMMYFUNCTION("""COMPUTED_VALUE"""),"https:")</f>
        <v>https:</v>
      </c>
      <c r="K736" s="78" t="str">
        <f>IFERROR(__xludf.DUMMYFUNCTION("""COMPUTED_VALUE"""),"www.munzee.com")</f>
        <v>www.munzee.com</v>
      </c>
      <c r="L736" s="47" t="str">
        <f>IFERROR(__xludf.DUMMYFUNCTION("""COMPUTED_VALUE"""),"m")</f>
        <v>m</v>
      </c>
      <c r="M736" s="47" t="str">
        <f>IFERROR(__xludf.DUMMYFUNCTION("""COMPUTED_VALUE"""),"Berg14")</f>
        <v>Berg14</v>
      </c>
    </row>
    <row r="737">
      <c r="A737" s="47" t="str">
        <f>IFERROR(__xludf.DUMMYFUNCTION("""COMPUTED_VALUE"""),"Virtual Brown")</f>
        <v>Virtual Brown</v>
      </c>
      <c r="B737" s="47" t="str">
        <f>IFERROR(__xludf.DUMMYFUNCTION("""COMPUTED_VALUE"""),"Niks13")</f>
        <v>Niks13</v>
      </c>
      <c r="C737" s="78" t="str">
        <f>IFERROR(__xludf.DUMMYFUNCTION("""COMPUTED_VALUE"""),"https://www.munzee.com/m/Niks13/642/")</f>
        <v>https://www.munzee.com/m/Niks13/642/</v>
      </c>
      <c r="D737" s="47"/>
      <c r="E737" s="47" t="b">
        <f>IFERROR(__xludf.DUMMYFUNCTION("""COMPUTED_VALUE"""),TRUE)</f>
        <v>1</v>
      </c>
      <c r="F737" s="47" t="str">
        <f>IFERROR(__xludf.DUMMYFUNCTION("""COMPUTED_VALUE"""),"")</f>
        <v/>
      </c>
      <c r="G737" s="47" t="str">
        <f>IFERROR(__xludf.DUMMYFUNCTION("""COMPUTED_VALUE"""),"")</f>
        <v/>
      </c>
      <c r="H737" s="47"/>
      <c r="I737" s="47">
        <f>IFERROR(__xludf.DUMMYFUNCTION("""COMPUTED_VALUE"""),2.0)</f>
        <v>2</v>
      </c>
      <c r="J737" s="47" t="str">
        <f>IFERROR(__xludf.DUMMYFUNCTION("""COMPUTED_VALUE"""),"https:")</f>
        <v>https:</v>
      </c>
      <c r="K737" s="78" t="str">
        <f>IFERROR(__xludf.DUMMYFUNCTION("""COMPUTED_VALUE"""),"www.munzee.com")</f>
        <v>www.munzee.com</v>
      </c>
      <c r="L737" s="47" t="str">
        <f>IFERROR(__xludf.DUMMYFUNCTION("""COMPUTED_VALUE"""),"m")</f>
        <v>m</v>
      </c>
      <c r="M737" s="47" t="str">
        <f>IFERROR(__xludf.DUMMYFUNCTION("""COMPUTED_VALUE"""),"Niks13")</f>
        <v>Niks13</v>
      </c>
    </row>
    <row r="738">
      <c r="A738" s="47" t="str">
        <f>IFERROR(__xludf.DUMMYFUNCTION("""COMPUTED_VALUE"""),"Virtual Brown")</f>
        <v>Virtual Brown</v>
      </c>
      <c r="B738" s="47" t="str">
        <f>IFERROR(__xludf.DUMMYFUNCTION("""COMPUTED_VALUE"""),"xrayneex")</f>
        <v>xrayneex</v>
      </c>
      <c r="C738" s="78" t="str">
        <f>IFERROR(__xludf.DUMMYFUNCTION("""COMPUTED_VALUE"""),"https://www.munzee.com/m/xrayneex/1639/")</f>
        <v>https://www.munzee.com/m/xrayneex/1639/</v>
      </c>
      <c r="D738" s="47"/>
      <c r="E738" s="47" t="b">
        <f>IFERROR(__xludf.DUMMYFUNCTION("""COMPUTED_VALUE"""),TRUE)</f>
        <v>1</v>
      </c>
      <c r="F738" s="47" t="str">
        <f>IFERROR(__xludf.DUMMYFUNCTION("""COMPUTED_VALUE"""),"")</f>
        <v/>
      </c>
      <c r="G738" s="47" t="str">
        <f>IFERROR(__xludf.DUMMYFUNCTION("""COMPUTED_VALUE"""),"")</f>
        <v/>
      </c>
      <c r="H738" s="47"/>
      <c r="I738" s="47">
        <f>IFERROR(__xludf.DUMMYFUNCTION("""COMPUTED_VALUE"""),2.0)</f>
        <v>2</v>
      </c>
      <c r="J738" s="47" t="str">
        <f>IFERROR(__xludf.DUMMYFUNCTION("""COMPUTED_VALUE"""),"https:")</f>
        <v>https:</v>
      </c>
      <c r="K738" s="78" t="str">
        <f>IFERROR(__xludf.DUMMYFUNCTION("""COMPUTED_VALUE"""),"www.munzee.com")</f>
        <v>www.munzee.com</v>
      </c>
      <c r="L738" s="47" t="str">
        <f>IFERROR(__xludf.DUMMYFUNCTION("""COMPUTED_VALUE"""),"m")</f>
        <v>m</v>
      </c>
      <c r="M738" s="47" t="str">
        <f>IFERROR(__xludf.DUMMYFUNCTION("""COMPUTED_VALUE"""),"xrayneex")</f>
        <v>xrayneex</v>
      </c>
    </row>
    <row r="739">
      <c r="A739" s="47" t="str">
        <f>IFERROR(__xludf.DUMMYFUNCTION("""COMPUTED_VALUE"""),"Virtual Brown")</f>
        <v>Virtual Brown</v>
      </c>
      <c r="B739" s="47" t="str">
        <f>IFERROR(__xludf.DUMMYFUNCTION("""COMPUTED_VALUE"""),"BrotherWilliam")</f>
        <v>BrotherWilliam</v>
      </c>
      <c r="C739" s="78" t="str">
        <f>IFERROR(__xludf.DUMMYFUNCTION("""COMPUTED_VALUE"""),"https://www.munzee.com/m/BrotherWilliam/4248/")</f>
        <v>https://www.munzee.com/m/BrotherWilliam/4248/</v>
      </c>
      <c r="D739" s="47"/>
      <c r="E739" s="47" t="b">
        <f>IFERROR(__xludf.DUMMYFUNCTION("""COMPUTED_VALUE"""),TRUE)</f>
        <v>1</v>
      </c>
      <c r="F739" s="47" t="str">
        <f>IFERROR(__xludf.DUMMYFUNCTION("""COMPUTED_VALUE"""),"")</f>
        <v/>
      </c>
      <c r="G739" s="47" t="str">
        <f>IFERROR(__xludf.DUMMYFUNCTION("""COMPUTED_VALUE"""),"")</f>
        <v/>
      </c>
      <c r="H739" s="47"/>
      <c r="I739" s="47">
        <f>IFERROR(__xludf.DUMMYFUNCTION("""COMPUTED_VALUE"""),2.0)</f>
        <v>2</v>
      </c>
      <c r="J739" s="47" t="str">
        <f>IFERROR(__xludf.DUMMYFUNCTION("""COMPUTED_VALUE"""),"https:")</f>
        <v>https:</v>
      </c>
      <c r="K739" s="78" t="str">
        <f>IFERROR(__xludf.DUMMYFUNCTION("""COMPUTED_VALUE"""),"www.munzee.com")</f>
        <v>www.munzee.com</v>
      </c>
      <c r="L739" s="47" t="str">
        <f>IFERROR(__xludf.DUMMYFUNCTION("""COMPUTED_VALUE"""),"m")</f>
        <v>m</v>
      </c>
      <c r="M739" s="47" t="str">
        <f>IFERROR(__xludf.DUMMYFUNCTION("""COMPUTED_VALUE"""),"BrotherWilliam")</f>
        <v>BrotherWilliam</v>
      </c>
    </row>
    <row r="740">
      <c r="A740" s="47" t="str">
        <f>IFERROR(__xludf.DUMMYFUNCTION("""COMPUTED_VALUE"""),"Virtual Brown")</f>
        <v>Virtual Brown</v>
      </c>
      <c r="B740" s="47" t="str">
        <f>IFERROR(__xludf.DUMMYFUNCTION("""COMPUTED_VALUE"""),"ArtofEco")</f>
        <v>ArtofEco</v>
      </c>
      <c r="C740" s="78" t="str">
        <f>IFERROR(__xludf.DUMMYFUNCTION("""COMPUTED_VALUE"""),"https://www.munzee.com/m/ArtofEco/3062/")</f>
        <v>https://www.munzee.com/m/ArtofEco/3062/</v>
      </c>
      <c r="D740" s="47"/>
      <c r="E740" s="47" t="b">
        <f>IFERROR(__xludf.DUMMYFUNCTION("""COMPUTED_VALUE"""),TRUE)</f>
        <v>1</v>
      </c>
      <c r="F740" s="47" t="str">
        <f>IFERROR(__xludf.DUMMYFUNCTION("""COMPUTED_VALUE"""),"")</f>
        <v/>
      </c>
      <c r="G740" s="47" t="str">
        <f>IFERROR(__xludf.DUMMYFUNCTION("""COMPUTED_VALUE"""),"")</f>
        <v/>
      </c>
      <c r="H740" s="47"/>
      <c r="I740" s="47">
        <f>IFERROR(__xludf.DUMMYFUNCTION("""COMPUTED_VALUE"""),2.0)</f>
        <v>2</v>
      </c>
      <c r="J740" s="47" t="str">
        <f>IFERROR(__xludf.DUMMYFUNCTION("""COMPUTED_VALUE"""),"https:")</f>
        <v>https:</v>
      </c>
      <c r="K740" s="78" t="str">
        <f>IFERROR(__xludf.DUMMYFUNCTION("""COMPUTED_VALUE"""),"www.munzee.com")</f>
        <v>www.munzee.com</v>
      </c>
      <c r="L740" s="47" t="str">
        <f>IFERROR(__xludf.DUMMYFUNCTION("""COMPUTED_VALUE"""),"m")</f>
        <v>m</v>
      </c>
      <c r="M740" s="47" t="str">
        <f>IFERROR(__xludf.DUMMYFUNCTION("""COMPUTED_VALUE"""),"ArtofEco")</f>
        <v>ArtofEco</v>
      </c>
    </row>
    <row r="741">
      <c r="A741" s="47" t="str">
        <f>IFERROR(__xludf.DUMMYFUNCTION("""COMPUTED_VALUE"""),"Virtual Brown")</f>
        <v>Virtual Brown</v>
      </c>
      <c r="B741" s="47" t="str">
        <f>IFERROR(__xludf.DUMMYFUNCTION("""COMPUTED_VALUE"""),"barefootguru")</f>
        <v>barefootguru</v>
      </c>
      <c r="C741" s="78" t="str">
        <f>IFERROR(__xludf.DUMMYFUNCTION("""COMPUTED_VALUE"""),"https://www.munzee.com/m/barefootguru/3223/")</f>
        <v>https://www.munzee.com/m/barefootguru/3223/</v>
      </c>
      <c r="D741" s="47"/>
      <c r="E741" s="47" t="b">
        <f>IFERROR(__xludf.DUMMYFUNCTION("""COMPUTED_VALUE"""),TRUE)</f>
        <v>1</v>
      </c>
      <c r="F741" s="47" t="str">
        <f>IFERROR(__xludf.DUMMYFUNCTION("""COMPUTED_VALUE"""),"")</f>
        <v/>
      </c>
      <c r="G741" s="47" t="str">
        <f>IFERROR(__xludf.DUMMYFUNCTION("""COMPUTED_VALUE"""),"")</f>
        <v/>
      </c>
      <c r="H741" s="47"/>
      <c r="I741" s="47">
        <f>IFERROR(__xludf.DUMMYFUNCTION("""COMPUTED_VALUE"""),2.0)</f>
        <v>2</v>
      </c>
      <c r="J741" s="47" t="str">
        <f>IFERROR(__xludf.DUMMYFUNCTION("""COMPUTED_VALUE"""),"https:")</f>
        <v>https:</v>
      </c>
      <c r="K741" s="78" t="str">
        <f>IFERROR(__xludf.DUMMYFUNCTION("""COMPUTED_VALUE"""),"www.munzee.com")</f>
        <v>www.munzee.com</v>
      </c>
      <c r="L741" s="47" t="str">
        <f>IFERROR(__xludf.DUMMYFUNCTION("""COMPUTED_VALUE"""),"m")</f>
        <v>m</v>
      </c>
      <c r="M741" s="47" t="str">
        <f>IFERROR(__xludf.DUMMYFUNCTION("""COMPUTED_VALUE"""),"barefootguru")</f>
        <v>barefootguru</v>
      </c>
    </row>
    <row r="742">
      <c r="A742" s="47" t="str">
        <f>IFERROR(__xludf.DUMMYFUNCTION("""COMPUTED_VALUE"""),"Virtual Brown")</f>
        <v>Virtual Brown</v>
      </c>
      <c r="B742" s="47" t="str">
        <f>IFERROR(__xludf.DUMMYFUNCTION("""COMPUTED_VALUE"""),"lison55")</f>
        <v>lison55</v>
      </c>
      <c r="C742" s="78" t="str">
        <f>IFERROR(__xludf.DUMMYFUNCTION("""COMPUTED_VALUE"""),"https://www.munzee.com/m/lison55/5688/")</f>
        <v>https://www.munzee.com/m/lison55/5688/</v>
      </c>
      <c r="D742" s="47"/>
      <c r="E742" s="47" t="b">
        <f>IFERROR(__xludf.DUMMYFUNCTION("""COMPUTED_VALUE"""),TRUE)</f>
        <v>1</v>
      </c>
      <c r="F742" s="47" t="str">
        <f>IFERROR(__xludf.DUMMYFUNCTION("""COMPUTED_VALUE"""),"")</f>
        <v/>
      </c>
      <c r="G742" s="47" t="str">
        <f>IFERROR(__xludf.DUMMYFUNCTION("""COMPUTED_VALUE"""),"")</f>
        <v/>
      </c>
      <c r="H742" s="47"/>
      <c r="I742" s="47">
        <f>IFERROR(__xludf.DUMMYFUNCTION("""COMPUTED_VALUE"""),2.0)</f>
        <v>2</v>
      </c>
      <c r="J742" s="47" t="str">
        <f>IFERROR(__xludf.DUMMYFUNCTION("""COMPUTED_VALUE"""),"https:")</f>
        <v>https:</v>
      </c>
      <c r="K742" s="78" t="str">
        <f>IFERROR(__xludf.DUMMYFUNCTION("""COMPUTED_VALUE"""),"www.munzee.com")</f>
        <v>www.munzee.com</v>
      </c>
      <c r="L742" s="47" t="str">
        <f>IFERROR(__xludf.DUMMYFUNCTION("""COMPUTED_VALUE"""),"m")</f>
        <v>m</v>
      </c>
      <c r="M742" s="47" t="str">
        <f>IFERROR(__xludf.DUMMYFUNCTION("""COMPUTED_VALUE"""),"lison55")</f>
        <v>lison55</v>
      </c>
    </row>
    <row r="743">
      <c r="A743" s="47" t="str">
        <f>IFERROR(__xludf.DUMMYFUNCTION("""COMPUTED_VALUE"""),"Virtual Brown")</f>
        <v>Virtual Brown</v>
      </c>
      <c r="B743" s="47" t="str">
        <f>IFERROR(__xludf.DUMMYFUNCTION("""COMPUTED_VALUE"""),"J1Huisman")</f>
        <v>J1Huisman</v>
      </c>
      <c r="C743" s="78" t="str">
        <f>IFERROR(__xludf.DUMMYFUNCTION("""COMPUTED_VALUE"""),"https://www.munzee.com/m/J1Huisman/11809/")</f>
        <v>https://www.munzee.com/m/J1Huisman/11809/</v>
      </c>
      <c r="D743" s="47" t="str">
        <f>IFERROR(__xludf.DUMMYFUNCTION("""COMPUTED_VALUE"""),"deploy nov 26")</f>
        <v>deploy nov 26</v>
      </c>
      <c r="E743" s="47" t="b">
        <f>IFERROR(__xludf.DUMMYFUNCTION("""COMPUTED_VALUE"""),TRUE)</f>
        <v>1</v>
      </c>
      <c r="F743" s="47" t="str">
        <f>IFERROR(__xludf.DUMMYFUNCTION("""COMPUTED_VALUE"""),"")</f>
        <v/>
      </c>
      <c r="G743" s="47" t="str">
        <f>IFERROR(__xludf.DUMMYFUNCTION("""COMPUTED_VALUE"""),"")</f>
        <v/>
      </c>
      <c r="H743" s="47"/>
      <c r="I743" s="47">
        <f>IFERROR(__xludf.DUMMYFUNCTION("""COMPUTED_VALUE"""),2.0)</f>
        <v>2</v>
      </c>
      <c r="J743" s="47" t="str">
        <f>IFERROR(__xludf.DUMMYFUNCTION("""COMPUTED_VALUE"""),"https:")</f>
        <v>https:</v>
      </c>
      <c r="K743" s="78" t="str">
        <f>IFERROR(__xludf.DUMMYFUNCTION("""COMPUTED_VALUE"""),"www.munzee.com")</f>
        <v>www.munzee.com</v>
      </c>
      <c r="L743" s="47" t="str">
        <f>IFERROR(__xludf.DUMMYFUNCTION("""COMPUTED_VALUE"""),"m")</f>
        <v>m</v>
      </c>
      <c r="M743" s="47" t="str">
        <f>IFERROR(__xludf.DUMMYFUNCTION("""COMPUTED_VALUE"""),"J1Huisman")</f>
        <v>J1Huisman</v>
      </c>
    </row>
    <row r="744">
      <c r="A744" s="47" t="str">
        <f>IFERROR(__xludf.DUMMYFUNCTION("""COMPUTED_VALUE"""),"Virtual Brown")</f>
        <v>Virtual Brown</v>
      </c>
      <c r="B744" s="47" t="str">
        <f>IFERROR(__xludf.DUMMYFUNCTION("""COMPUTED_VALUE"""),"Amadoreugen")</f>
        <v>Amadoreugen</v>
      </c>
      <c r="C744" s="78" t="str">
        <f>IFERROR(__xludf.DUMMYFUNCTION("""COMPUTED_VALUE"""),"https://www.munzee.com/m/amadoreugen/5825")</f>
        <v>https://www.munzee.com/m/amadoreugen/5825</v>
      </c>
      <c r="D744" s="47"/>
      <c r="E744" s="47" t="b">
        <f>IFERROR(__xludf.DUMMYFUNCTION("""COMPUTED_VALUE"""),TRUE)</f>
        <v>1</v>
      </c>
      <c r="F744" s="47" t="str">
        <f>IFERROR(__xludf.DUMMYFUNCTION("""COMPUTED_VALUE"""),"")</f>
        <v/>
      </c>
      <c r="G744" s="47" t="str">
        <f>IFERROR(__xludf.DUMMYFUNCTION("""COMPUTED_VALUE"""),"")</f>
        <v/>
      </c>
      <c r="H744" s="47"/>
      <c r="I744" s="47">
        <f>IFERROR(__xludf.DUMMYFUNCTION("""COMPUTED_VALUE"""),2.0)</f>
        <v>2</v>
      </c>
      <c r="J744" s="47" t="str">
        <f>IFERROR(__xludf.DUMMYFUNCTION("""COMPUTED_VALUE"""),"https:")</f>
        <v>https:</v>
      </c>
      <c r="K744" s="78" t="str">
        <f>IFERROR(__xludf.DUMMYFUNCTION("""COMPUTED_VALUE"""),"www.munzee.com")</f>
        <v>www.munzee.com</v>
      </c>
      <c r="L744" s="47" t="str">
        <f>IFERROR(__xludf.DUMMYFUNCTION("""COMPUTED_VALUE"""),"m")</f>
        <v>m</v>
      </c>
      <c r="M744" s="47" t="str">
        <f>IFERROR(__xludf.DUMMYFUNCTION("""COMPUTED_VALUE"""),"amadoreugen")</f>
        <v>amadoreugen</v>
      </c>
    </row>
    <row r="745">
      <c r="A745" s="47" t="str">
        <f>IFERROR(__xludf.DUMMYFUNCTION("""COMPUTED_VALUE"""),"Virtual Brown")</f>
        <v>Virtual Brown</v>
      </c>
      <c r="B745" s="47" t="str">
        <f>IFERROR(__xludf.DUMMYFUNCTION("""COMPUTED_VALUE"""),"Fossillady")</f>
        <v>Fossillady</v>
      </c>
      <c r="C745" s="78" t="str">
        <f>IFERROR(__xludf.DUMMYFUNCTION("""COMPUTED_VALUE"""),"https://www.munzee.com/m/Fossillady/3425")</f>
        <v>https://www.munzee.com/m/Fossillady/3425</v>
      </c>
      <c r="D745" s="47"/>
      <c r="E745" s="47" t="b">
        <f>IFERROR(__xludf.DUMMYFUNCTION("""COMPUTED_VALUE"""),TRUE)</f>
        <v>1</v>
      </c>
      <c r="F745" s="47" t="str">
        <f>IFERROR(__xludf.DUMMYFUNCTION("""COMPUTED_VALUE"""),"")</f>
        <v/>
      </c>
      <c r="G745" s="47" t="str">
        <f>IFERROR(__xludf.DUMMYFUNCTION("""COMPUTED_VALUE"""),"")</f>
        <v/>
      </c>
      <c r="H745" s="47"/>
      <c r="I745" s="47">
        <f>IFERROR(__xludf.DUMMYFUNCTION("""COMPUTED_VALUE"""),2.0)</f>
        <v>2</v>
      </c>
      <c r="J745" s="47" t="str">
        <f>IFERROR(__xludf.DUMMYFUNCTION("""COMPUTED_VALUE"""),"https:")</f>
        <v>https:</v>
      </c>
      <c r="K745" s="78" t="str">
        <f>IFERROR(__xludf.DUMMYFUNCTION("""COMPUTED_VALUE"""),"www.munzee.com")</f>
        <v>www.munzee.com</v>
      </c>
      <c r="L745" s="47" t="str">
        <f>IFERROR(__xludf.DUMMYFUNCTION("""COMPUTED_VALUE"""),"m")</f>
        <v>m</v>
      </c>
      <c r="M745" s="47" t="str">
        <f>IFERROR(__xludf.DUMMYFUNCTION("""COMPUTED_VALUE"""),"Fossillady")</f>
        <v>Fossillady</v>
      </c>
    </row>
    <row r="746">
      <c r="A746" s="47" t="str">
        <f>IFERROR(__xludf.DUMMYFUNCTION("""COMPUTED_VALUE"""),"Virtual Brown")</f>
        <v>Virtual Brown</v>
      </c>
      <c r="B746" s="47" t="str">
        <f>IFERROR(__xludf.DUMMYFUNCTION("""COMPUTED_VALUE"""),"TheFatCats")</f>
        <v>TheFatCats</v>
      </c>
      <c r="C746" s="78" t="str">
        <f>IFERROR(__xludf.DUMMYFUNCTION("""COMPUTED_VALUE"""),"https://www.munzee.com/m/TheFatCats/4132/")</f>
        <v>https://www.munzee.com/m/TheFatCats/4132/</v>
      </c>
      <c r="D746" s="47"/>
      <c r="E746" s="47" t="b">
        <f>IFERROR(__xludf.DUMMYFUNCTION("""COMPUTED_VALUE"""),TRUE)</f>
        <v>1</v>
      </c>
      <c r="F746" s="47" t="str">
        <f>IFERROR(__xludf.DUMMYFUNCTION("""COMPUTED_VALUE"""),"")</f>
        <v/>
      </c>
      <c r="G746" s="47" t="str">
        <f>IFERROR(__xludf.DUMMYFUNCTION("""COMPUTED_VALUE"""),"")</f>
        <v/>
      </c>
      <c r="H746" s="47"/>
      <c r="I746" s="47">
        <f>IFERROR(__xludf.DUMMYFUNCTION("""COMPUTED_VALUE"""),2.0)</f>
        <v>2</v>
      </c>
      <c r="J746" s="47" t="str">
        <f>IFERROR(__xludf.DUMMYFUNCTION("""COMPUTED_VALUE"""),"https:")</f>
        <v>https:</v>
      </c>
      <c r="K746" s="78" t="str">
        <f>IFERROR(__xludf.DUMMYFUNCTION("""COMPUTED_VALUE"""),"www.munzee.com")</f>
        <v>www.munzee.com</v>
      </c>
      <c r="L746" s="47" t="str">
        <f>IFERROR(__xludf.DUMMYFUNCTION("""COMPUTED_VALUE"""),"m")</f>
        <v>m</v>
      </c>
      <c r="M746" s="47" t="str">
        <f>IFERROR(__xludf.DUMMYFUNCTION("""COMPUTED_VALUE"""),"TheFatCats")</f>
        <v>TheFatCats</v>
      </c>
    </row>
    <row r="747">
      <c r="A747" s="47" t="str">
        <f>IFERROR(__xludf.DUMMYFUNCTION("""COMPUTED_VALUE"""),"Virtual Brown")</f>
        <v>Virtual Brown</v>
      </c>
      <c r="B747" s="47" t="str">
        <f>IFERROR(__xludf.DUMMYFUNCTION("""COMPUTED_VALUE"""),"WetCoaster")</f>
        <v>WetCoaster</v>
      </c>
      <c r="C747" s="78" t="str">
        <f>IFERROR(__xludf.DUMMYFUNCTION("""COMPUTED_VALUE"""),"https://www.munzee.com/m/WetCoaster/4144/")</f>
        <v>https://www.munzee.com/m/WetCoaster/4144/</v>
      </c>
      <c r="D747" s="47"/>
      <c r="E747" s="47" t="b">
        <f>IFERROR(__xludf.DUMMYFUNCTION("""COMPUTED_VALUE"""),TRUE)</f>
        <v>1</v>
      </c>
      <c r="F747" s="47"/>
      <c r="G747" s="47"/>
      <c r="H747" s="47"/>
      <c r="I747" s="47"/>
      <c r="J747" s="47"/>
      <c r="K747" s="47"/>
      <c r="L747" s="47"/>
      <c r="M747" s="47"/>
    </row>
    <row r="748">
      <c r="A748" s="47" t="str">
        <f>IFERROR(__xludf.DUMMYFUNCTION("""COMPUTED_VALUE"""),"Virtual Brown")</f>
        <v>Virtual Brown</v>
      </c>
      <c r="B748" s="47" t="str">
        <f>IFERROR(__xludf.DUMMYFUNCTION("""COMPUTED_VALUE"""),"TheFatCats")</f>
        <v>TheFatCats</v>
      </c>
      <c r="C748" s="78" t="str">
        <f>IFERROR(__xludf.DUMMYFUNCTION("""COMPUTED_VALUE"""),"https://www.munzee.com/m/TheFatCats/4194/")</f>
        <v>https://www.munzee.com/m/TheFatCats/4194/</v>
      </c>
      <c r="D748" s="47"/>
      <c r="E748" s="47" t="b">
        <f>IFERROR(__xludf.DUMMYFUNCTION("""COMPUTED_VALUE"""),TRUE)</f>
        <v>1</v>
      </c>
      <c r="F748" s="47" t="str">
        <f>IFERROR(__xludf.DUMMYFUNCTION("""COMPUTED_VALUE"""),"")</f>
        <v/>
      </c>
      <c r="G748" s="47" t="str">
        <f>IFERROR(__xludf.DUMMYFUNCTION("""COMPUTED_VALUE"""),"")</f>
        <v/>
      </c>
      <c r="H748" s="47"/>
      <c r="I748" s="47">
        <f>IFERROR(__xludf.DUMMYFUNCTION("""COMPUTED_VALUE"""),2.0)</f>
        <v>2</v>
      </c>
      <c r="J748" s="47" t="str">
        <f>IFERROR(__xludf.DUMMYFUNCTION("""COMPUTED_VALUE"""),"https:")</f>
        <v>https:</v>
      </c>
      <c r="K748" s="78" t="str">
        <f>IFERROR(__xludf.DUMMYFUNCTION("""COMPUTED_VALUE"""),"www.munzee.com")</f>
        <v>www.munzee.com</v>
      </c>
      <c r="L748" s="47" t="str">
        <f>IFERROR(__xludf.DUMMYFUNCTION("""COMPUTED_VALUE"""),"m")</f>
        <v>m</v>
      </c>
      <c r="M748" s="47" t="str">
        <f>IFERROR(__xludf.DUMMYFUNCTION("""COMPUTED_VALUE"""),"TheFatCats")</f>
        <v>TheFatCats</v>
      </c>
    </row>
    <row r="749">
      <c r="A749" s="47" t="str">
        <f>IFERROR(__xludf.DUMMYFUNCTION("""COMPUTED_VALUE"""),"Virtual Raw Sienna")</f>
        <v>Virtual Raw Sienna</v>
      </c>
      <c r="B749" s="47" t="str">
        <f>IFERROR(__xludf.DUMMYFUNCTION("""COMPUTED_VALUE"""),"IggiePiggie")</f>
        <v>IggiePiggie</v>
      </c>
      <c r="C749" s="78" t="str">
        <f>IFERROR(__xludf.DUMMYFUNCTION("""COMPUTED_VALUE"""),"https://www.munzee.com/m/IggiePiggie/2131/")</f>
        <v>https://www.munzee.com/m/IggiePiggie/2131/</v>
      </c>
      <c r="D749" s="47"/>
      <c r="E749" s="47" t="b">
        <f>IFERROR(__xludf.DUMMYFUNCTION("""COMPUTED_VALUE"""),TRUE)</f>
        <v>1</v>
      </c>
      <c r="F749" s="47" t="str">
        <f>IFERROR(__xludf.DUMMYFUNCTION("""COMPUTED_VALUE"""),"")</f>
        <v/>
      </c>
      <c r="G749" s="47" t="str">
        <f>IFERROR(__xludf.DUMMYFUNCTION("""COMPUTED_VALUE"""),"")</f>
        <v/>
      </c>
      <c r="H749" s="47"/>
      <c r="I749" s="47">
        <f>IFERROR(__xludf.DUMMYFUNCTION("""COMPUTED_VALUE"""),2.0)</f>
        <v>2</v>
      </c>
      <c r="J749" s="47" t="str">
        <f>IFERROR(__xludf.DUMMYFUNCTION("""COMPUTED_VALUE"""),"https:")</f>
        <v>https:</v>
      </c>
      <c r="K749" s="78" t="str">
        <f>IFERROR(__xludf.DUMMYFUNCTION("""COMPUTED_VALUE"""),"www.munzee.com")</f>
        <v>www.munzee.com</v>
      </c>
      <c r="L749" s="47" t="str">
        <f>IFERROR(__xludf.DUMMYFUNCTION("""COMPUTED_VALUE"""),"m")</f>
        <v>m</v>
      </c>
      <c r="M749" s="47" t="str">
        <f>IFERROR(__xludf.DUMMYFUNCTION("""COMPUTED_VALUE"""),"IggiePiggie")</f>
        <v>IggiePiggie</v>
      </c>
    </row>
    <row r="750">
      <c r="A750" s="47" t="str">
        <f>IFERROR(__xludf.DUMMYFUNCTION("""COMPUTED_VALUE"""),"Virtual Brown")</f>
        <v>Virtual Brown</v>
      </c>
      <c r="B750" s="47" t="str">
        <f>IFERROR(__xludf.DUMMYFUNCTION("""COMPUTED_VALUE"""),"OdinsFire")</f>
        <v>OdinsFire</v>
      </c>
      <c r="C750" s="78" t="str">
        <f>IFERROR(__xludf.DUMMYFUNCTION("""COMPUTED_VALUE"""),"https://www.munzee.com/m/OdinsFiRe/1974/")</f>
        <v>https://www.munzee.com/m/OdinsFiRe/1974/</v>
      </c>
      <c r="D750" s="47"/>
      <c r="E750" s="47" t="b">
        <f>IFERROR(__xludf.DUMMYFUNCTION("""COMPUTED_VALUE"""),TRUE)</f>
        <v>1</v>
      </c>
      <c r="F750" s="47" t="str">
        <f>IFERROR(__xludf.DUMMYFUNCTION("""COMPUTED_VALUE"""),"")</f>
        <v/>
      </c>
      <c r="G750" s="47" t="str">
        <f>IFERROR(__xludf.DUMMYFUNCTION("""COMPUTED_VALUE"""),"")</f>
        <v/>
      </c>
      <c r="H750" s="47"/>
      <c r="I750" s="47">
        <f>IFERROR(__xludf.DUMMYFUNCTION("""COMPUTED_VALUE"""),2.0)</f>
        <v>2</v>
      </c>
      <c r="J750" s="47" t="str">
        <f>IFERROR(__xludf.DUMMYFUNCTION("""COMPUTED_VALUE"""),"https:")</f>
        <v>https:</v>
      </c>
      <c r="K750" s="78" t="str">
        <f>IFERROR(__xludf.DUMMYFUNCTION("""COMPUTED_VALUE"""),"www.munzee.com")</f>
        <v>www.munzee.com</v>
      </c>
      <c r="L750" s="47" t="str">
        <f>IFERROR(__xludf.DUMMYFUNCTION("""COMPUTED_VALUE"""),"m")</f>
        <v>m</v>
      </c>
      <c r="M750" s="47" t="str">
        <f>IFERROR(__xludf.DUMMYFUNCTION("""COMPUTED_VALUE"""),"OdinsFiRe")</f>
        <v>OdinsFiRe</v>
      </c>
    </row>
    <row r="751">
      <c r="A751" s="47" t="str">
        <f>IFERROR(__xludf.DUMMYFUNCTION("""COMPUTED_VALUE"""),"Virtual Brown")</f>
        <v>Virtual Brown</v>
      </c>
      <c r="B751" s="47" t="str">
        <f>IFERROR(__xludf.DUMMYFUNCTION("""COMPUTED_VALUE"""),"Anetzet ")</f>
        <v>Anetzet </v>
      </c>
      <c r="C751" s="78" t="str">
        <f>IFERROR(__xludf.DUMMYFUNCTION("""COMPUTED_VALUE"""),"https://www.munzee.com/m/Anetzet/3259/")</f>
        <v>https://www.munzee.com/m/Anetzet/3259/</v>
      </c>
      <c r="D751" s="47"/>
      <c r="E751" s="47" t="b">
        <f>IFERROR(__xludf.DUMMYFUNCTION("""COMPUTED_VALUE"""),TRUE)</f>
        <v>1</v>
      </c>
      <c r="F751" s="47"/>
      <c r="G751" s="47" t="str">
        <f>IFERROR(__xludf.DUMMYFUNCTION("""COMPUTED_VALUE"""),"")</f>
        <v/>
      </c>
      <c r="H751" s="47"/>
      <c r="I751" s="47">
        <f>IFERROR(__xludf.DUMMYFUNCTION("""COMPUTED_VALUE"""),2.0)</f>
        <v>2</v>
      </c>
      <c r="J751" s="47" t="str">
        <f>IFERROR(__xludf.DUMMYFUNCTION("""COMPUTED_VALUE"""),"https:")</f>
        <v>https:</v>
      </c>
      <c r="K751" s="78" t="str">
        <f>IFERROR(__xludf.DUMMYFUNCTION("""COMPUTED_VALUE"""),"www.munzee.com")</f>
        <v>www.munzee.com</v>
      </c>
      <c r="L751" s="47" t="str">
        <f>IFERROR(__xludf.DUMMYFUNCTION("""COMPUTED_VALUE"""),"m")</f>
        <v>m</v>
      </c>
      <c r="M751" s="47" t="str">
        <f>IFERROR(__xludf.DUMMYFUNCTION("""COMPUTED_VALUE"""),"Anetzet")</f>
        <v>Anetzet</v>
      </c>
    </row>
    <row r="752">
      <c r="A752" s="47" t="str">
        <f>IFERROR(__xludf.DUMMYFUNCTION("""COMPUTED_VALUE"""),"Virtual Brown")</f>
        <v>Virtual Brown</v>
      </c>
      <c r="B752" s="47" t="str">
        <f>IFERROR(__xludf.DUMMYFUNCTION("""COMPUTED_VALUE"""),"Trappertje")</f>
        <v>Trappertje</v>
      </c>
      <c r="C752" s="78" t="str">
        <f>IFERROR(__xludf.DUMMYFUNCTION("""COMPUTED_VALUE"""),"https://www.munzee.com/m/Trappertje/5534/")</f>
        <v>https://www.munzee.com/m/Trappertje/5534/</v>
      </c>
      <c r="D752" s="47"/>
      <c r="E752" s="47" t="b">
        <f>IFERROR(__xludf.DUMMYFUNCTION("""COMPUTED_VALUE"""),TRUE)</f>
        <v>1</v>
      </c>
      <c r="F752" s="47"/>
      <c r="G752" s="47" t="str">
        <f>IFERROR(__xludf.DUMMYFUNCTION("""COMPUTED_VALUE"""),"")</f>
        <v/>
      </c>
      <c r="H752" s="47"/>
      <c r="I752" s="47">
        <f>IFERROR(__xludf.DUMMYFUNCTION("""COMPUTED_VALUE"""),2.0)</f>
        <v>2</v>
      </c>
      <c r="J752" s="47" t="str">
        <f>IFERROR(__xludf.DUMMYFUNCTION("""COMPUTED_VALUE"""),"https:")</f>
        <v>https:</v>
      </c>
      <c r="K752" s="78" t="str">
        <f>IFERROR(__xludf.DUMMYFUNCTION("""COMPUTED_VALUE"""),"www.munzee.com")</f>
        <v>www.munzee.com</v>
      </c>
      <c r="L752" s="47" t="str">
        <f>IFERROR(__xludf.DUMMYFUNCTION("""COMPUTED_VALUE"""),"m")</f>
        <v>m</v>
      </c>
      <c r="M752" s="47" t="str">
        <f>IFERROR(__xludf.DUMMYFUNCTION("""COMPUTED_VALUE"""),"Trappertje")</f>
        <v>Trappertje</v>
      </c>
    </row>
    <row r="753">
      <c r="A753" s="47" t="str">
        <f>IFERROR(__xludf.DUMMYFUNCTION("""COMPUTED_VALUE"""),"Virtual Brown")</f>
        <v>Virtual Brown</v>
      </c>
      <c r="B753" s="47" t="str">
        <f>IFERROR(__xludf.DUMMYFUNCTION("""COMPUTED_VALUE"""),"fsafranek")</f>
        <v>fsafranek</v>
      </c>
      <c r="C753" s="78" t="str">
        <f>IFERROR(__xludf.DUMMYFUNCTION("""COMPUTED_VALUE"""),"https://www.munzee.com/m/fsafranek/5342/")</f>
        <v>https://www.munzee.com/m/fsafranek/5342/</v>
      </c>
      <c r="D753" s="47"/>
      <c r="E753" s="47" t="b">
        <f>IFERROR(__xludf.DUMMYFUNCTION("""COMPUTED_VALUE"""),TRUE)</f>
        <v>1</v>
      </c>
      <c r="F753" s="47"/>
      <c r="G753" s="47" t="str">
        <f>IFERROR(__xludf.DUMMYFUNCTION("""COMPUTED_VALUE"""),"")</f>
        <v/>
      </c>
      <c r="H753" s="47"/>
      <c r="I753" s="47">
        <f>IFERROR(__xludf.DUMMYFUNCTION("""COMPUTED_VALUE"""),2.0)</f>
        <v>2</v>
      </c>
      <c r="J753" s="47" t="str">
        <f>IFERROR(__xludf.DUMMYFUNCTION("""COMPUTED_VALUE"""),"https:")</f>
        <v>https:</v>
      </c>
      <c r="K753" s="78" t="str">
        <f>IFERROR(__xludf.DUMMYFUNCTION("""COMPUTED_VALUE"""),"www.munzee.com")</f>
        <v>www.munzee.com</v>
      </c>
      <c r="L753" s="47" t="str">
        <f>IFERROR(__xludf.DUMMYFUNCTION("""COMPUTED_VALUE"""),"m")</f>
        <v>m</v>
      </c>
      <c r="M753" s="47" t="str">
        <f>IFERROR(__xludf.DUMMYFUNCTION("""COMPUTED_VALUE"""),"fsafranek")</f>
        <v>fsafranek</v>
      </c>
    </row>
    <row r="754">
      <c r="A754" s="47" t="str">
        <f>IFERROR(__xludf.DUMMYFUNCTION("""COMPUTED_VALUE"""),"Virtual Raw Sienna")</f>
        <v>Virtual Raw Sienna</v>
      </c>
      <c r="B754" s="47" t="str">
        <f>IFERROR(__xludf.DUMMYFUNCTION("""COMPUTED_VALUE"""),"cbf600")</f>
        <v>cbf600</v>
      </c>
      <c r="C754" s="78" t="str">
        <f>IFERROR(__xludf.DUMMYFUNCTION("""COMPUTED_VALUE"""),"https://www.munzee.com/m/cbf600/3992/")</f>
        <v>https://www.munzee.com/m/cbf600/3992/</v>
      </c>
      <c r="D754" s="47"/>
      <c r="E754" s="47" t="b">
        <f>IFERROR(__xludf.DUMMYFUNCTION("""COMPUTED_VALUE"""),TRUE)</f>
        <v>1</v>
      </c>
      <c r="F754" s="47"/>
      <c r="G754" s="47"/>
      <c r="H754" s="47"/>
      <c r="I754" s="47"/>
      <c r="J754" s="47"/>
      <c r="K754" s="47"/>
      <c r="L754" s="47"/>
      <c r="M754" s="47"/>
    </row>
    <row r="755">
      <c r="A755" s="47" t="str">
        <f>IFERROR(__xludf.DUMMYFUNCTION("""COMPUTED_VALUE"""),"Virtual Raw Sienna")</f>
        <v>Virtual Raw Sienna</v>
      </c>
      <c r="B755" s="47" t="str">
        <f>IFERROR(__xludf.DUMMYFUNCTION("""COMPUTED_VALUE"""),"GroteSufferd")</f>
        <v>GroteSufferd</v>
      </c>
      <c r="C755" s="78" t="str">
        <f>IFERROR(__xludf.DUMMYFUNCTION("""COMPUTED_VALUE"""),"https://www.munzee.com/m/GroteSufferd/452/")</f>
        <v>https://www.munzee.com/m/GroteSufferd/452/</v>
      </c>
      <c r="D755" s="47"/>
      <c r="E755" s="47" t="b">
        <f>IFERROR(__xludf.DUMMYFUNCTION("""COMPUTED_VALUE"""),TRUE)</f>
        <v>1</v>
      </c>
      <c r="F755" s="47"/>
      <c r="G755" s="47" t="str">
        <f>IFERROR(__xludf.DUMMYFUNCTION("""COMPUTED_VALUE"""),"")</f>
        <v/>
      </c>
      <c r="H755" s="47"/>
      <c r="I755" s="47">
        <f>IFERROR(__xludf.DUMMYFUNCTION("""COMPUTED_VALUE"""),2.0)</f>
        <v>2</v>
      </c>
      <c r="J755" s="47" t="str">
        <f>IFERROR(__xludf.DUMMYFUNCTION("""COMPUTED_VALUE"""),"https:")</f>
        <v>https:</v>
      </c>
      <c r="K755" s="78" t="str">
        <f>IFERROR(__xludf.DUMMYFUNCTION("""COMPUTED_VALUE"""),"www.munzee.com")</f>
        <v>www.munzee.com</v>
      </c>
      <c r="L755" s="47" t="str">
        <f>IFERROR(__xludf.DUMMYFUNCTION("""COMPUTED_VALUE"""),"m")</f>
        <v>m</v>
      </c>
      <c r="M755" s="47" t="str">
        <f>IFERROR(__xludf.DUMMYFUNCTION("""COMPUTED_VALUE"""),"GroteSufferd")</f>
        <v>GroteSufferd</v>
      </c>
    </row>
    <row r="756">
      <c r="A756" s="47" t="str">
        <f>IFERROR(__xludf.DUMMYFUNCTION("""COMPUTED_VALUE"""),"Virtual Brown")</f>
        <v>Virtual Brown</v>
      </c>
      <c r="B756" s="47" t="str">
        <f>IFERROR(__xludf.DUMMYFUNCTION("""COMPUTED_VALUE"""),"cbf600")</f>
        <v>cbf600</v>
      </c>
      <c r="C756" s="78" t="str">
        <f>IFERROR(__xludf.DUMMYFUNCTION("""COMPUTED_VALUE"""),"https://www.munzee.com/m/cbf600/2541/")</f>
        <v>https://www.munzee.com/m/cbf600/2541/</v>
      </c>
      <c r="D756" s="47"/>
      <c r="E756" s="47" t="b">
        <f>IFERROR(__xludf.DUMMYFUNCTION("""COMPUTED_VALUE"""),TRUE)</f>
        <v>1</v>
      </c>
      <c r="F756" s="47"/>
      <c r="G756" s="47" t="str">
        <f>IFERROR(__xludf.DUMMYFUNCTION("""COMPUTED_VALUE"""),"")</f>
        <v/>
      </c>
      <c r="H756" s="47"/>
      <c r="I756" s="47">
        <f>IFERROR(__xludf.DUMMYFUNCTION("""COMPUTED_VALUE"""),2.0)</f>
        <v>2</v>
      </c>
      <c r="J756" s="47" t="str">
        <f>IFERROR(__xludf.DUMMYFUNCTION("""COMPUTED_VALUE"""),"https:")</f>
        <v>https:</v>
      </c>
      <c r="K756" s="78" t="str">
        <f>IFERROR(__xludf.DUMMYFUNCTION("""COMPUTED_VALUE"""),"www.munzee.com")</f>
        <v>www.munzee.com</v>
      </c>
      <c r="L756" s="47" t="str">
        <f>IFERROR(__xludf.DUMMYFUNCTION("""COMPUTED_VALUE"""),"m")</f>
        <v>m</v>
      </c>
      <c r="M756" s="47" t="str">
        <f>IFERROR(__xludf.DUMMYFUNCTION("""COMPUTED_VALUE"""),"cbf600")</f>
        <v>cbf600</v>
      </c>
    </row>
    <row r="757">
      <c r="A757" s="47" t="str">
        <f>IFERROR(__xludf.DUMMYFUNCTION("""COMPUTED_VALUE"""),"Virtual Raw Sienna")</f>
        <v>Virtual Raw Sienna</v>
      </c>
      <c r="B757" s="47" t="str">
        <f>IFERROR(__xludf.DUMMYFUNCTION("""COMPUTED_VALUE"""),"xrayneex")</f>
        <v>xrayneex</v>
      </c>
      <c r="C757" s="78" t="str">
        <f>IFERROR(__xludf.DUMMYFUNCTION("""COMPUTED_VALUE"""),"https://www.munzee.com/m/xrayneex/1635/")</f>
        <v>https://www.munzee.com/m/xrayneex/1635/</v>
      </c>
      <c r="D757" s="47"/>
      <c r="E757" s="47" t="b">
        <f>IFERROR(__xludf.DUMMYFUNCTION("""COMPUTED_VALUE"""),TRUE)</f>
        <v>1</v>
      </c>
      <c r="F757" s="47"/>
      <c r="G757" s="47" t="str">
        <f>IFERROR(__xludf.DUMMYFUNCTION("""COMPUTED_VALUE"""),"")</f>
        <v/>
      </c>
      <c r="H757" s="47"/>
      <c r="I757" s="47">
        <f>IFERROR(__xludf.DUMMYFUNCTION("""COMPUTED_VALUE"""),2.0)</f>
        <v>2</v>
      </c>
      <c r="J757" s="47" t="str">
        <f>IFERROR(__xludf.DUMMYFUNCTION("""COMPUTED_VALUE"""),"https:")</f>
        <v>https:</v>
      </c>
      <c r="K757" s="78" t="str">
        <f>IFERROR(__xludf.DUMMYFUNCTION("""COMPUTED_VALUE"""),"www.munzee.com")</f>
        <v>www.munzee.com</v>
      </c>
      <c r="L757" s="47" t="str">
        <f>IFERROR(__xludf.DUMMYFUNCTION("""COMPUTED_VALUE"""),"m")</f>
        <v>m</v>
      </c>
      <c r="M757" s="47" t="str">
        <f>IFERROR(__xludf.DUMMYFUNCTION("""COMPUTED_VALUE"""),"xrayneex")</f>
        <v>xrayneex</v>
      </c>
    </row>
    <row r="758">
      <c r="A758" s="47" t="str">
        <f>IFERROR(__xludf.DUMMYFUNCTION("""COMPUTED_VALUE"""),"Virtual Brown")</f>
        <v>Virtual Brown</v>
      </c>
      <c r="B758" s="47" t="str">
        <f>IFERROR(__xludf.DUMMYFUNCTION("""COMPUTED_VALUE"""),"5Star")</f>
        <v>5Star</v>
      </c>
      <c r="C758" s="78" t="str">
        <f>IFERROR(__xludf.DUMMYFUNCTION("""COMPUTED_VALUE"""),"https://www.munzee.com/m/5Star/4687/")</f>
        <v>https://www.munzee.com/m/5Star/4687/</v>
      </c>
      <c r="D758" s="47"/>
      <c r="E758" s="47" t="b">
        <f>IFERROR(__xludf.DUMMYFUNCTION("""COMPUTED_VALUE"""),TRUE)</f>
        <v>1</v>
      </c>
      <c r="F758" s="47"/>
      <c r="G758" s="47" t="str">
        <f>IFERROR(__xludf.DUMMYFUNCTION("""COMPUTED_VALUE"""),"")</f>
        <v/>
      </c>
      <c r="H758" s="47"/>
      <c r="I758" s="47">
        <f>IFERROR(__xludf.DUMMYFUNCTION("""COMPUTED_VALUE"""),2.0)</f>
        <v>2</v>
      </c>
      <c r="J758" s="47" t="str">
        <f>IFERROR(__xludf.DUMMYFUNCTION("""COMPUTED_VALUE"""),"https:")</f>
        <v>https:</v>
      </c>
      <c r="K758" s="78" t="str">
        <f>IFERROR(__xludf.DUMMYFUNCTION("""COMPUTED_VALUE"""),"www.munzee.com")</f>
        <v>www.munzee.com</v>
      </c>
      <c r="L758" s="47" t="str">
        <f>IFERROR(__xludf.DUMMYFUNCTION("""COMPUTED_VALUE"""),"m")</f>
        <v>m</v>
      </c>
      <c r="M758" s="47" t="str">
        <f>IFERROR(__xludf.DUMMYFUNCTION("""COMPUTED_VALUE"""),"5Star")</f>
        <v>5Star</v>
      </c>
    </row>
    <row r="759">
      <c r="A759" s="47" t="str">
        <f>IFERROR(__xludf.DUMMYFUNCTION("""COMPUTED_VALUE"""),"Virtual Brown")</f>
        <v>Virtual Brown</v>
      </c>
      <c r="B759" s="47" t="str">
        <f>IFERROR(__xludf.DUMMYFUNCTION("""COMPUTED_VALUE"""),"Jasper95")</f>
        <v>Jasper95</v>
      </c>
      <c r="C759" s="78" t="str">
        <f>IFERROR(__xludf.DUMMYFUNCTION("""COMPUTED_VALUE"""),"https://www.munzee.com/m/Jasper95/1511/")</f>
        <v>https://www.munzee.com/m/Jasper95/1511/</v>
      </c>
      <c r="D759" s="47"/>
      <c r="E759" s="47" t="b">
        <f>IFERROR(__xludf.DUMMYFUNCTION("""COMPUTED_VALUE"""),TRUE)</f>
        <v>1</v>
      </c>
      <c r="F759" s="47"/>
      <c r="G759" s="47" t="str">
        <f>IFERROR(__xludf.DUMMYFUNCTION("""COMPUTED_VALUE"""),"")</f>
        <v/>
      </c>
      <c r="H759" s="47"/>
      <c r="I759" s="47">
        <f>IFERROR(__xludf.DUMMYFUNCTION("""COMPUTED_VALUE"""),2.0)</f>
        <v>2</v>
      </c>
      <c r="J759" s="47" t="str">
        <f>IFERROR(__xludf.DUMMYFUNCTION("""COMPUTED_VALUE"""),"https:")</f>
        <v>https:</v>
      </c>
      <c r="K759" s="78" t="str">
        <f>IFERROR(__xludf.DUMMYFUNCTION("""COMPUTED_VALUE"""),"www.munzee.com")</f>
        <v>www.munzee.com</v>
      </c>
      <c r="L759" s="47" t="str">
        <f>IFERROR(__xludf.DUMMYFUNCTION("""COMPUTED_VALUE"""),"m")</f>
        <v>m</v>
      </c>
      <c r="M759" s="47" t="str">
        <f>IFERROR(__xludf.DUMMYFUNCTION("""COMPUTED_VALUE"""),"Jasper95")</f>
        <v>Jasper95</v>
      </c>
    </row>
    <row r="760">
      <c r="A760" s="47" t="str">
        <f>IFERROR(__xludf.DUMMYFUNCTION("""COMPUTED_VALUE"""),"Virtual Brown")</f>
        <v>Virtual Brown</v>
      </c>
      <c r="B760" s="47" t="str">
        <f>IFERROR(__xludf.DUMMYFUNCTION("""COMPUTED_VALUE"""),"ArtofEco")</f>
        <v>ArtofEco</v>
      </c>
      <c r="C760" s="78" t="str">
        <f>IFERROR(__xludf.DUMMYFUNCTION("""COMPUTED_VALUE"""),"https://www.munzee.com/m/ArtofEco/3154/")</f>
        <v>https://www.munzee.com/m/ArtofEco/3154/</v>
      </c>
      <c r="D760" s="47"/>
      <c r="E760" s="47" t="b">
        <f>IFERROR(__xludf.DUMMYFUNCTION("""COMPUTED_VALUE"""),TRUE)</f>
        <v>1</v>
      </c>
      <c r="F760" s="47"/>
      <c r="G760" s="47" t="str">
        <f>IFERROR(__xludf.DUMMYFUNCTION("""COMPUTED_VALUE"""),"")</f>
        <v/>
      </c>
      <c r="H760" s="47"/>
      <c r="I760" s="47">
        <f>IFERROR(__xludf.DUMMYFUNCTION("""COMPUTED_VALUE"""),2.0)</f>
        <v>2</v>
      </c>
      <c r="J760" s="47" t="str">
        <f>IFERROR(__xludf.DUMMYFUNCTION("""COMPUTED_VALUE"""),"https:")</f>
        <v>https:</v>
      </c>
      <c r="K760" s="78" t="str">
        <f>IFERROR(__xludf.DUMMYFUNCTION("""COMPUTED_VALUE"""),"www.munzee.com")</f>
        <v>www.munzee.com</v>
      </c>
      <c r="L760" s="47" t="str">
        <f>IFERROR(__xludf.DUMMYFUNCTION("""COMPUTED_VALUE"""),"m")</f>
        <v>m</v>
      </c>
      <c r="M760" s="47" t="str">
        <f>IFERROR(__xludf.DUMMYFUNCTION("""COMPUTED_VALUE"""),"ArtofEco")</f>
        <v>ArtofEco</v>
      </c>
    </row>
    <row r="761">
      <c r="A761" s="47" t="str">
        <f>IFERROR(__xludf.DUMMYFUNCTION("""COMPUTED_VALUE"""),"Virtual Brown")</f>
        <v>Virtual Brown</v>
      </c>
      <c r="B761" s="47" t="str">
        <f>IFERROR(__xludf.DUMMYFUNCTION("""COMPUTED_VALUE"""),"BrotherWilliam")</f>
        <v>BrotherWilliam</v>
      </c>
      <c r="C761" s="78" t="str">
        <f>IFERROR(__xludf.DUMMYFUNCTION("""COMPUTED_VALUE"""),"https://www.munzee.com/m/BrotherWilliam/4459/")</f>
        <v>https://www.munzee.com/m/BrotherWilliam/4459/</v>
      </c>
      <c r="D761" s="47"/>
      <c r="E761" s="47" t="b">
        <f>IFERROR(__xludf.DUMMYFUNCTION("""COMPUTED_VALUE"""),TRUE)</f>
        <v>1</v>
      </c>
      <c r="F761" s="47"/>
      <c r="G761" s="47" t="str">
        <f>IFERROR(__xludf.DUMMYFUNCTION("""COMPUTED_VALUE"""),"")</f>
        <v/>
      </c>
      <c r="H761" s="47"/>
      <c r="I761" s="47">
        <f>IFERROR(__xludf.DUMMYFUNCTION("""COMPUTED_VALUE"""),2.0)</f>
        <v>2</v>
      </c>
      <c r="J761" s="47" t="str">
        <f>IFERROR(__xludf.DUMMYFUNCTION("""COMPUTED_VALUE"""),"https:")</f>
        <v>https:</v>
      </c>
      <c r="K761" s="78" t="str">
        <f>IFERROR(__xludf.DUMMYFUNCTION("""COMPUTED_VALUE"""),"www.munzee.com")</f>
        <v>www.munzee.com</v>
      </c>
      <c r="L761" s="47" t="str">
        <f>IFERROR(__xludf.DUMMYFUNCTION("""COMPUTED_VALUE"""),"m")</f>
        <v>m</v>
      </c>
      <c r="M761" s="47" t="str">
        <f>IFERROR(__xludf.DUMMYFUNCTION("""COMPUTED_VALUE"""),"BrotherWilliam")</f>
        <v>BrotherWilliam</v>
      </c>
    </row>
    <row r="762">
      <c r="A762" s="47" t="str">
        <f>IFERROR(__xludf.DUMMYFUNCTION("""COMPUTED_VALUE"""),"Virtual Brown")</f>
        <v>Virtual Brown</v>
      </c>
      <c r="B762" s="47" t="str">
        <f>IFERROR(__xludf.DUMMYFUNCTION("""COMPUTED_VALUE"""),"lupo6")</f>
        <v>lupo6</v>
      </c>
      <c r="C762" s="78" t="str">
        <f>IFERROR(__xludf.DUMMYFUNCTION("""COMPUTED_VALUE"""),"https://www.munzee.com/m/lupo6/7018")</f>
        <v>https://www.munzee.com/m/lupo6/7018</v>
      </c>
      <c r="D762" s="47"/>
      <c r="E762" s="47" t="b">
        <f>IFERROR(__xludf.DUMMYFUNCTION("""COMPUTED_VALUE"""),TRUE)</f>
        <v>1</v>
      </c>
      <c r="F762" s="47"/>
      <c r="G762" s="47"/>
      <c r="H762" s="47"/>
      <c r="I762" s="47"/>
      <c r="J762" s="47"/>
      <c r="K762" s="47"/>
      <c r="L762" s="47"/>
      <c r="M762" s="47"/>
    </row>
    <row r="763">
      <c r="A763" s="47" t="str">
        <f>IFERROR(__xludf.DUMMYFUNCTION("""COMPUTED_VALUE"""),"Virtual Brown")</f>
        <v>Virtual Brown</v>
      </c>
      <c r="B763" s="47" t="str">
        <f>IFERROR(__xludf.DUMMYFUNCTION("""COMPUTED_VALUE"""),"Bisquick2")</f>
        <v>Bisquick2</v>
      </c>
      <c r="C763" s="78" t="str">
        <f>IFERROR(__xludf.DUMMYFUNCTION("""COMPUTED_VALUE"""),"https://www.munzee.com/m/Bisquick2/4565/")</f>
        <v>https://www.munzee.com/m/Bisquick2/4565/</v>
      </c>
      <c r="D763" s="47"/>
      <c r="E763" s="47" t="b">
        <f>IFERROR(__xludf.DUMMYFUNCTION("""COMPUTED_VALUE"""),TRUE)</f>
        <v>1</v>
      </c>
      <c r="F763" s="47"/>
      <c r="G763" s="47" t="str">
        <f>IFERROR(__xludf.DUMMYFUNCTION("""COMPUTED_VALUE"""),"")</f>
        <v/>
      </c>
      <c r="H763" s="47"/>
      <c r="I763" s="47">
        <f>IFERROR(__xludf.DUMMYFUNCTION("""COMPUTED_VALUE"""),2.0)</f>
        <v>2</v>
      </c>
      <c r="J763" s="47" t="str">
        <f>IFERROR(__xludf.DUMMYFUNCTION("""COMPUTED_VALUE"""),"https:")</f>
        <v>https:</v>
      </c>
      <c r="K763" s="78" t="str">
        <f>IFERROR(__xludf.DUMMYFUNCTION("""COMPUTED_VALUE"""),"www.munzee.com")</f>
        <v>www.munzee.com</v>
      </c>
      <c r="L763" s="47" t="str">
        <f>IFERROR(__xludf.DUMMYFUNCTION("""COMPUTED_VALUE"""),"m")</f>
        <v>m</v>
      </c>
      <c r="M763" s="47" t="str">
        <f>IFERROR(__xludf.DUMMYFUNCTION("""COMPUTED_VALUE"""),"Bisquick2")</f>
        <v>Bisquick2</v>
      </c>
    </row>
    <row r="764">
      <c r="A764" s="47" t="str">
        <f>IFERROR(__xludf.DUMMYFUNCTION("""COMPUTED_VALUE"""),"Virtual Brown")</f>
        <v>Virtual Brown</v>
      </c>
      <c r="B764" s="47" t="str">
        <f>IFERROR(__xludf.DUMMYFUNCTION("""COMPUTED_VALUE"""),"WiseOldWizard")</f>
        <v>WiseOldWizard</v>
      </c>
      <c r="C764" s="78" t="str">
        <f>IFERROR(__xludf.DUMMYFUNCTION("""COMPUTED_VALUE"""),"https://www.munzee.com/m/WiseOldWizard/4337/")</f>
        <v>https://www.munzee.com/m/WiseOldWizard/4337/</v>
      </c>
      <c r="D764" s="47"/>
      <c r="E764" s="47" t="b">
        <f>IFERROR(__xludf.DUMMYFUNCTION("""COMPUTED_VALUE"""),TRUE)</f>
        <v>1</v>
      </c>
      <c r="F764" s="47" t="str">
        <f>IFERROR(__xludf.DUMMYFUNCTION("""COMPUTED_VALUE"""),"")</f>
        <v/>
      </c>
      <c r="G764" s="47" t="str">
        <f>IFERROR(__xludf.DUMMYFUNCTION("""COMPUTED_VALUE"""),"")</f>
        <v/>
      </c>
      <c r="H764" s="47"/>
      <c r="I764" s="47">
        <f>IFERROR(__xludf.DUMMYFUNCTION("""COMPUTED_VALUE"""),2.0)</f>
        <v>2</v>
      </c>
      <c r="J764" s="47" t="str">
        <f>IFERROR(__xludf.DUMMYFUNCTION("""COMPUTED_VALUE"""),"https:")</f>
        <v>https:</v>
      </c>
      <c r="K764" s="78" t="str">
        <f>IFERROR(__xludf.DUMMYFUNCTION("""COMPUTED_VALUE"""),"www.munzee.com")</f>
        <v>www.munzee.com</v>
      </c>
      <c r="L764" s="47" t="str">
        <f>IFERROR(__xludf.DUMMYFUNCTION("""COMPUTED_VALUE"""),"m")</f>
        <v>m</v>
      </c>
      <c r="M764" s="47" t="str">
        <f>IFERROR(__xludf.DUMMYFUNCTION("""COMPUTED_VALUE"""),"WiseOldWizard")</f>
        <v>WiseOldWizard</v>
      </c>
    </row>
    <row r="765">
      <c r="A765" s="47" t="str">
        <f>IFERROR(__xludf.DUMMYFUNCTION("""COMPUTED_VALUE"""),"Virtual Raw Sienna")</f>
        <v>Virtual Raw Sienna</v>
      </c>
      <c r="B765" s="47" t="str">
        <f>IFERROR(__xludf.DUMMYFUNCTION("""COMPUTED_VALUE"""),"Wangotango")</f>
        <v>Wangotango</v>
      </c>
      <c r="C765" s="78" t="str">
        <f>IFERROR(__xludf.DUMMYFUNCTION("""COMPUTED_VALUE"""),"https://www.munzee.com/m/Wangotango/1554")</f>
        <v>https://www.munzee.com/m/Wangotango/1554</v>
      </c>
      <c r="D765" s="47"/>
      <c r="E765" s="47" t="b">
        <f>IFERROR(__xludf.DUMMYFUNCTION("""COMPUTED_VALUE"""),TRUE)</f>
        <v>1</v>
      </c>
      <c r="F765" s="47" t="str">
        <f>IFERROR(__xludf.DUMMYFUNCTION("""COMPUTED_VALUE"""),"")</f>
        <v/>
      </c>
      <c r="G765" s="47" t="str">
        <f>IFERROR(__xludf.DUMMYFUNCTION("""COMPUTED_VALUE"""),"")</f>
        <v/>
      </c>
      <c r="H765" s="47"/>
      <c r="I765" s="47">
        <f>IFERROR(__xludf.DUMMYFUNCTION("""COMPUTED_VALUE"""),2.0)</f>
        <v>2</v>
      </c>
      <c r="J765" s="47" t="str">
        <f>IFERROR(__xludf.DUMMYFUNCTION("""COMPUTED_VALUE"""),"https:")</f>
        <v>https:</v>
      </c>
      <c r="K765" s="78" t="str">
        <f>IFERROR(__xludf.DUMMYFUNCTION("""COMPUTED_VALUE"""),"www.munzee.com")</f>
        <v>www.munzee.com</v>
      </c>
      <c r="L765" s="47" t="str">
        <f>IFERROR(__xludf.DUMMYFUNCTION("""COMPUTED_VALUE"""),"m")</f>
        <v>m</v>
      </c>
      <c r="M765" s="47" t="str">
        <f>IFERROR(__xludf.DUMMYFUNCTION("""COMPUTED_VALUE"""),"Wangotango")</f>
        <v>Wangotango</v>
      </c>
    </row>
    <row r="766">
      <c r="A766" s="47" t="str">
        <f>IFERROR(__xludf.DUMMYFUNCTION("""COMPUTED_VALUE"""),"Virtual Brown")</f>
        <v>Virtual Brown</v>
      </c>
      <c r="B766" s="47" t="str">
        <f>IFERROR(__xludf.DUMMYFUNCTION("""COMPUTED_VALUE"""),"fsafranek")</f>
        <v>fsafranek</v>
      </c>
      <c r="C766" s="78" t="str">
        <f>IFERROR(__xludf.DUMMYFUNCTION("""COMPUTED_VALUE"""),"https://www.munzee.com/m/fsafranek/4756/")</f>
        <v>https://www.munzee.com/m/fsafranek/4756/</v>
      </c>
      <c r="D766" s="47"/>
      <c r="E766" s="47" t="b">
        <f>IFERROR(__xludf.DUMMYFUNCTION("""COMPUTED_VALUE"""),TRUE)</f>
        <v>1</v>
      </c>
      <c r="F766" s="47" t="str">
        <f>IFERROR(__xludf.DUMMYFUNCTION("""COMPUTED_VALUE"""),"")</f>
        <v/>
      </c>
      <c r="G766" s="47" t="str">
        <f>IFERROR(__xludf.DUMMYFUNCTION("""COMPUTED_VALUE"""),"")</f>
        <v/>
      </c>
      <c r="H766" s="47"/>
      <c r="I766" s="47">
        <f>IFERROR(__xludf.DUMMYFUNCTION("""COMPUTED_VALUE"""),2.0)</f>
        <v>2</v>
      </c>
      <c r="J766" s="47" t="str">
        <f>IFERROR(__xludf.DUMMYFUNCTION("""COMPUTED_VALUE"""),"https:")</f>
        <v>https:</v>
      </c>
      <c r="K766" s="78" t="str">
        <f>IFERROR(__xludf.DUMMYFUNCTION("""COMPUTED_VALUE"""),"www.munzee.com")</f>
        <v>www.munzee.com</v>
      </c>
      <c r="L766" s="47" t="str">
        <f>IFERROR(__xludf.DUMMYFUNCTION("""COMPUTED_VALUE"""),"m")</f>
        <v>m</v>
      </c>
      <c r="M766" s="47" t="str">
        <f>IFERROR(__xludf.DUMMYFUNCTION("""COMPUTED_VALUE"""),"fsafranek")</f>
        <v>fsafranek</v>
      </c>
    </row>
    <row r="767">
      <c r="A767" s="47" t="str">
        <f>IFERROR(__xludf.DUMMYFUNCTION("""COMPUTED_VALUE"""),"Virtual Brown")</f>
        <v>Virtual Brown</v>
      </c>
      <c r="B767" s="47" t="str">
        <f>IFERROR(__xludf.DUMMYFUNCTION("""COMPUTED_VALUE"""),"cbf600")</f>
        <v>cbf600</v>
      </c>
      <c r="C767" s="78" t="str">
        <f>IFERROR(__xludf.DUMMYFUNCTION("""COMPUTED_VALUE"""),"https://www.munzee.com/m/cbf600/2747/")</f>
        <v>https://www.munzee.com/m/cbf600/2747/</v>
      </c>
      <c r="D767" s="47"/>
      <c r="E767" s="47" t="b">
        <f>IFERROR(__xludf.DUMMYFUNCTION("""COMPUTED_VALUE"""),TRUE)</f>
        <v>1</v>
      </c>
      <c r="F767" s="47" t="str">
        <f>IFERROR(__xludf.DUMMYFUNCTION("""COMPUTED_VALUE"""),"")</f>
        <v/>
      </c>
      <c r="G767" s="47" t="str">
        <f>IFERROR(__xludf.DUMMYFUNCTION("""COMPUTED_VALUE"""),"")</f>
        <v/>
      </c>
      <c r="H767" s="47"/>
      <c r="I767" s="47">
        <f>IFERROR(__xludf.DUMMYFUNCTION("""COMPUTED_VALUE"""),2.0)</f>
        <v>2</v>
      </c>
      <c r="J767" s="47" t="str">
        <f>IFERROR(__xludf.DUMMYFUNCTION("""COMPUTED_VALUE"""),"https:")</f>
        <v>https:</v>
      </c>
      <c r="K767" s="78" t="str">
        <f>IFERROR(__xludf.DUMMYFUNCTION("""COMPUTED_VALUE"""),"www.munzee.com")</f>
        <v>www.munzee.com</v>
      </c>
      <c r="L767" s="47" t="str">
        <f>IFERROR(__xludf.DUMMYFUNCTION("""COMPUTED_VALUE"""),"m")</f>
        <v>m</v>
      </c>
      <c r="M767" s="47" t="str">
        <f>IFERROR(__xludf.DUMMYFUNCTION("""COMPUTED_VALUE"""),"cbf600")</f>
        <v>cbf600</v>
      </c>
    </row>
    <row r="768">
      <c r="A768" s="47" t="str">
        <f>IFERROR(__xludf.DUMMYFUNCTION("""COMPUTED_VALUE"""),"Virtual Raw Sienna")</f>
        <v>Virtual Raw Sienna</v>
      </c>
      <c r="B768" s="47" t="str">
        <f>IFERROR(__xludf.DUMMYFUNCTION("""COMPUTED_VALUE"""),"TheFatCats")</f>
        <v>TheFatCats</v>
      </c>
      <c r="C768" s="78" t="str">
        <f>IFERROR(__xludf.DUMMYFUNCTION("""COMPUTED_VALUE"""),"https://www.munzee.com/m/TheFatCats/4266/")</f>
        <v>https://www.munzee.com/m/TheFatCats/4266/</v>
      </c>
      <c r="D768" s="47"/>
      <c r="E768" s="47" t="b">
        <f>IFERROR(__xludf.DUMMYFUNCTION("""COMPUTED_VALUE"""),TRUE)</f>
        <v>1</v>
      </c>
      <c r="F768" s="47" t="str">
        <f>IFERROR(__xludf.DUMMYFUNCTION("""COMPUTED_VALUE"""),"")</f>
        <v/>
      </c>
      <c r="G768" s="47" t="str">
        <f>IFERROR(__xludf.DUMMYFUNCTION("""COMPUTED_VALUE"""),"")</f>
        <v/>
      </c>
      <c r="H768" s="47"/>
      <c r="I768" s="47">
        <f>IFERROR(__xludf.DUMMYFUNCTION("""COMPUTED_VALUE"""),2.0)</f>
        <v>2</v>
      </c>
      <c r="J768" s="47" t="str">
        <f>IFERROR(__xludf.DUMMYFUNCTION("""COMPUTED_VALUE"""),"https:")</f>
        <v>https:</v>
      </c>
      <c r="K768" s="78" t="str">
        <f>IFERROR(__xludf.DUMMYFUNCTION("""COMPUTED_VALUE"""),"www.munzee.com")</f>
        <v>www.munzee.com</v>
      </c>
      <c r="L768" s="47" t="str">
        <f>IFERROR(__xludf.DUMMYFUNCTION("""COMPUTED_VALUE"""),"m")</f>
        <v>m</v>
      </c>
      <c r="M768" s="47" t="str">
        <f>IFERROR(__xludf.DUMMYFUNCTION("""COMPUTED_VALUE"""),"TheFatCats")</f>
        <v>TheFatCats</v>
      </c>
    </row>
    <row r="769">
      <c r="A769" s="47" t="str">
        <f>IFERROR(__xludf.DUMMYFUNCTION("""COMPUTED_VALUE"""),"Virtual Brown")</f>
        <v>Virtual Brown</v>
      </c>
      <c r="B769" s="47" t="str">
        <f>IFERROR(__xludf.DUMMYFUNCTION("""COMPUTED_VALUE"""),"TheFrog")</f>
        <v>TheFrog</v>
      </c>
      <c r="C769" s="78" t="str">
        <f>IFERROR(__xludf.DUMMYFUNCTION("""COMPUTED_VALUE"""),"https://www.munzee.com/m/TheFrog/4634/")</f>
        <v>https://www.munzee.com/m/TheFrog/4634/</v>
      </c>
      <c r="D769" s="47"/>
      <c r="E769" s="47" t="b">
        <f>IFERROR(__xludf.DUMMYFUNCTION("""COMPUTED_VALUE"""),TRUE)</f>
        <v>1</v>
      </c>
      <c r="F769" s="47" t="str">
        <f>IFERROR(__xludf.DUMMYFUNCTION("""COMPUTED_VALUE"""),"")</f>
        <v/>
      </c>
      <c r="G769" s="47" t="str">
        <f>IFERROR(__xludf.DUMMYFUNCTION("""COMPUTED_VALUE"""),"")</f>
        <v/>
      </c>
      <c r="H769" s="47"/>
      <c r="I769" s="47">
        <f>IFERROR(__xludf.DUMMYFUNCTION("""COMPUTED_VALUE"""),2.0)</f>
        <v>2</v>
      </c>
      <c r="J769" s="47" t="str">
        <f>IFERROR(__xludf.DUMMYFUNCTION("""COMPUTED_VALUE"""),"https:")</f>
        <v>https:</v>
      </c>
      <c r="K769" s="78" t="str">
        <f>IFERROR(__xludf.DUMMYFUNCTION("""COMPUTED_VALUE"""),"www.munzee.com")</f>
        <v>www.munzee.com</v>
      </c>
      <c r="L769" s="47" t="str">
        <f>IFERROR(__xludf.DUMMYFUNCTION("""COMPUTED_VALUE"""),"m")</f>
        <v>m</v>
      </c>
      <c r="M769" s="47" t="str">
        <f>IFERROR(__xludf.DUMMYFUNCTION("""COMPUTED_VALUE"""),"TheFrog")</f>
        <v>TheFrog</v>
      </c>
    </row>
    <row r="770">
      <c r="A770" s="47" t="str">
        <f>IFERROR(__xludf.DUMMYFUNCTION("""COMPUTED_VALUE"""),"Virtual Brown")</f>
        <v>Virtual Brown</v>
      </c>
      <c r="B770" s="47" t="str">
        <f>IFERROR(__xludf.DUMMYFUNCTION("""COMPUTED_VALUE"""),"123xilef")</f>
        <v>123xilef</v>
      </c>
      <c r="C770" s="78" t="str">
        <f>IFERROR(__xludf.DUMMYFUNCTION("""COMPUTED_VALUE"""),"https://www.munzee.com/m/123xilef/7858/")</f>
        <v>https://www.munzee.com/m/123xilef/7858/</v>
      </c>
      <c r="D770" s="47"/>
      <c r="E770" s="47" t="b">
        <f>IFERROR(__xludf.DUMMYFUNCTION("""COMPUTED_VALUE"""),TRUE)</f>
        <v>1</v>
      </c>
      <c r="F770" s="47" t="str">
        <f>IFERROR(__xludf.DUMMYFUNCTION("""COMPUTED_VALUE"""),"")</f>
        <v/>
      </c>
      <c r="G770" s="47" t="str">
        <f>IFERROR(__xludf.DUMMYFUNCTION("""COMPUTED_VALUE"""),"")</f>
        <v/>
      </c>
      <c r="H770" s="47"/>
      <c r="I770" s="47">
        <f>IFERROR(__xludf.DUMMYFUNCTION("""COMPUTED_VALUE"""),2.0)</f>
        <v>2</v>
      </c>
      <c r="J770" s="47" t="str">
        <f>IFERROR(__xludf.DUMMYFUNCTION("""COMPUTED_VALUE"""),"https:")</f>
        <v>https:</v>
      </c>
      <c r="K770" s="78" t="str">
        <f>IFERROR(__xludf.DUMMYFUNCTION("""COMPUTED_VALUE"""),"www.munzee.com")</f>
        <v>www.munzee.com</v>
      </c>
      <c r="L770" s="47" t="str">
        <f>IFERROR(__xludf.DUMMYFUNCTION("""COMPUTED_VALUE"""),"m")</f>
        <v>m</v>
      </c>
      <c r="M770" s="47" t="str">
        <f>IFERROR(__xludf.DUMMYFUNCTION("""COMPUTED_VALUE"""),"123xilef")</f>
        <v>123xilef</v>
      </c>
    </row>
    <row r="771">
      <c r="A771" s="47" t="str">
        <f>IFERROR(__xludf.DUMMYFUNCTION("""COMPUTED_VALUE"""),"Virtual Raw Sienna")</f>
        <v>Virtual Raw Sienna</v>
      </c>
      <c r="B771" s="47" t="str">
        <f>IFERROR(__xludf.DUMMYFUNCTION("""COMPUTED_VALUE"""),"TheFatCats")</f>
        <v>TheFatCats</v>
      </c>
      <c r="C771" s="78" t="str">
        <f>IFERROR(__xludf.DUMMYFUNCTION("""COMPUTED_VALUE"""),"https://www.munzee.com/m/TheFatCats/4272/")</f>
        <v>https://www.munzee.com/m/TheFatCats/4272/</v>
      </c>
      <c r="D771" s="47"/>
      <c r="E771" s="47" t="b">
        <f>IFERROR(__xludf.DUMMYFUNCTION("""COMPUTED_VALUE"""),TRUE)</f>
        <v>1</v>
      </c>
      <c r="F771" s="47" t="str">
        <f>IFERROR(__xludf.DUMMYFUNCTION("""COMPUTED_VALUE"""),"")</f>
        <v/>
      </c>
      <c r="G771" s="47" t="str">
        <f>IFERROR(__xludf.DUMMYFUNCTION("""COMPUTED_VALUE"""),"")</f>
        <v/>
      </c>
      <c r="H771" s="47"/>
      <c r="I771" s="47">
        <f>IFERROR(__xludf.DUMMYFUNCTION("""COMPUTED_VALUE"""),2.0)</f>
        <v>2</v>
      </c>
      <c r="J771" s="47" t="str">
        <f>IFERROR(__xludf.DUMMYFUNCTION("""COMPUTED_VALUE"""),"https:")</f>
        <v>https:</v>
      </c>
      <c r="K771" s="78" t="str">
        <f>IFERROR(__xludf.DUMMYFUNCTION("""COMPUTED_VALUE"""),"www.munzee.com")</f>
        <v>www.munzee.com</v>
      </c>
      <c r="L771" s="47" t="str">
        <f>IFERROR(__xludf.DUMMYFUNCTION("""COMPUTED_VALUE"""),"m")</f>
        <v>m</v>
      </c>
      <c r="M771" s="47" t="str">
        <f>IFERROR(__xludf.DUMMYFUNCTION("""COMPUTED_VALUE"""),"TheFatCats")</f>
        <v>TheFatCats</v>
      </c>
    </row>
    <row r="772">
      <c r="A772" s="47" t="str">
        <f>IFERROR(__xludf.DUMMYFUNCTION("""COMPUTED_VALUE"""),"Virtual Brown")</f>
        <v>Virtual Brown</v>
      </c>
      <c r="B772" s="47" t="str">
        <f>IFERROR(__xludf.DUMMYFUNCTION("""COMPUTED_VALUE"""),"FlatBlack")</f>
        <v>FlatBlack</v>
      </c>
      <c r="C772" s="78" t="str">
        <f>IFERROR(__xludf.DUMMYFUNCTION("""COMPUTED_VALUE"""),"https://www.munzee.com/m/FlatBlack/972/")</f>
        <v>https://www.munzee.com/m/FlatBlack/972/</v>
      </c>
      <c r="D772" s="47"/>
      <c r="E772" s="47" t="b">
        <f>IFERROR(__xludf.DUMMYFUNCTION("""COMPUTED_VALUE"""),TRUE)</f>
        <v>1</v>
      </c>
      <c r="F772" s="47" t="str">
        <f>IFERROR(__xludf.DUMMYFUNCTION("""COMPUTED_VALUE"""),"")</f>
        <v/>
      </c>
      <c r="G772" s="47" t="str">
        <f>IFERROR(__xludf.DUMMYFUNCTION("""COMPUTED_VALUE"""),"")</f>
        <v/>
      </c>
      <c r="H772" s="47"/>
      <c r="I772" s="47">
        <f>IFERROR(__xludf.DUMMYFUNCTION("""COMPUTED_VALUE"""),2.0)</f>
        <v>2</v>
      </c>
      <c r="J772" s="47" t="str">
        <f>IFERROR(__xludf.DUMMYFUNCTION("""COMPUTED_VALUE"""),"https:")</f>
        <v>https:</v>
      </c>
      <c r="K772" s="78" t="str">
        <f>IFERROR(__xludf.DUMMYFUNCTION("""COMPUTED_VALUE"""),"www.munzee.com")</f>
        <v>www.munzee.com</v>
      </c>
      <c r="L772" s="47" t="str">
        <f>IFERROR(__xludf.DUMMYFUNCTION("""COMPUTED_VALUE"""),"m")</f>
        <v>m</v>
      </c>
      <c r="M772" s="47" t="str">
        <f>IFERROR(__xludf.DUMMYFUNCTION("""COMPUTED_VALUE"""),"FlatBlack")</f>
        <v>FlatBlack</v>
      </c>
    </row>
    <row r="773">
      <c r="A773" s="47" t="str">
        <f>IFERROR(__xludf.DUMMYFUNCTION("""COMPUTED_VALUE"""),"Virtual Brown")</f>
        <v>Virtual Brown</v>
      </c>
      <c r="B773" s="47" t="str">
        <f>IFERROR(__xludf.DUMMYFUNCTION("""COMPUTED_VALUE"""),"wally62")</f>
        <v>wally62</v>
      </c>
      <c r="C773" s="78" t="str">
        <f>IFERROR(__xludf.DUMMYFUNCTION("""COMPUTED_VALUE"""),"https://www.munzee.com/m/wally62/4878/")</f>
        <v>https://www.munzee.com/m/wally62/4878/</v>
      </c>
      <c r="D773" s="47"/>
      <c r="E773" s="47" t="b">
        <f>IFERROR(__xludf.DUMMYFUNCTION("""COMPUTED_VALUE"""),TRUE)</f>
        <v>1</v>
      </c>
      <c r="F773" s="47" t="str">
        <f>IFERROR(__xludf.DUMMYFUNCTION("""COMPUTED_VALUE"""),"")</f>
        <v/>
      </c>
      <c r="G773" s="47" t="str">
        <f>IFERROR(__xludf.DUMMYFUNCTION("""COMPUTED_VALUE"""),"")</f>
        <v/>
      </c>
      <c r="H773" s="47"/>
      <c r="I773" s="47">
        <f>IFERROR(__xludf.DUMMYFUNCTION("""COMPUTED_VALUE"""),2.0)</f>
        <v>2</v>
      </c>
      <c r="J773" s="47" t="str">
        <f>IFERROR(__xludf.DUMMYFUNCTION("""COMPUTED_VALUE"""),"https:")</f>
        <v>https:</v>
      </c>
      <c r="K773" s="78" t="str">
        <f>IFERROR(__xludf.DUMMYFUNCTION("""COMPUTED_VALUE"""),"www.munzee.com")</f>
        <v>www.munzee.com</v>
      </c>
      <c r="L773" s="47" t="str">
        <f>IFERROR(__xludf.DUMMYFUNCTION("""COMPUTED_VALUE"""),"m")</f>
        <v>m</v>
      </c>
      <c r="M773" s="47" t="str">
        <f>IFERROR(__xludf.DUMMYFUNCTION("""COMPUTED_VALUE"""),"wally62")</f>
        <v>wally62</v>
      </c>
    </row>
    <row r="774">
      <c r="A774" s="47" t="str">
        <f>IFERROR(__xludf.DUMMYFUNCTION("""COMPUTED_VALUE"""),"Virtual Brown")</f>
        <v>Virtual Brown</v>
      </c>
      <c r="B774" s="47" t="str">
        <f>IFERROR(__xludf.DUMMYFUNCTION("""COMPUTED_VALUE"""),"res2100")</f>
        <v>res2100</v>
      </c>
      <c r="C774" s="78" t="str">
        <f>IFERROR(__xludf.DUMMYFUNCTION("""COMPUTED_VALUE"""),"https://www.munzee.com/m/res2100/807")</f>
        <v>https://www.munzee.com/m/res2100/807</v>
      </c>
      <c r="D774" s="47"/>
      <c r="E774" s="47" t="b">
        <f>IFERROR(__xludf.DUMMYFUNCTION("""COMPUTED_VALUE"""),TRUE)</f>
        <v>1</v>
      </c>
      <c r="F774" s="47" t="str">
        <f>IFERROR(__xludf.DUMMYFUNCTION("""COMPUTED_VALUE"""),"")</f>
        <v/>
      </c>
      <c r="G774" s="47" t="str">
        <f>IFERROR(__xludf.DUMMYFUNCTION("""COMPUTED_VALUE"""),"")</f>
        <v/>
      </c>
      <c r="H774" s="47"/>
      <c r="I774" s="47">
        <f>IFERROR(__xludf.DUMMYFUNCTION("""COMPUTED_VALUE"""),2.0)</f>
        <v>2</v>
      </c>
      <c r="J774" s="47" t="str">
        <f>IFERROR(__xludf.DUMMYFUNCTION("""COMPUTED_VALUE"""),"https:")</f>
        <v>https:</v>
      </c>
      <c r="K774" s="78" t="str">
        <f>IFERROR(__xludf.DUMMYFUNCTION("""COMPUTED_VALUE"""),"www.munzee.com")</f>
        <v>www.munzee.com</v>
      </c>
      <c r="L774" s="47" t="str">
        <f>IFERROR(__xludf.DUMMYFUNCTION("""COMPUTED_VALUE"""),"m")</f>
        <v>m</v>
      </c>
      <c r="M774" s="47" t="str">
        <f>IFERROR(__xludf.DUMMYFUNCTION("""COMPUTED_VALUE"""),"res2100")</f>
        <v>res2100</v>
      </c>
    </row>
    <row r="775">
      <c r="A775" s="47" t="str">
        <f>IFERROR(__xludf.DUMMYFUNCTION("""COMPUTED_VALUE"""),"Virtual Brown")</f>
        <v>Virtual Brown</v>
      </c>
      <c r="B775" s="47" t="str">
        <f>IFERROR(__xludf.DUMMYFUNCTION("""COMPUTED_VALUE"""),"Ellesche")</f>
        <v>Ellesche</v>
      </c>
      <c r="C775" s="78" t="str">
        <f>IFERROR(__xludf.DUMMYFUNCTION("""COMPUTED_VALUE"""),"https://www.munzee.com/m/Ellesche/784")</f>
        <v>https://www.munzee.com/m/Ellesche/784</v>
      </c>
      <c r="D775" s="47"/>
      <c r="E775" s="47" t="b">
        <f>IFERROR(__xludf.DUMMYFUNCTION("""COMPUTED_VALUE"""),TRUE)</f>
        <v>1</v>
      </c>
      <c r="F775" s="47" t="str">
        <f>IFERROR(__xludf.DUMMYFUNCTION("""COMPUTED_VALUE"""),"")</f>
        <v/>
      </c>
      <c r="G775" s="47" t="str">
        <f>IFERROR(__xludf.DUMMYFUNCTION("""COMPUTED_VALUE"""),"")</f>
        <v/>
      </c>
      <c r="H775" s="47"/>
      <c r="I775" s="47">
        <f>IFERROR(__xludf.DUMMYFUNCTION("""COMPUTED_VALUE"""),2.0)</f>
        <v>2</v>
      </c>
      <c r="J775" s="47" t="str">
        <f>IFERROR(__xludf.DUMMYFUNCTION("""COMPUTED_VALUE"""),"https:")</f>
        <v>https:</v>
      </c>
      <c r="K775" s="78" t="str">
        <f>IFERROR(__xludf.DUMMYFUNCTION("""COMPUTED_VALUE"""),"www.munzee.com")</f>
        <v>www.munzee.com</v>
      </c>
      <c r="L775" s="47" t="str">
        <f>IFERROR(__xludf.DUMMYFUNCTION("""COMPUTED_VALUE"""),"m")</f>
        <v>m</v>
      </c>
      <c r="M775" s="47" t="str">
        <f>IFERROR(__xludf.DUMMYFUNCTION("""COMPUTED_VALUE"""),"Ellesche")</f>
        <v>Ellesche</v>
      </c>
    </row>
    <row r="776">
      <c r="A776" s="47" t="str">
        <f>IFERROR(__xludf.DUMMYFUNCTION("""COMPUTED_VALUE"""),"Virtual Brown")</f>
        <v>Virtual Brown</v>
      </c>
      <c r="B776" s="47" t="str">
        <f>IFERROR(__xludf.DUMMYFUNCTION("""COMPUTED_VALUE"""),"Amadoreugen")</f>
        <v>Amadoreugen</v>
      </c>
      <c r="C776" s="78" t="str">
        <f>IFERROR(__xludf.DUMMYFUNCTION("""COMPUTED_VALUE"""),"https://www.munzee.com/m/amadoreugen/6914")</f>
        <v>https://www.munzee.com/m/amadoreugen/6914</v>
      </c>
      <c r="D776" s="47"/>
      <c r="E776" s="47" t="b">
        <f>IFERROR(__xludf.DUMMYFUNCTION("""COMPUTED_VALUE"""),TRUE)</f>
        <v>1</v>
      </c>
      <c r="F776" s="47" t="str">
        <f>IFERROR(__xludf.DUMMYFUNCTION("""COMPUTED_VALUE"""),"")</f>
        <v/>
      </c>
      <c r="G776" s="47" t="str">
        <f>IFERROR(__xludf.DUMMYFUNCTION("""COMPUTED_VALUE"""),"")</f>
        <v/>
      </c>
      <c r="H776" s="47"/>
      <c r="I776" s="47">
        <f>IFERROR(__xludf.DUMMYFUNCTION("""COMPUTED_VALUE"""),2.0)</f>
        <v>2</v>
      </c>
      <c r="J776" s="47" t="str">
        <f>IFERROR(__xludf.DUMMYFUNCTION("""COMPUTED_VALUE"""),"https:")</f>
        <v>https:</v>
      </c>
      <c r="K776" s="78" t="str">
        <f>IFERROR(__xludf.DUMMYFUNCTION("""COMPUTED_VALUE"""),"www.munzee.com")</f>
        <v>www.munzee.com</v>
      </c>
      <c r="L776" s="47" t="str">
        <f>IFERROR(__xludf.DUMMYFUNCTION("""COMPUTED_VALUE"""),"m")</f>
        <v>m</v>
      </c>
      <c r="M776" s="47" t="str">
        <f>IFERROR(__xludf.DUMMYFUNCTION("""COMPUTED_VALUE"""),"amadoreugen")</f>
        <v>amadoreugen</v>
      </c>
    </row>
    <row r="777">
      <c r="A777" s="47" t="str">
        <f>IFERROR(__xludf.DUMMYFUNCTION("""COMPUTED_VALUE"""),"Virtual Brown")</f>
        <v>Virtual Brown</v>
      </c>
      <c r="B777" s="47" t="str">
        <f>IFERROR(__xludf.DUMMYFUNCTION("""COMPUTED_VALUE"""),"raunas")</f>
        <v>raunas</v>
      </c>
      <c r="C777" s="78" t="str">
        <f>IFERROR(__xludf.DUMMYFUNCTION("""COMPUTED_VALUE"""),"https://www.munzee.com/m/raunas/7126")</f>
        <v>https://www.munzee.com/m/raunas/7126</v>
      </c>
      <c r="D777" s="47"/>
      <c r="E777" s="47" t="b">
        <f>IFERROR(__xludf.DUMMYFUNCTION("""COMPUTED_VALUE"""),TRUE)</f>
        <v>1</v>
      </c>
      <c r="F777" s="47" t="str">
        <f>IFERROR(__xludf.DUMMYFUNCTION("""COMPUTED_VALUE"""),"")</f>
        <v/>
      </c>
      <c r="G777" s="47" t="str">
        <f>IFERROR(__xludf.DUMMYFUNCTION("""COMPUTED_VALUE"""),"")</f>
        <v/>
      </c>
      <c r="H777" s="47"/>
      <c r="I777" s="47">
        <f>IFERROR(__xludf.DUMMYFUNCTION("""COMPUTED_VALUE"""),2.0)</f>
        <v>2</v>
      </c>
      <c r="J777" s="47" t="str">
        <f>IFERROR(__xludf.DUMMYFUNCTION("""COMPUTED_VALUE"""),"https:")</f>
        <v>https:</v>
      </c>
      <c r="K777" s="78" t="str">
        <f>IFERROR(__xludf.DUMMYFUNCTION("""COMPUTED_VALUE"""),"www.munzee.com")</f>
        <v>www.munzee.com</v>
      </c>
      <c r="L777" s="47" t="str">
        <f>IFERROR(__xludf.DUMMYFUNCTION("""COMPUTED_VALUE"""),"m")</f>
        <v>m</v>
      </c>
      <c r="M777" s="47" t="str">
        <f>IFERROR(__xludf.DUMMYFUNCTION("""COMPUTED_VALUE"""),"raunas")</f>
        <v>raunas</v>
      </c>
    </row>
    <row r="778">
      <c r="A778" s="47" t="str">
        <f>IFERROR(__xludf.DUMMYFUNCTION("""COMPUTED_VALUE"""),"Virtual Raw Sienna")</f>
        <v>Virtual Raw Sienna</v>
      </c>
      <c r="B778" s="47" t="str">
        <f>IFERROR(__xludf.DUMMYFUNCTION("""COMPUTED_VALUE"""),"PcLocator")</f>
        <v>PcLocator</v>
      </c>
      <c r="C778" s="78" t="str">
        <f>IFERROR(__xludf.DUMMYFUNCTION("""COMPUTED_VALUE"""),"https://www.munzee.com/m/PcLocator/4188/")</f>
        <v>https://www.munzee.com/m/PcLocator/4188/</v>
      </c>
      <c r="D778" s="47"/>
      <c r="E778" s="47" t="b">
        <f>IFERROR(__xludf.DUMMYFUNCTION("""COMPUTED_VALUE"""),TRUE)</f>
        <v>1</v>
      </c>
      <c r="F778" s="47" t="str">
        <f>IFERROR(__xludf.DUMMYFUNCTION("""COMPUTED_VALUE"""),"")</f>
        <v/>
      </c>
      <c r="G778" s="47" t="str">
        <f>IFERROR(__xludf.DUMMYFUNCTION("""COMPUTED_VALUE"""),"")</f>
        <v/>
      </c>
      <c r="H778" s="47"/>
      <c r="I778" s="47">
        <f>IFERROR(__xludf.DUMMYFUNCTION("""COMPUTED_VALUE"""),2.0)</f>
        <v>2</v>
      </c>
      <c r="J778" s="47" t="str">
        <f>IFERROR(__xludf.DUMMYFUNCTION("""COMPUTED_VALUE"""),"https:")</f>
        <v>https:</v>
      </c>
      <c r="K778" s="78" t="str">
        <f>IFERROR(__xludf.DUMMYFUNCTION("""COMPUTED_VALUE"""),"www.munzee.com")</f>
        <v>www.munzee.com</v>
      </c>
      <c r="L778" s="47" t="str">
        <f>IFERROR(__xludf.DUMMYFUNCTION("""COMPUTED_VALUE"""),"m")</f>
        <v>m</v>
      </c>
      <c r="M778" s="47" t="str">
        <f>IFERROR(__xludf.DUMMYFUNCTION("""COMPUTED_VALUE"""),"PcLocator")</f>
        <v>PcLocator</v>
      </c>
    </row>
    <row r="779">
      <c r="A779" s="47" t="str">
        <f>IFERROR(__xludf.DUMMYFUNCTION("""COMPUTED_VALUE"""),"Virtual Raw Sienna")</f>
        <v>Virtual Raw Sienna</v>
      </c>
      <c r="B779" s="47" t="str">
        <f>IFERROR(__xludf.DUMMYFUNCTION("""COMPUTED_VALUE"""),"ddtsnorton")</f>
        <v>ddtsnorton</v>
      </c>
      <c r="C779" s="78" t="str">
        <f>IFERROR(__xludf.DUMMYFUNCTION("""COMPUTED_VALUE"""),"https://www.munzee.com/m/ddtsnorton/11375")</f>
        <v>https://www.munzee.com/m/ddtsnorton/11375</v>
      </c>
      <c r="D779" s="47"/>
      <c r="E779" s="47" t="b">
        <f>IFERROR(__xludf.DUMMYFUNCTION("""COMPUTED_VALUE"""),TRUE)</f>
        <v>1</v>
      </c>
      <c r="F779" s="47"/>
      <c r="G779" s="47" t="str">
        <f>IFERROR(__xludf.DUMMYFUNCTION("""COMPUTED_VALUE"""),"")</f>
        <v/>
      </c>
      <c r="H779" s="47"/>
      <c r="I779" s="47">
        <f>IFERROR(__xludf.DUMMYFUNCTION("""COMPUTED_VALUE"""),2.0)</f>
        <v>2</v>
      </c>
      <c r="J779" s="47" t="str">
        <f>IFERROR(__xludf.DUMMYFUNCTION("""COMPUTED_VALUE"""),"https:")</f>
        <v>https:</v>
      </c>
      <c r="K779" s="78" t="str">
        <f>IFERROR(__xludf.DUMMYFUNCTION("""COMPUTED_VALUE"""),"www.munzee.com")</f>
        <v>www.munzee.com</v>
      </c>
      <c r="L779" s="47" t="str">
        <f>IFERROR(__xludf.DUMMYFUNCTION("""COMPUTED_VALUE"""),"m")</f>
        <v>m</v>
      </c>
      <c r="M779" s="47" t="str">
        <f>IFERROR(__xludf.DUMMYFUNCTION("""COMPUTED_VALUE"""),"ddtsnorton")</f>
        <v>ddtsnorton</v>
      </c>
    </row>
    <row r="780">
      <c r="A780" s="47" t="str">
        <f>IFERROR(__xludf.DUMMYFUNCTION("""COMPUTED_VALUE"""),"Virtual Brown")</f>
        <v>Virtual Brown</v>
      </c>
      <c r="B780" s="47" t="str">
        <f>IFERROR(__xludf.DUMMYFUNCTION("""COMPUTED_VALUE"""),"xrayneex")</f>
        <v>xrayneex</v>
      </c>
      <c r="C780" s="78" t="str">
        <f>IFERROR(__xludf.DUMMYFUNCTION("""COMPUTED_VALUE"""),"https://www.munzee.com/m/xrayneex/1632/")</f>
        <v>https://www.munzee.com/m/xrayneex/1632/</v>
      </c>
      <c r="D780" s="47"/>
      <c r="E780" s="47" t="b">
        <f>IFERROR(__xludf.DUMMYFUNCTION("""COMPUTED_VALUE"""),TRUE)</f>
        <v>1</v>
      </c>
      <c r="F780" s="47" t="str">
        <f>IFERROR(__xludf.DUMMYFUNCTION("""COMPUTED_VALUE"""),"")</f>
        <v/>
      </c>
      <c r="G780" s="47" t="str">
        <f>IFERROR(__xludf.DUMMYFUNCTION("""COMPUTED_VALUE"""),"")</f>
        <v/>
      </c>
      <c r="H780" s="47"/>
      <c r="I780" s="47">
        <f>IFERROR(__xludf.DUMMYFUNCTION("""COMPUTED_VALUE"""),2.0)</f>
        <v>2</v>
      </c>
      <c r="J780" s="47" t="str">
        <f>IFERROR(__xludf.DUMMYFUNCTION("""COMPUTED_VALUE"""),"https:")</f>
        <v>https:</v>
      </c>
      <c r="K780" s="78" t="str">
        <f>IFERROR(__xludf.DUMMYFUNCTION("""COMPUTED_VALUE"""),"www.munzee.com")</f>
        <v>www.munzee.com</v>
      </c>
      <c r="L780" s="47" t="str">
        <f>IFERROR(__xludf.DUMMYFUNCTION("""COMPUTED_VALUE"""),"m")</f>
        <v>m</v>
      </c>
      <c r="M780" s="47" t="str">
        <f>IFERROR(__xludf.DUMMYFUNCTION("""COMPUTED_VALUE"""),"xrayneex")</f>
        <v>xrayneex</v>
      </c>
    </row>
    <row r="781">
      <c r="A781" s="47" t="str">
        <f>IFERROR(__xludf.DUMMYFUNCTION("""COMPUTED_VALUE"""),"Virtual Brown")</f>
        <v>Virtual Brown</v>
      </c>
      <c r="B781" s="47" t="str">
        <f>IFERROR(__xludf.DUMMYFUNCTION("""COMPUTED_VALUE"""),"TheFatCats")</f>
        <v>TheFatCats</v>
      </c>
      <c r="C781" s="78" t="str">
        <f>IFERROR(__xludf.DUMMYFUNCTION("""COMPUTED_VALUE"""),"https://www.munzee.com/m/TheFatCats/4276/")</f>
        <v>https://www.munzee.com/m/TheFatCats/4276/</v>
      </c>
      <c r="D781" s="47"/>
      <c r="E781" s="47" t="b">
        <f>IFERROR(__xludf.DUMMYFUNCTION("""COMPUTED_VALUE"""),TRUE)</f>
        <v>1</v>
      </c>
      <c r="F781" s="47" t="str">
        <f>IFERROR(__xludf.DUMMYFUNCTION("""COMPUTED_VALUE"""),"")</f>
        <v/>
      </c>
      <c r="G781" s="47" t="str">
        <f>IFERROR(__xludf.DUMMYFUNCTION("""COMPUTED_VALUE"""),"")</f>
        <v/>
      </c>
      <c r="H781" s="47"/>
      <c r="I781" s="47">
        <f>IFERROR(__xludf.DUMMYFUNCTION("""COMPUTED_VALUE"""),2.0)</f>
        <v>2</v>
      </c>
      <c r="J781" s="47" t="str">
        <f>IFERROR(__xludf.DUMMYFUNCTION("""COMPUTED_VALUE"""),"https:")</f>
        <v>https:</v>
      </c>
      <c r="K781" s="78" t="str">
        <f>IFERROR(__xludf.DUMMYFUNCTION("""COMPUTED_VALUE"""),"www.munzee.com")</f>
        <v>www.munzee.com</v>
      </c>
      <c r="L781" s="47" t="str">
        <f>IFERROR(__xludf.DUMMYFUNCTION("""COMPUTED_VALUE"""),"m")</f>
        <v>m</v>
      </c>
      <c r="M781" s="47" t="str">
        <f>IFERROR(__xludf.DUMMYFUNCTION("""COMPUTED_VALUE"""),"TheFatCats")</f>
        <v>TheFatCats</v>
      </c>
    </row>
    <row r="782">
      <c r="A782" s="47" t="str">
        <f>IFERROR(__xludf.DUMMYFUNCTION("""COMPUTED_VALUE"""),"Virtual Brown")</f>
        <v>Virtual Brown</v>
      </c>
      <c r="B782" s="47" t="str">
        <f>IFERROR(__xludf.DUMMYFUNCTION("""COMPUTED_VALUE"""),"sverlaan")</f>
        <v>sverlaan</v>
      </c>
      <c r="C782" s="78" t="str">
        <f>IFERROR(__xludf.DUMMYFUNCTION("""COMPUTED_VALUE"""),"https://www.munzee.com/m/sverlaan/4631/")</f>
        <v>https://www.munzee.com/m/sverlaan/4631/</v>
      </c>
      <c r="D782" s="47"/>
      <c r="E782" s="47" t="b">
        <f>IFERROR(__xludf.DUMMYFUNCTION("""COMPUTED_VALUE"""),TRUE)</f>
        <v>1</v>
      </c>
      <c r="F782" s="47" t="str">
        <f>IFERROR(__xludf.DUMMYFUNCTION("""COMPUTED_VALUE"""),"")</f>
        <v/>
      </c>
      <c r="G782" s="47" t="str">
        <f>IFERROR(__xludf.DUMMYFUNCTION("""COMPUTED_VALUE"""),"")</f>
        <v/>
      </c>
      <c r="H782" s="47"/>
      <c r="I782" s="47">
        <f>IFERROR(__xludf.DUMMYFUNCTION("""COMPUTED_VALUE"""),2.0)</f>
        <v>2</v>
      </c>
      <c r="J782" s="47" t="str">
        <f>IFERROR(__xludf.DUMMYFUNCTION("""COMPUTED_VALUE"""),"https:")</f>
        <v>https:</v>
      </c>
      <c r="K782" s="78" t="str">
        <f>IFERROR(__xludf.DUMMYFUNCTION("""COMPUTED_VALUE"""),"www.munzee.com")</f>
        <v>www.munzee.com</v>
      </c>
      <c r="L782" s="47" t="str">
        <f>IFERROR(__xludf.DUMMYFUNCTION("""COMPUTED_VALUE"""),"m")</f>
        <v>m</v>
      </c>
      <c r="M782" s="47" t="str">
        <f>IFERROR(__xludf.DUMMYFUNCTION("""COMPUTED_VALUE"""),"sverlaan")</f>
        <v>sverlaan</v>
      </c>
    </row>
    <row r="783">
      <c r="A783" s="47" t="str">
        <f>IFERROR(__xludf.DUMMYFUNCTION("""COMPUTED_VALUE"""),"Virtual Raw Sienna")</f>
        <v>Virtual Raw Sienna</v>
      </c>
      <c r="B783" s="47" t="str">
        <f>IFERROR(__xludf.DUMMYFUNCTION("""COMPUTED_VALUE"""),"PawPatrolThomas")</f>
        <v>PawPatrolThomas</v>
      </c>
      <c r="C783" s="78" t="str">
        <f>IFERROR(__xludf.DUMMYFUNCTION("""COMPUTED_VALUE"""),"https://www.munzee.com/m/PawPatrolThomas/2678/")</f>
        <v>https://www.munzee.com/m/PawPatrolThomas/2678/</v>
      </c>
      <c r="D783" s="47"/>
      <c r="E783" s="47" t="b">
        <f>IFERROR(__xludf.DUMMYFUNCTION("""COMPUTED_VALUE"""),TRUE)</f>
        <v>1</v>
      </c>
      <c r="F783" s="47" t="str">
        <f>IFERROR(__xludf.DUMMYFUNCTION("""COMPUTED_VALUE"""),"")</f>
        <v/>
      </c>
      <c r="G783" s="47" t="str">
        <f>IFERROR(__xludf.DUMMYFUNCTION("""COMPUTED_VALUE"""),"")</f>
        <v/>
      </c>
      <c r="H783" s="47"/>
      <c r="I783" s="47">
        <f>IFERROR(__xludf.DUMMYFUNCTION("""COMPUTED_VALUE"""),2.0)</f>
        <v>2</v>
      </c>
      <c r="J783" s="47" t="str">
        <f>IFERROR(__xludf.DUMMYFUNCTION("""COMPUTED_VALUE"""),"https:")</f>
        <v>https:</v>
      </c>
      <c r="K783" s="78" t="str">
        <f>IFERROR(__xludf.DUMMYFUNCTION("""COMPUTED_VALUE"""),"www.munzee.com")</f>
        <v>www.munzee.com</v>
      </c>
      <c r="L783" s="47" t="str">
        <f>IFERROR(__xludf.DUMMYFUNCTION("""COMPUTED_VALUE"""),"m")</f>
        <v>m</v>
      </c>
      <c r="M783" s="47" t="str">
        <f>IFERROR(__xludf.DUMMYFUNCTION("""COMPUTED_VALUE"""),"PawPatrolThomas")</f>
        <v>PawPatrolThomas</v>
      </c>
    </row>
    <row r="784">
      <c r="A784" s="47" t="str">
        <f>IFERROR(__xludf.DUMMYFUNCTION("""COMPUTED_VALUE"""),"Virtual Raw Sienna")</f>
        <v>Virtual Raw Sienna</v>
      </c>
      <c r="B784" s="47" t="str">
        <f>IFERROR(__xludf.DUMMYFUNCTION("""COMPUTED_VALUE"""),"EmileP68")</f>
        <v>EmileP68</v>
      </c>
      <c r="C784" s="78" t="str">
        <f>IFERROR(__xludf.DUMMYFUNCTION("""COMPUTED_VALUE"""),"https://www.munzee.com/m/EmileP68/3358/")</f>
        <v>https://www.munzee.com/m/EmileP68/3358/</v>
      </c>
      <c r="D784" s="47"/>
      <c r="E784" s="47" t="b">
        <f>IFERROR(__xludf.DUMMYFUNCTION("""COMPUTED_VALUE"""),TRUE)</f>
        <v>1</v>
      </c>
      <c r="F784" s="47" t="str">
        <f>IFERROR(__xludf.DUMMYFUNCTION("""COMPUTED_VALUE"""),"")</f>
        <v/>
      </c>
      <c r="G784" s="47" t="str">
        <f>IFERROR(__xludf.DUMMYFUNCTION("""COMPUTED_VALUE"""),"")</f>
        <v/>
      </c>
      <c r="H784" s="47"/>
      <c r="I784" s="47">
        <f>IFERROR(__xludf.DUMMYFUNCTION("""COMPUTED_VALUE"""),2.0)</f>
        <v>2</v>
      </c>
      <c r="J784" s="47" t="str">
        <f>IFERROR(__xludf.DUMMYFUNCTION("""COMPUTED_VALUE"""),"https:")</f>
        <v>https:</v>
      </c>
      <c r="K784" s="78" t="str">
        <f>IFERROR(__xludf.DUMMYFUNCTION("""COMPUTED_VALUE"""),"www.munzee.com")</f>
        <v>www.munzee.com</v>
      </c>
      <c r="L784" s="47" t="str">
        <f>IFERROR(__xludf.DUMMYFUNCTION("""COMPUTED_VALUE"""),"m")</f>
        <v>m</v>
      </c>
      <c r="M784" s="47" t="str">
        <f>IFERROR(__xludf.DUMMYFUNCTION("""COMPUTED_VALUE"""),"EmileP68")</f>
        <v>EmileP68</v>
      </c>
    </row>
    <row r="785">
      <c r="A785" s="47" t="str">
        <f>IFERROR(__xludf.DUMMYFUNCTION("""COMPUTED_VALUE"""),"Virtual Brown")</f>
        <v>Virtual Brown</v>
      </c>
      <c r="B785" s="47" t="str">
        <f>IFERROR(__xludf.DUMMYFUNCTION("""COMPUTED_VALUE"""),"Amundadus")</f>
        <v>Amundadus</v>
      </c>
      <c r="C785" s="78" t="str">
        <f>IFERROR(__xludf.DUMMYFUNCTION("""COMPUTED_VALUE"""),"https://www.munzee.com/m/amundadus/747/")</f>
        <v>https://www.munzee.com/m/amundadus/747/</v>
      </c>
      <c r="D785" s="47"/>
      <c r="E785" s="47" t="b">
        <f>IFERROR(__xludf.DUMMYFUNCTION("""COMPUTED_VALUE"""),TRUE)</f>
        <v>1</v>
      </c>
      <c r="F785" s="47" t="str">
        <f>IFERROR(__xludf.DUMMYFUNCTION("""COMPUTED_VALUE"""),"")</f>
        <v/>
      </c>
      <c r="G785" s="47" t="str">
        <f>IFERROR(__xludf.DUMMYFUNCTION("""COMPUTED_VALUE"""),"")</f>
        <v/>
      </c>
      <c r="H785" s="47"/>
      <c r="I785" s="47">
        <f>IFERROR(__xludf.DUMMYFUNCTION("""COMPUTED_VALUE"""),2.0)</f>
        <v>2</v>
      </c>
      <c r="J785" s="47" t="str">
        <f>IFERROR(__xludf.DUMMYFUNCTION("""COMPUTED_VALUE"""),"https:")</f>
        <v>https:</v>
      </c>
      <c r="K785" s="78" t="str">
        <f>IFERROR(__xludf.DUMMYFUNCTION("""COMPUTED_VALUE"""),"www.munzee.com")</f>
        <v>www.munzee.com</v>
      </c>
      <c r="L785" s="47" t="str">
        <f>IFERROR(__xludf.DUMMYFUNCTION("""COMPUTED_VALUE"""),"m")</f>
        <v>m</v>
      </c>
      <c r="M785" s="47" t="str">
        <f>IFERROR(__xludf.DUMMYFUNCTION("""COMPUTED_VALUE"""),"amundadus")</f>
        <v>amundadus</v>
      </c>
    </row>
    <row r="786">
      <c r="A786" s="47" t="str">
        <f>IFERROR(__xludf.DUMMYFUNCTION("""COMPUTED_VALUE"""),"Virtual Brown")</f>
        <v>Virtual Brown</v>
      </c>
      <c r="B786" s="47" t="str">
        <f>IFERROR(__xludf.DUMMYFUNCTION("""COMPUTED_VALUE"""),"J1Huisman")</f>
        <v>J1Huisman</v>
      </c>
      <c r="C786" s="78" t="str">
        <f>IFERROR(__xludf.DUMMYFUNCTION("""COMPUTED_VALUE"""),"https://www.munzee.com/m/J1Huisman/11801/")</f>
        <v>https://www.munzee.com/m/J1Huisman/11801/</v>
      </c>
      <c r="D786" s="47"/>
      <c r="E786" s="47" t="b">
        <f>IFERROR(__xludf.DUMMYFUNCTION("""COMPUTED_VALUE"""),TRUE)</f>
        <v>1</v>
      </c>
      <c r="F786" s="47" t="str">
        <f>IFERROR(__xludf.DUMMYFUNCTION("""COMPUTED_VALUE"""),"")</f>
        <v/>
      </c>
      <c r="G786" s="47" t="str">
        <f>IFERROR(__xludf.DUMMYFUNCTION("""COMPUTED_VALUE"""),"")</f>
        <v/>
      </c>
      <c r="H786" s="47"/>
      <c r="I786" s="47">
        <f>IFERROR(__xludf.DUMMYFUNCTION("""COMPUTED_VALUE"""),2.0)</f>
        <v>2</v>
      </c>
      <c r="J786" s="47" t="str">
        <f>IFERROR(__xludf.DUMMYFUNCTION("""COMPUTED_VALUE"""),"https:")</f>
        <v>https:</v>
      </c>
      <c r="K786" s="78" t="str">
        <f>IFERROR(__xludf.DUMMYFUNCTION("""COMPUTED_VALUE"""),"www.munzee.com")</f>
        <v>www.munzee.com</v>
      </c>
      <c r="L786" s="47" t="str">
        <f>IFERROR(__xludf.DUMMYFUNCTION("""COMPUTED_VALUE"""),"m")</f>
        <v>m</v>
      </c>
      <c r="M786" s="47" t="str">
        <f>IFERROR(__xludf.DUMMYFUNCTION("""COMPUTED_VALUE"""),"J1Huisman")</f>
        <v>J1Huisman</v>
      </c>
    </row>
    <row r="787">
      <c r="A787" s="47" t="str">
        <f>IFERROR(__xludf.DUMMYFUNCTION("""COMPUTED_VALUE"""),"Virtual Brown")</f>
        <v>Virtual Brown</v>
      </c>
      <c r="B787" s="47" t="str">
        <f>IFERROR(__xludf.DUMMYFUNCTION("""COMPUTED_VALUE"""),"Amadoreugen")</f>
        <v>Amadoreugen</v>
      </c>
      <c r="C787" s="78" t="str">
        <f>IFERROR(__xludf.DUMMYFUNCTION("""COMPUTED_VALUE"""),"https://www.munzee.com/m/amadoreugen/5799/")</f>
        <v>https://www.munzee.com/m/amadoreugen/5799/</v>
      </c>
      <c r="D787" s="47"/>
      <c r="E787" s="47" t="b">
        <f>IFERROR(__xludf.DUMMYFUNCTION("""COMPUTED_VALUE"""),TRUE)</f>
        <v>1</v>
      </c>
      <c r="F787" s="47" t="str">
        <f>IFERROR(__xludf.DUMMYFUNCTION("""COMPUTED_VALUE"""),"")</f>
        <v/>
      </c>
      <c r="G787" s="47" t="str">
        <f>IFERROR(__xludf.DUMMYFUNCTION("""COMPUTED_VALUE"""),"")</f>
        <v/>
      </c>
      <c r="H787" s="47"/>
      <c r="I787" s="47">
        <f>IFERROR(__xludf.DUMMYFUNCTION("""COMPUTED_VALUE"""),2.0)</f>
        <v>2</v>
      </c>
      <c r="J787" s="47" t="str">
        <f>IFERROR(__xludf.DUMMYFUNCTION("""COMPUTED_VALUE"""),"https:")</f>
        <v>https:</v>
      </c>
      <c r="K787" s="78" t="str">
        <f>IFERROR(__xludf.DUMMYFUNCTION("""COMPUTED_VALUE"""),"www.munzee.com")</f>
        <v>www.munzee.com</v>
      </c>
      <c r="L787" s="47" t="str">
        <f>IFERROR(__xludf.DUMMYFUNCTION("""COMPUTED_VALUE"""),"m")</f>
        <v>m</v>
      </c>
      <c r="M787" s="47" t="str">
        <f>IFERROR(__xludf.DUMMYFUNCTION("""COMPUTED_VALUE"""),"amadoreugen")</f>
        <v>amadoreugen</v>
      </c>
    </row>
    <row r="788">
      <c r="A788" s="47" t="str">
        <f>IFERROR(__xludf.DUMMYFUNCTION("""COMPUTED_VALUE"""),"Virtual Raw Sienna")</f>
        <v>Virtual Raw Sienna</v>
      </c>
      <c r="B788" s="47" t="str">
        <f>IFERROR(__xludf.DUMMYFUNCTION("""COMPUTED_VALUE"""),"Anetzet ")</f>
        <v>Anetzet </v>
      </c>
      <c r="C788" s="78" t="str">
        <f>IFERROR(__xludf.DUMMYFUNCTION("""COMPUTED_VALUE"""),"https://www.munzee.com/m/Anetzet/3334/")</f>
        <v>https://www.munzee.com/m/Anetzet/3334/</v>
      </c>
      <c r="D788" s="47"/>
      <c r="E788" s="47" t="b">
        <f>IFERROR(__xludf.DUMMYFUNCTION("""COMPUTED_VALUE"""),TRUE)</f>
        <v>1</v>
      </c>
      <c r="F788" s="47" t="str">
        <f>IFERROR(__xludf.DUMMYFUNCTION("""COMPUTED_VALUE"""),"")</f>
        <v/>
      </c>
      <c r="G788" s="47" t="str">
        <f>IFERROR(__xludf.DUMMYFUNCTION("""COMPUTED_VALUE"""),"")</f>
        <v/>
      </c>
      <c r="H788" s="47"/>
      <c r="I788" s="47">
        <f>IFERROR(__xludf.DUMMYFUNCTION("""COMPUTED_VALUE"""),2.0)</f>
        <v>2</v>
      </c>
      <c r="J788" s="47" t="str">
        <f>IFERROR(__xludf.DUMMYFUNCTION("""COMPUTED_VALUE"""),"https:")</f>
        <v>https:</v>
      </c>
      <c r="K788" s="78" t="str">
        <f>IFERROR(__xludf.DUMMYFUNCTION("""COMPUTED_VALUE"""),"www.munzee.com")</f>
        <v>www.munzee.com</v>
      </c>
      <c r="L788" s="47" t="str">
        <f>IFERROR(__xludf.DUMMYFUNCTION("""COMPUTED_VALUE"""),"m")</f>
        <v>m</v>
      </c>
      <c r="M788" s="47" t="str">
        <f>IFERROR(__xludf.DUMMYFUNCTION("""COMPUTED_VALUE"""),"Anetzet")</f>
        <v>Anetzet</v>
      </c>
    </row>
    <row r="789">
      <c r="A789" s="47" t="str">
        <f>IFERROR(__xludf.DUMMYFUNCTION("""COMPUTED_VALUE"""),"Virtual Brown")</f>
        <v>Virtual Brown</v>
      </c>
      <c r="B789" s="47" t="str">
        <f>IFERROR(__xludf.DUMMYFUNCTION("""COMPUTED_VALUE"""),"xrayneex")</f>
        <v>xrayneex</v>
      </c>
      <c r="C789" s="78" t="str">
        <f>IFERROR(__xludf.DUMMYFUNCTION("""COMPUTED_VALUE"""),"https://www.munzee.com/m/xrayneex/1673/")</f>
        <v>https://www.munzee.com/m/xrayneex/1673/</v>
      </c>
      <c r="D789" s="47"/>
      <c r="E789" s="47" t="b">
        <f>IFERROR(__xludf.DUMMYFUNCTION("""COMPUTED_VALUE"""),TRUE)</f>
        <v>1</v>
      </c>
      <c r="F789" s="47" t="str">
        <f>IFERROR(__xludf.DUMMYFUNCTION("""COMPUTED_VALUE"""),"")</f>
        <v/>
      </c>
      <c r="G789" s="47" t="str">
        <f>IFERROR(__xludf.DUMMYFUNCTION("""COMPUTED_VALUE"""),"")</f>
        <v/>
      </c>
      <c r="H789" s="47"/>
      <c r="I789" s="47">
        <f>IFERROR(__xludf.DUMMYFUNCTION("""COMPUTED_VALUE"""),2.0)</f>
        <v>2</v>
      </c>
      <c r="J789" s="47" t="str">
        <f>IFERROR(__xludf.DUMMYFUNCTION("""COMPUTED_VALUE"""),"https:")</f>
        <v>https:</v>
      </c>
      <c r="K789" s="78" t="str">
        <f>IFERROR(__xludf.DUMMYFUNCTION("""COMPUTED_VALUE"""),"www.munzee.com")</f>
        <v>www.munzee.com</v>
      </c>
      <c r="L789" s="47" t="str">
        <f>IFERROR(__xludf.DUMMYFUNCTION("""COMPUTED_VALUE"""),"m")</f>
        <v>m</v>
      </c>
      <c r="M789" s="47" t="str">
        <f>IFERROR(__xludf.DUMMYFUNCTION("""COMPUTED_VALUE"""),"xrayneex")</f>
        <v>xrayneex</v>
      </c>
    </row>
    <row r="790">
      <c r="A790" s="47" t="str">
        <f>IFERROR(__xludf.DUMMYFUNCTION("""COMPUTED_VALUE"""),"Virtual Brown")</f>
        <v>Virtual Brown</v>
      </c>
      <c r="B790" s="47" t="str">
        <f>IFERROR(__xludf.DUMMYFUNCTION("""COMPUTED_VALUE"""),"5star")</f>
        <v>5star</v>
      </c>
      <c r="C790" s="78" t="str">
        <f>IFERROR(__xludf.DUMMYFUNCTION("""COMPUTED_VALUE"""),"https://www.munzee.com/m/5Star/6065/")</f>
        <v>https://www.munzee.com/m/5Star/6065/</v>
      </c>
      <c r="D790" s="47" t="str">
        <f>IFERROR(__xludf.DUMMYFUNCTION("""COMPUTED_VALUE""")," ")</f>
        <v> </v>
      </c>
      <c r="E790" s="47" t="b">
        <f>IFERROR(__xludf.DUMMYFUNCTION("""COMPUTED_VALUE"""),TRUE)</f>
        <v>1</v>
      </c>
      <c r="F790" s="47" t="str">
        <f>IFERROR(__xludf.DUMMYFUNCTION("""COMPUTED_VALUE"""),"")</f>
        <v/>
      </c>
      <c r="G790" s="47" t="str">
        <f>IFERROR(__xludf.DUMMYFUNCTION("""COMPUTED_VALUE"""),"")</f>
        <v/>
      </c>
      <c r="H790" s="47"/>
      <c r="I790" s="47">
        <f>IFERROR(__xludf.DUMMYFUNCTION("""COMPUTED_VALUE"""),2.0)</f>
        <v>2</v>
      </c>
      <c r="J790" s="47" t="str">
        <f>IFERROR(__xludf.DUMMYFUNCTION("""COMPUTED_VALUE"""),"https:")</f>
        <v>https:</v>
      </c>
      <c r="K790" s="78" t="str">
        <f>IFERROR(__xludf.DUMMYFUNCTION("""COMPUTED_VALUE"""),"www.munzee.com")</f>
        <v>www.munzee.com</v>
      </c>
      <c r="L790" s="47" t="str">
        <f>IFERROR(__xludf.DUMMYFUNCTION("""COMPUTED_VALUE"""),"m")</f>
        <v>m</v>
      </c>
      <c r="M790" s="47" t="str">
        <f>IFERROR(__xludf.DUMMYFUNCTION("""COMPUTED_VALUE"""),"5Star")</f>
        <v>5Star</v>
      </c>
    </row>
    <row r="791">
      <c r="A791" s="47" t="str">
        <f>IFERROR(__xludf.DUMMYFUNCTION("""COMPUTED_VALUE"""),"Virtual Brown")</f>
        <v>Virtual Brown</v>
      </c>
      <c r="B791" s="47" t="str">
        <f>IFERROR(__xludf.DUMMYFUNCTION("""COMPUTED_VALUE"""),"Drazoria")</f>
        <v>Drazoria</v>
      </c>
      <c r="C791" s="78" t="str">
        <f>IFERROR(__xludf.DUMMYFUNCTION("""COMPUTED_VALUE"""),"https://www.munzee.com/m/Drazoria/999/")</f>
        <v>https://www.munzee.com/m/Drazoria/999/</v>
      </c>
      <c r="D791" s="47"/>
      <c r="E791" s="47" t="b">
        <f>IFERROR(__xludf.DUMMYFUNCTION("""COMPUTED_VALUE"""),TRUE)</f>
        <v>1</v>
      </c>
      <c r="F791" s="47" t="str">
        <f>IFERROR(__xludf.DUMMYFUNCTION("""COMPUTED_VALUE"""),"")</f>
        <v/>
      </c>
      <c r="G791" s="47" t="str">
        <f>IFERROR(__xludf.DUMMYFUNCTION("""COMPUTED_VALUE"""),"")</f>
        <v/>
      </c>
      <c r="H791" s="47"/>
      <c r="I791" s="47">
        <f>IFERROR(__xludf.DUMMYFUNCTION("""COMPUTED_VALUE"""),2.0)</f>
        <v>2</v>
      </c>
      <c r="J791" s="47" t="str">
        <f>IFERROR(__xludf.DUMMYFUNCTION("""COMPUTED_VALUE"""),"https:")</f>
        <v>https:</v>
      </c>
      <c r="K791" s="78" t="str">
        <f>IFERROR(__xludf.DUMMYFUNCTION("""COMPUTED_VALUE"""),"www.munzee.com")</f>
        <v>www.munzee.com</v>
      </c>
      <c r="L791" s="47" t="str">
        <f>IFERROR(__xludf.DUMMYFUNCTION("""COMPUTED_VALUE"""),"m")</f>
        <v>m</v>
      </c>
      <c r="M791" s="47" t="str">
        <f>IFERROR(__xludf.DUMMYFUNCTION("""COMPUTED_VALUE"""),"Drazoria")</f>
        <v>Drazoria</v>
      </c>
    </row>
    <row r="792">
      <c r="A792" s="47" t="str">
        <f>IFERROR(__xludf.DUMMYFUNCTION("""COMPUTED_VALUE"""),"Virtual Brown")</f>
        <v>Virtual Brown</v>
      </c>
      <c r="B792" s="47" t="str">
        <f>IFERROR(__xludf.DUMMYFUNCTION("""COMPUTED_VALUE"""),"Tinake1309")</f>
        <v>Tinake1309</v>
      </c>
      <c r="C792" s="78" t="str">
        <f>IFERROR(__xludf.DUMMYFUNCTION("""COMPUTED_VALUE"""),"https://www.munzee.com/m/Tinake1309/947/")</f>
        <v>https://www.munzee.com/m/Tinake1309/947/</v>
      </c>
      <c r="D792" s="47"/>
      <c r="E792" s="47" t="b">
        <f>IFERROR(__xludf.DUMMYFUNCTION("""COMPUTED_VALUE"""),TRUE)</f>
        <v>1</v>
      </c>
      <c r="F792" s="47" t="str">
        <f>IFERROR(__xludf.DUMMYFUNCTION("""COMPUTED_VALUE"""),"")</f>
        <v/>
      </c>
      <c r="G792" s="47" t="str">
        <f>IFERROR(__xludf.DUMMYFUNCTION("""COMPUTED_VALUE"""),"")</f>
        <v/>
      </c>
      <c r="H792" s="47"/>
      <c r="I792" s="47">
        <f>IFERROR(__xludf.DUMMYFUNCTION("""COMPUTED_VALUE"""),2.0)</f>
        <v>2</v>
      </c>
      <c r="J792" s="47" t="str">
        <f>IFERROR(__xludf.DUMMYFUNCTION("""COMPUTED_VALUE"""),"https:")</f>
        <v>https:</v>
      </c>
      <c r="K792" s="78" t="str">
        <f>IFERROR(__xludf.DUMMYFUNCTION("""COMPUTED_VALUE"""),"www.munzee.com")</f>
        <v>www.munzee.com</v>
      </c>
      <c r="L792" s="47" t="str">
        <f>IFERROR(__xludf.DUMMYFUNCTION("""COMPUTED_VALUE"""),"m")</f>
        <v>m</v>
      </c>
      <c r="M792" s="47" t="str">
        <f>IFERROR(__xludf.DUMMYFUNCTION("""COMPUTED_VALUE"""),"Tinake1309")</f>
        <v>Tinake1309</v>
      </c>
    </row>
    <row r="793">
      <c r="A793" s="47" t="str">
        <f>IFERROR(__xludf.DUMMYFUNCTION("""COMPUTED_VALUE"""),"Virtual Brown")</f>
        <v>Virtual Brown</v>
      </c>
      <c r="B793" s="47" t="str">
        <f>IFERROR(__xludf.DUMMYFUNCTION("""COMPUTED_VALUE"""),"Berg14")</f>
        <v>Berg14</v>
      </c>
      <c r="C793" s="78" t="str">
        <f>IFERROR(__xludf.DUMMYFUNCTION("""COMPUTED_VALUE"""),"https://www.munzee.com/m/Berg14/686/")</f>
        <v>https://www.munzee.com/m/Berg14/686/</v>
      </c>
      <c r="D793" s="47"/>
      <c r="E793" s="47" t="b">
        <f>IFERROR(__xludf.DUMMYFUNCTION("""COMPUTED_VALUE"""),TRUE)</f>
        <v>1</v>
      </c>
      <c r="F793" s="47" t="str">
        <f>IFERROR(__xludf.DUMMYFUNCTION("""COMPUTED_VALUE"""),"")</f>
        <v/>
      </c>
      <c r="G793" s="47" t="str">
        <f>IFERROR(__xludf.DUMMYFUNCTION("""COMPUTED_VALUE"""),"")</f>
        <v/>
      </c>
      <c r="H793" s="47"/>
      <c r="I793" s="47">
        <f>IFERROR(__xludf.DUMMYFUNCTION("""COMPUTED_VALUE"""),2.0)</f>
        <v>2</v>
      </c>
      <c r="J793" s="47" t="str">
        <f>IFERROR(__xludf.DUMMYFUNCTION("""COMPUTED_VALUE"""),"https:")</f>
        <v>https:</v>
      </c>
      <c r="K793" s="78" t="str">
        <f>IFERROR(__xludf.DUMMYFUNCTION("""COMPUTED_VALUE"""),"www.munzee.com")</f>
        <v>www.munzee.com</v>
      </c>
      <c r="L793" s="47" t="str">
        <f>IFERROR(__xludf.DUMMYFUNCTION("""COMPUTED_VALUE"""),"m")</f>
        <v>m</v>
      </c>
      <c r="M793" s="47" t="str">
        <f>IFERROR(__xludf.DUMMYFUNCTION("""COMPUTED_VALUE"""),"Berg14")</f>
        <v>Berg14</v>
      </c>
    </row>
    <row r="794">
      <c r="A794" s="47" t="str">
        <f>IFERROR(__xludf.DUMMYFUNCTION("""COMPUTED_VALUE"""),"Virtual Brown")</f>
        <v>Virtual Brown</v>
      </c>
      <c r="B794" s="47" t="str">
        <f>IFERROR(__xludf.DUMMYFUNCTION("""COMPUTED_VALUE"""),"Niks13")</f>
        <v>Niks13</v>
      </c>
      <c r="C794" s="78" t="str">
        <f>IFERROR(__xludf.DUMMYFUNCTION("""COMPUTED_VALUE"""),"https://www.munzee.com/m/Niks13/645/")</f>
        <v>https://www.munzee.com/m/Niks13/645/</v>
      </c>
      <c r="D794" s="47"/>
      <c r="E794" s="47" t="b">
        <f>IFERROR(__xludf.DUMMYFUNCTION("""COMPUTED_VALUE"""),TRUE)</f>
        <v>1</v>
      </c>
      <c r="F794" s="47" t="str">
        <f>IFERROR(__xludf.DUMMYFUNCTION("""COMPUTED_VALUE"""),"")</f>
        <v/>
      </c>
      <c r="G794" s="47" t="str">
        <f>IFERROR(__xludf.DUMMYFUNCTION("""COMPUTED_VALUE"""),"")</f>
        <v/>
      </c>
      <c r="H794" s="47"/>
      <c r="I794" s="47">
        <f>IFERROR(__xludf.DUMMYFUNCTION("""COMPUTED_VALUE"""),2.0)</f>
        <v>2</v>
      </c>
      <c r="J794" s="47" t="str">
        <f>IFERROR(__xludf.DUMMYFUNCTION("""COMPUTED_VALUE"""),"https:")</f>
        <v>https:</v>
      </c>
      <c r="K794" s="78" t="str">
        <f>IFERROR(__xludf.DUMMYFUNCTION("""COMPUTED_VALUE"""),"www.munzee.com")</f>
        <v>www.munzee.com</v>
      </c>
      <c r="L794" s="47" t="str">
        <f>IFERROR(__xludf.DUMMYFUNCTION("""COMPUTED_VALUE"""),"m")</f>
        <v>m</v>
      </c>
      <c r="M794" s="47" t="str">
        <f>IFERROR(__xludf.DUMMYFUNCTION("""COMPUTED_VALUE"""),"Niks13")</f>
        <v>Niks13</v>
      </c>
    </row>
    <row r="795">
      <c r="A795" s="47" t="str">
        <f>IFERROR(__xludf.DUMMYFUNCTION("""COMPUTED_VALUE"""),"Virtual Brown")</f>
        <v>Virtual Brown</v>
      </c>
      <c r="B795" s="47" t="str">
        <f>IFERROR(__xludf.DUMMYFUNCTION("""COMPUTED_VALUE"""),"Grote Sufferd")</f>
        <v>Grote Sufferd</v>
      </c>
      <c r="C795" s="78" t="str">
        <f>IFERROR(__xludf.DUMMYFUNCTION("""COMPUTED_VALUE"""),"https://www.munzee.com/m/GroteSufferd/462/")</f>
        <v>https://www.munzee.com/m/GroteSufferd/462/</v>
      </c>
      <c r="D795" s="47"/>
      <c r="E795" s="47" t="b">
        <f>IFERROR(__xludf.DUMMYFUNCTION("""COMPUTED_VALUE"""),TRUE)</f>
        <v>1</v>
      </c>
      <c r="F795" s="47" t="str">
        <f>IFERROR(__xludf.DUMMYFUNCTION("""COMPUTED_VALUE"""),"")</f>
        <v/>
      </c>
      <c r="G795" s="47" t="str">
        <f>IFERROR(__xludf.DUMMYFUNCTION("""COMPUTED_VALUE"""),"")</f>
        <v/>
      </c>
      <c r="H795" s="47"/>
      <c r="I795" s="47">
        <f>IFERROR(__xludf.DUMMYFUNCTION("""COMPUTED_VALUE"""),2.0)</f>
        <v>2</v>
      </c>
      <c r="J795" s="47" t="str">
        <f>IFERROR(__xludf.DUMMYFUNCTION("""COMPUTED_VALUE"""),"https:")</f>
        <v>https:</v>
      </c>
      <c r="K795" s="78" t="str">
        <f>IFERROR(__xludf.DUMMYFUNCTION("""COMPUTED_VALUE"""),"www.munzee.com")</f>
        <v>www.munzee.com</v>
      </c>
      <c r="L795" s="47" t="str">
        <f>IFERROR(__xludf.DUMMYFUNCTION("""COMPUTED_VALUE"""),"m")</f>
        <v>m</v>
      </c>
      <c r="M795" s="47" t="str">
        <f>IFERROR(__xludf.DUMMYFUNCTION("""COMPUTED_VALUE"""),"GroteSufferd")</f>
        <v>GroteSufferd</v>
      </c>
    </row>
    <row r="796">
      <c r="A796" s="47" t="str">
        <f>IFERROR(__xludf.DUMMYFUNCTION("""COMPUTED_VALUE"""),"Virtual Brown")</f>
        <v>Virtual Brown</v>
      </c>
      <c r="B796" s="47" t="str">
        <f>IFERROR(__xludf.DUMMYFUNCTION("""COMPUTED_VALUE"""),"MariaHTJ ")</f>
        <v>MariaHTJ </v>
      </c>
      <c r="C796" s="78" t="str">
        <f>IFERROR(__xludf.DUMMYFUNCTION("""COMPUTED_VALUE"""),"https://www.munzee.com/m/MariaHTJ/9062/")</f>
        <v>https://www.munzee.com/m/MariaHTJ/9062/</v>
      </c>
      <c r="D796" s="47"/>
      <c r="E796" s="47" t="b">
        <f>IFERROR(__xludf.DUMMYFUNCTION("""COMPUTED_VALUE"""),TRUE)</f>
        <v>1</v>
      </c>
      <c r="F796" s="47" t="str">
        <f>IFERROR(__xludf.DUMMYFUNCTION("""COMPUTED_VALUE"""),"")</f>
        <v/>
      </c>
      <c r="G796" s="47" t="str">
        <f>IFERROR(__xludf.DUMMYFUNCTION("""COMPUTED_VALUE"""),"")</f>
        <v/>
      </c>
      <c r="H796" s="47"/>
      <c r="I796" s="47">
        <f>IFERROR(__xludf.DUMMYFUNCTION("""COMPUTED_VALUE"""),2.0)</f>
        <v>2</v>
      </c>
      <c r="J796" s="47" t="str">
        <f>IFERROR(__xludf.DUMMYFUNCTION("""COMPUTED_VALUE"""),"https:")</f>
        <v>https:</v>
      </c>
      <c r="K796" s="78" t="str">
        <f>IFERROR(__xludf.DUMMYFUNCTION("""COMPUTED_VALUE"""),"www.munzee.com")</f>
        <v>www.munzee.com</v>
      </c>
      <c r="L796" s="47" t="str">
        <f>IFERROR(__xludf.DUMMYFUNCTION("""COMPUTED_VALUE"""),"m")</f>
        <v>m</v>
      </c>
      <c r="M796" s="47" t="str">
        <f>IFERROR(__xludf.DUMMYFUNCTION("""COMPUTED_VALUE"""),"MariaHTJ")</f>
        <v>MariaHTJ</v>
      </c>
    </row>
    <row r="797">
      <c r="A797" s="47" t="str">
        <f>IFERROR(__xludf.DUMMYFUNCTION("""COMPUTED_VALUE"""),"Virtual Brown")</f>
        <v>Virtual Brown</v>
      </c>
      <c r="B797" s="47" t="str">
        <f>IFERROR(__xludf.DUMMYFUNCTION("""COMPUTED_VALUE"""),"fsafranek")</f>
        <v>fsafranek</v>
      </c>
      <c r="C797" s="78" t="str">
        <f>IFERROR(__xludf.DUMMYFUNCTION("""COMPUTED_VALUE"""),"https://www.munzee.com/m/fsafranek/4840/")</f>
        <v>https://www.munzee.com/m/fsafranek/4840/</v>
      </c>
      <c r="D797" s="47"/>
      <c r="E797" s="47" t="b">
        <f>IFERROR(__xludf.DUMMYFUNCTION("""COMPUTED_VALUE"""),TRUE)</f>
        <v>1</v>
      </c>
      <c r="F797" s="47" t="str">
        <f>IFERROR(__xludf.DUMMYFUNCTION("""COMPUTED_VALUE"""),"")</f>
        <v/>
      </c>
      <c r="G797" s="47" t="str">
        <f>IFERROR(__xludf.DUMMYFUNCTION("""COMPUTED_VALUE"""),"")</f>
        <v/>
      </c>
      <c r="H797" s="47"/>
      <c r="I797" s="47">
        <f>IFERROR(__xludf.DUMMYFUNCTION("""COMPUTED_VALUE"""),2.0)</f>
        <v>2</v>
      </c>
      <c r="J797" s="47" t="str">
        <f>IFERROR(__xludf.DUMMYFUNCTION("""COMPUTED_VALUE"""),"https:")</f>
        <v>https:</v>
      </c>
      <c r="K797" s="78" t="str">
        <f>IFERROR(__xludf.DUMMYFUNCTION("""COMPUTED_VALUE"""),"www.munzee.com")</f>
        <v>www.munzee.com</v>
      </c>
      <c r="L797" s="47" t="str">
        <f>IFERROR(__xludf.DUMMYFUNCTION("""COMPUTED_VALUE"""),"m")</f>
        <v>m</v>
      </c>
      <c r="M797" s="47" t="str">
        <f>IFERROR(__xludf.DUMMYFUNCTION("""COMPUTED_VALUE"""),"fsafranek")</f>
        <v>fsafranek</v>
      </c>
    </row>
    <row r="798">
      <c r="A798" s="47" t="str">
        <f>IFERROR(__xludf.DUMMYFUNCTION("""COMPUTED_VALUE"""),"Virtual Brown")</f>
        <v>Virtual Brown</v>
      </c>
      <c r="B798" s="47" t="str">
        <f>IFERROR(__xludf.DUMMYFUNCTION("""COMPUTED_VALUE"""),"Amundadus ")</f>
        <v>Amundadus </v>
      </c>
      <c r="C798" s="78" t="str">
        <f>IFERROR(__xludf.DUMMYFUNCTION("""COMPUTED_VALUE"""),"https://www.munzee.com/m/amundadus/1508/")</f>
        <v>https://www.munzee.com/m/amundadus/1508/</v>
      </c>
      <c r="D798" s="47"/>
      <c r="E798" s="47" t="b">
        <f>IFERROR(__xludf.DUMMYFUNCTION("""COMPUTED_VALUE"""),TRUE)</f>
        <v>1</v>
      </c>
      <c r="F798" s="47"/>
      <c r="G798" s="47" t="str">
        <f>IFERROR(__xludf.DUMMYFUNCTION("""COMPUTED_VALUE"""),"")</f>
        <v/>
      </c>
      <c r="H798" s="47"/>
      <c r="I798" s="47">
        <f>IFERROR(__xludf.DUMMYFUNCTION("""COMPUTED_VALUE"""),2.0)</f>
        <v>2</v>
      </c>
      <c r="J798" s="47" t="str">
        <f>IFERROR(__xludf.DUMMYFUNCTION("""COMPUTED_VALUE"""),"https:")</f>
        <v>https:</v>
      </c>
      <c r="K798" s="78" t="str">
        <f>IFERROR(__xludf.DUMMYFUNCTION("""COMPUTED_VALUE"""),"www.munzee.com")</f>
        <v>www.munzee.com</v>
      </c>
      <c r="L798" s="47" t="str">
        <f>IFERROR(__xludf.DUMMYFUNCTION("""COMPUTED_VALUE"""),"m")</f>
        <v>m</v>
      </c>
      <c r="M798" s="47" t="str">
        <f>IFERROR(__xludf.DUMMYFUNCTION("""COMPUTED_VALUE"""),"amundadus")</f>
        <v>amundadus</v>
      </c>
    </row>
    <row r="799">
      <c r="A799" s="47" t="str">
        <f>IFERROR(__xludf.DUMMYFUNCTION("""COMPUTED_VALUE"""),"Virtual Brown")</f>
        <v>Virtual Brown</v>
      </c>
      <c r="B799" s="47" t="str">
        <f>IFERROR(__xludf.DUMMYFUNCTION("""COMPUTED_VALUE"""),"Brother William")</f>
        <v>Brother William</v>
      </c>
      <c r="C799" s="78" t="str">
        <f>IFERROR(__xludf.DUMMYFUNCTION("""COMPUTED_VALUE"""),"https://www.munzee.com/m/BrotherWilliam/4250/")</f>
        <v>https://www.munzee.com/m/BrotherWilliam/4250/</v>
      </c>
      <c r="D799" s="47"/>
      <c r="E799" s="47" t="b">
        <f>IFERROR(__xludf.DUMMYFUNCTION("""COMPUTED_VALUE"""),TRUE)</f>
        <v>1</v>
      </c>
      <c r="F799" s="47" t="str">
        <f>IFERROR(__xludf.DUMMYFUNCTION("""COMPUTED_VALUE"""),"")</f>
        <v/>
      </c>
      <c r="G799" s="47" t="str">
        <f>IFERROR(__xludf.DUMMYFUNCTION("""COMPUTED_VALUE"""),"")</f>
        <v/>
      </c>
      <c r="H799" s="47"/>
      <c r="I799" s="47">
        <f>IFERROR(__xludf.DUMMYFUNCTION("""COMPUTED_VALUE"""),2.0)</f>
        <v>2</v>
      </c>
      <c r="J799" s="47" t="str">
        <f>IFERROR(__xludf.DUMMYFUNCTION("""COMPUTED_VALUE"""),"https:")</f>
        <v>https:</v>
      </c>
      <c r="K799" s="78" t="str">
        <f>IFERROR(__xludf.DUMMYFUNCTION("""COMPUTED_VALUE"""),"www.munzee.com")</f>
        <v>www.munzee.com</v>
      </c>
      <c r="L799" s="47" t="str">
        <f>IFERROR(__xludf.DUMMYFUNCTION("""COMPUTED_VALUE"""),"m")</f>
        <v>m</v>
      </c>
      <c r="M799" s="47" t="str">
        <f>IFERROR(__xludf.DUMMYFUNCTION("""COMPUTED_VALUE"""),"BrotherWilliam")</f>
        <v>BrotherWilliam</v>
      </c>
    </row>
    <row r="800">
      <c r="A800" s="47" t="str">
        <f>IFERROR(__xludf.DUMMYFUNCTION("""COMPUTED_VALUE"""),"Virtual Raw Sienna")</f>
        <v>Virtual Raw Sienna</v>
      </c>
      <c r="B800" s="47" t="str">
        <f>IFERROR(__xludf.DUMMYFUNCTION("""COMPUTED_VALUE"""),"ArtofEco")</f>
        <v>ArtofEco</v>
      </c>
      <c r="C800" s="78" t="str">
        <f>IFERROR(__xludf.DUMMYFUNCTION("""COMPUTED_VALUE"""),"https://www.munzee.com/m/ArtofEco/3063/")</f>
        <v>https://www.munzee.com/m/ArtofEco/3063/</v>
      </c>
      <c r="D800" s="47"/>
      <c r="E800" s="47" t="b">
        <f>IFERROR(__xludf.DUMMYFUNCTION("""COMPUTED_VALUE"""),TRUE)</f>
        <v>1</v>
      </c>
      <c r="F800" s="47" t="str">
        <f>IFERROR(__xludf.DUMMYFUNCTION("""COMPUTED_VALUE"""),"")</f>
        <v/>
      </c>
      <c r="G800" s="47" t="str">
        <f>IFERROR(__xludf.DUMMYFUNCTION("""COMPUTED_VALUE"""),"")</f>
        <v/>
      </c>
      <c r="H800" s="47"/>
      <c r="I800" s="47">
        <f>IFERROR(__xludf.DUMMYFUNCTION("""COMPUTED_VALUE"""),2.0)</f>
        <v>2</v>
      </c>
      <c r="J800" s="47" t="str">
        <f>IFERROR(__xludf.DUMMYFUNCTION("""COMPUTED_VALUE"""),"https:")</f>
        <v>https:</v>
      </c>
      <c r="K800" s="78" t="str">
        <f>IFERROR(__xludf.DUMMYFUNCTION("""COMPUTED_VALUE"""),"www.munzee.com")</f>
        <v>www.munzee.com</v>
      </c>
      <c r="L800" s="47" t="str">
        <f>IFERROR(__xludf.DUMMYFUNCTION("""COMPUTED_VALUE"""),"m")</f>
        <v>m</v>
      </c>
      <c r="M800" s="47" t="str">
        <f>IFERROR(__xludf.DUMMYFUNCTION("""COMPUTED_VALUE"""),"ArtofEco")</f>
        <v>ArtofEco</v>
      </c>
    </row>
    <row r="801">
      <c r="A801" s="47" t="str">
        <f>IFERROR(__xludf.DUMMYFUNCTION("""COMPUTED_VALUE"""),"Virtual Brown")</f>
        <v>Virtual Brown</v>
      </c>
      <c r="B801" s="47" t="str">
        <f>IFERROR(__xludf.DUMMYFUNCTION("""COMPUTED_VALUE"""),"krauseengineer")</f>
        <v>krauseengineer</v>
      </c>
      <c r="C801" s="78" t="str">
        <f>IFERROR(__xludf.DUMMYFUNCTION("""COMPUTED_VALUE"""),"https://www.munzee.com/m/Krauseengineer/2483")</f>
        <v>https://www.munzee.com/m/Krauseengineer/2483</v>
      </c>
      <c r="D801" s="47"/>
      <c r="E801" s="47" t="b">
        <f>IFERROR(__xludf.DUMMYFUNCTION("""COMPUTED_VALUE"""),TRUE)</f>
        <v>1</v>
      </c>
      <c r="F801" s="47" t="str">
        <f>IFERROR(__xludf.DUMMYFUNCTION("""COMPUTED_VALUE"""),"")</f>
        <v/>
      </c>
      <c r="G801" s="47" t="str">
        <f>IFERROR(__xludf.DUMMYFUNCTION("""COMPUTED_VALUE"""),"")</f>
        <v/>
      </c>
      <c r="H801" s="47"/>
      <c r="I801" s="47">
        <f>IFERROR(__xludf.DUMMYFUNCTION("""COMPUTED_VALUE"""),2.0)</f>
        <v>2</v>
      </c>
      <c r="J801" s="47" t="str">
        <f>IFERROR(__xludf.DUMMYFUNCTION("""COMPUTED_VALUE"""),"https:")</f>
        <v>https:</v>
      </c>
      <c r="K801" s="78" t="str">
        <f>IFERROR(__xludf.DUMMYFUNCTION("""COMPUTED_VALUE"""),"www.munzee.com")</f>
        <v>www.munzee.com</v>
      </c>
      <c r="L801" s="47" t="str">
        <f>IFERROR(__xludf.DUMMYFUNCTION("""COMPUTED_VALUE"""),"m")</f>
        <v>m</v>
      </c>
      <c r="M801" s="47" t="str">
        <f>IFERROR(__xludf.DUMMYFUNCTION("""COMPUTED_VALUE"""),"Krauseengineer")</f>
        <v>Krauseengineer</v>
      </c>
    </row>
    <row r="802">
      <c r="A802" s="47" t="str">
        <f>IFERROR(__xludf.DUMMYFUNCTION("""COMPUTED_VALUE"""),"Virtual Brown")</f>
        <v>Virtual Brown</v>
      </c>
      <c r="B802" s="47" t="str">
        <f>IFERROR(__xludf.DUMMYFUNCTION("""COMPUTED_VALUE"""),"Fossillady")</f>
        <v>Fossillady</v>
      </c>
      <c r="C802" s="78" t="str">
        <f>IFERROR(__xludf.DUMMYFUNCTION("""COMPUTED_VALUE"""),"https://www.munzee.com/m/Fossillady/3491")</f>
        <v>https://www.munzee.com/m/Fossillady/3491</v>
      </c>
      <c r="D802" s="47"/>
      <c r="E802" s="47" t="b">
        <f>IFERROR(__xludf.DUMMYFUNCTION("""COMPUTED_VALUE"""),TRUE)</f>
        <v>1</v>
      </c>
      <c r="F802" s="47" t="str">
        <f>IFERROR(__xludf.DUMMYFUNCTION("""COMPUTED_VALUE"""),"")</f>
        <v/>
      </c>
      <c r="G802" s="47" t="str">
        <f>IFERROR(__xludf.DUMMYFUNCTION("""COMPUTED_VALUE"""),"")</f>
        <v/>
      </c>
      <c r="H802" s="47"/>
      <c r="I802" s="47">
        <f>IFERROR(__xludf.DUMMYFUNCTION("""COMPUTED_VALUE"""),2.0)</f>
        <v>2</v>
      </c>
      <c r="J802" s="47" t="str">
        <f>IFERROR(__xludf.DUMMYFUNCTION("""COMPUTED_VALUE"""),"https:")</f>
        <v>https:</v>
      </c>
      <c r="K802" s="78" t="str">
        <f>IFERROR(__xludf.DUMMYFUNCTION("""COMPUTED_VALUE"""),"www.munzee.com")</f>
        <v>www.munzee.com</v>
      </c>
      <c r="L802" s="47" t="str">
        <f>IFERROR(__xludf.DUMMYFUNCTION("""COMPUTED_VALUE"""),"m")</f>
        <v>m</v>
      </c>
      <c r="M802" s="47" t="str">
        <f>IFERROR(__xludf.DUMMYFUNCTION("""COMPUTED_VALUE"""),"Fossillady")</f>
        <v>Fossillady</v>
      </c>
    </row>
    <row r="803">
      <c r="A803" s="47" t="str">
        <f>IFERROR(__xludf.DUMMYFUNCTION("""COMPUTED_VALUE"""),"Virtual Brown")</f>
        <v>Virtual Brown</v>
      </c>
      <c r="B803" s="47" t="str">
        <f>IFERROR(__xludf.DUMMYFUNCTION("""COMPUTED_VALUE"""),"TheFatCats")</f>
        <v>TheFatCats</v>
      </c>
      <c r="C803" s="78" t="str">
        <f>IFERROR(__xludf.DUMMYFUNCTION("""COMPUTED_VALUE"""),"https://www.munzee.com/m/TheFatCats/4310/")</f>
        <v>https://www.munzee.com/m/TheFatCats/4310/</v>
      </c>
      <c r="D803" s="47"/>
      <c r="E803" s="47" t="b">
        <f>IFERROR(__xludf.DUMMYFUNCTION("""COMPUTED_VALUE"""),TRUE)</f>
        <v>1</v>
      </c>
      <c r="F803" s="47" t="str">
        <f>IFERROR(__xludf.DUMMYFUNCTION("""COMPUTED_VALUE"""),"")</f>
        <v/>
      </c>
      <c r="G803" s="47" t="str">
        <f>IFERROR(__xludf.DUMMYFUNCTION("""COMPUTED_VALUE"""),"")</f>
        <v/>
      </c>
      <c r="H803" s="47"/>
      <c r="I803" s="47">
        <f>IFERROR(__xludf.DUMMYFUNCTION("""COMPUTED_VALUE"""),2.0)</f>
        <v>2</v>
      </c>
      <c r="J803" s="47" t="str">
        <f>IFERROR(__xludf.DUMMYFUNCTION("""COMPUTED_VALUE"""),"https:")</f>
        <v>https:</v>
      </c>
      <c r="K803" s="78" t="str">
        <f>IFERROR(__xludf.DUMMYFUNCTION("""COMPUTED_VALUE"""),"www.munzee.com")</f>
        <v>www.munzee.com</v>
      </c>
      <c r="L803" s="47" t="str">
        <f>IFERROR(__xludf.DUMMYFUNCTION("""COMPUTED_VALUE"""),"m")</f>
        <v>m</v>
      </c>
      <c r="M803" s="47" t="str">
        <f>IFERROR(__xludf.DUMMYFUNCTION("""COMPUTED_VALUE"""),"TheFatCats")</f>
        <v>TheFatCats</v>
      </c>
    </row>
    <row r="804">
      <c r="A804" s="47" t="str">
        <f>IFERROR(__xludf.DUMMYFUNCTION("""COMPUTED_VALUE"""),"Virtual Raw Sienna")</f>
        <v>Virtual Raw Sienna</v>
      </c>
      <c r="B804" s="47" t="str">
        <f>IFERROR(__xludf.DUMMYFUNCTION("""COMPUTED_VALUE"""),"OdinsFiRe")</f>
        <v>OdinsFiRe</v>
      </c>
      <c r="C804" s="78" t="str">
        <f>IFERROR(__xludf.DUMMYFUNCTION("""COMPUTED_VALUE"""),"https://www.munzee.com/m/OdinsFiRe/1933/")</f>
        <v>https://www.munzee.com/m/OdinsFiRe/1933/</v>
      </c>
      <c r="D804" s="47"/>
      <c r="E804" s="47" t="b">
        <f>IFERROR(__xludf.DUMMYFUNCTION("""COMPUTED_VALUE"""),TRUE)</f>
        <v>1</v>
      </c>
      <c r="F804" s="47" t="str">
        <f>IFERROR(__xludf.DUMMYFUNCTION("""COMPUTED_VALUE"""),"")</f>
        <v/>
      </c>
      <c r="G804" s="47" t="str">
        <f>IFERROR(__xludf.DUMMYFUNCTION("""COMPUTED_VALUE"""),"")</f>
        <v/>
      </c>
      <c r="H804" s="47"/>
      <c r="I804" s="47">
        <f>IFERROR(__xludf.DUMMYFUNCTION("""COMPUTED_VALUE"""),2.0)</f>
        <v>2</v>
      </c>
      <c r="J804" s="47" t="str">
        <f>IFERROR(__xludf.DUMMYFUNCTION("""COMPUTED_VALUE"""),"https:")</f>
        <v>https:</v>
      </c>
      <c r="K804" s="78" t="str">
        <f>IFERROR(__xludf.DUMMYFUNCTION("""COMPUTED_VALUE"""),"www.munzee.com")</f>
        <v>www.munzee.com</v>
      </c>
      <c r="L804" s="47" t="str">
        <f>IFERROR(__xludf.DUMMYFUNCTION("""COMPUTED_VALUE"""),"m")</f>
        <v>m</v>
      </c>
      <c r="M804" s="47" t="str">
        <f>IFERROR(__xludf.DUMMYFUNCTION("""COMPUTED_VALUE"""),"OdinsFiRe")</f>
        <v>OdinsFiRe</v>
      </c>
    </row>
    <row r="805">
      <c r="A805" s="47" t="str">
        <f>IFERROR(__xludf.DUMMYFUNCTION("""COMPUTED_VALUE"""),"Virtual Brown")</f>
        <v>Virtual Brown</v>
      </c>
      <c r="B805" s="47" t="str">
        <f>IFERROR(__xludf.DUMMYFUNCTION("""COMPUTED_VALUE"""),"belladivadee ")</f>
        <v>belladivadee </v>
      </c>
      <c r="C805" s="78" t="str">
        <f>IFERROR(__xludf.DUMMYFUNCTION("""COMPUTED_VALUE"""),"https://www.munzee.com/m/belladivadee/3115/")</f>
        <v>https://www.munzee.com/m/belladivadee/3115/</v>
      </c>
      <c r="D805" s="47"/>
      <c r="E805" s="47" t="b">
        <f>IFERROR(__xludf.DUMMYFUNCTION("""COMPUTED_VALUE"""),TRUE)</f>
        <v>1</v>
      </c>
      <c r="F805" s="47" t="str">
        <f>IFERROR(__xludf.DUMMYFUNCTION("""COMPUTED_VALUE"""),"")</f>
        <v/>
      </c>
      <c r="G805" s="47" t="str">
        <f>IFERROR(__xludf.DUMMYFUNCTION("""COMPUTED_VALUE"""),"")</f>
        <v/>
      </c>
      <c r="H805" s="47"/>
      <c r="I805" s="47">
        <f>IFERROR(__xludf.DUMMYFUNCTION("""COMPUTED_VALUE"""),2.0)</f>
        <v>2</v>
      </c>
      <c r="J805" s="47" t="str">
        <f>IFERROR(__xludf.DUMMYFUNCTION("""COMPUTED_VALUE"""),"https:")</f>
        <v>https:</v>
      </c>
      <c r="K805" s="78" t="str">
        <f>IFERROR(__xludf.DUMMYFUNCTION("""COMPUTED_VALUE"""),"www.munzee.com")</f>
        <v>www.munzee.com</v>
      </c>
      <c r="L805" s="47" t="str">
        <f>IFERROR(__xludf.DUMMYFUNCTION("""COMPUTED_VALUE"""),"m")</f>
        <v>m</v>
      </c>
      <c r="M805" s="47" t="str">
        <f>IFERROR(__xludf.DUMMYFUNCTION("""COMPUTED_VALUE"""),"belladivadee")</f>
        <v>belladivadee</v>
      </c>
    </row>
    <row r="806">
      <c r="A806" s="47" t="str">
        <f>IFERROR(__xludf.DUMMYFUNCTION("""COMPUTED_VALUE"""),"Virtual Brown")</f>
        <v>Virtual Brown</v>
      </c>
      <c r="B806" s="47" t="str">
        <f>IFERROR(__xludf.DUMMYFUNCTION("""COMPUTED_VALUE"""),"WangoTango")</f>
        <v>WangoTango</v>
      </c>
      <c r="C806" s="78" t="str">
        <f>IFERROR(__xludf.DUMMYFUNCTION("""COMPUTED_VALUE"""),"https://www.munzee.com/m/Wangotango/1441")</f>
        <v>https://www.munzee.com/m/Wangotango/1441</v>
      </c>
      <c r="D806" s="47"/>
      <c r="E806" s="47" t="b">
        <f>IFERROR(__xludf.DUMMYFUNCTION("""COMPUTED_VALUE"""),TRUE)</f>
        <v>1</v>
      </c>
      <c r="F806" s="47" t="str">
        <f>IFERROR(__xludf.DUMMYFUNCTION("""COMPUTED_VALUE"""),"")</f>
        <v/>
      </c>
      <c r="G806" s="47" t="str">
        <f>IFERROR(__xludf.DUMMYFUNCTION("""COMPUTED_VALUE"""),"")</f>
        <v/>
      </c>
      <c r="H806" s="47"/>
      <c r="I806" s="47">
        <f>IFERROR(__xludf.DUMMYFUNCTION("""COMPUTED_VALUE"""),2.0)</f>
        <v>2</v>
      </c>
      <c r="J806" s="47" t="str">
        <f>IFERROR(__xludf.DUMMYFUNCTION("""COMPUTED_VALUE"""),"https:")</f>
        <v>https:</v>
      </c>
      <c r="K806" s="78" t="str">
        <f>IFERROR(__xludf.DUMMYFUNCTION("""COMPUTED_VALUE"""),"www.munzee.com")</f>
        <v>www.munzee.com</v>
      </c>
      <c r="L806" s="47" t="str">
        <f>IFERROR(__xludf.DUMMYFUNCTION("""COMPUTED_VALUE"""),"m")</f>
        <v>m</v>
      </c>
      <c r="M806" s="47" t="str">
        <f>IFERROR(__xludf.DUMMYFUNCTION("""COMPUTED_VALUE"""),"Wangotango")</f>
        <v>Wangotango</v>
      </c>
    </row>
    <row r="807">
      <c r="A807" s="47" t="str">
        <f>IFERROR(__xludf.DUMMYFUNCTION("""COMPUTED_VALUE"""),"Virtual Raw Sienna")</f>
        <v>Virtual Raw Sienna</v>
      </c>
      <c r="B807" s="47" t="str">
        <f>IFERROR(__xludf.DUMMYFUNCTION("""COMPUTED_VALUE"""),"Amadoreugen")</f>
        <v>Amadoreugen</v>
      </c>
      <c r="C807" s="78" t="str">
        <f>IFERROR(__xludf.DUMMYFUNCTION("""COMPUTED_VALUE"""),"https://www.munzee.com/m/amadoreugen/5824")</f>
        <v>https://www.munzee.com/m/amadoreugen/5824</v>
      </c>
      <c r="D807" s="47"/>
      <c r="E807" s="47" t="b">
        <f>IFERROR(__xludf.DUMMYFUNCTION("""COMPUTED_VALUE"""),TRUE)</f>
        <v>1</v>
      </c>
      <c r="F807" s="47" t="str">
        <f>IFERROR(__xludf.DUMMYFUNCTION("""COMPUTED_VALUE"""),"")</f>
        <v/>
      </c>
      <c r="G807" s="47" t="str">
        <f>IFERROR(__xludf.DUMMYFUNCTION("""COMPUTED_VALUE"""),"")</f>
        <v/>
      </c>
      <c r="H807" s="47"/>
      <c r="I807" s="47">
        <f>IFERROR(__xludf.DUMMYFUNCTION("""COMPUTED_VALUE"""),2.0)</f>
        <v>2</v>
      </c>
      <c r="J807" s="47" t="str">
        <f>IFERROR(__xludf.DUMMYFUNCTION("""COMPUTED_VALUE"""),"https:")</f>
        <v>https:</v>
      </c>
      <c r="K807" s="78" t="str">
        <f>IFERROR(__xludf.DUMMYFUNCTION("""COMPUTED_VALUE"""),"www.munzee.com")</f>
        <v>www.munzee.com</v>
      </c>
      <c r="L807" s="47" t="str">
        <f>IFERROR(__xludf.DUMMYFUNCTION("""COMPUTED_VALUE"""),"m")</f>
        <v>m</v>
      </c>
      <c r="M807" s="47" t="str">
        <f>IFERROR(__xludf.DUMMYFUNCTION("""COMPUTED_VALUE"""),"amadoreugen")</f>
        <v>amadoreugen</v>
      </c>
    </row>
    <row r="808">
      <c r="A808" s="47" t="str">
        <f>IFERROR(__xludf.DUMMYFUNCTION("""COMPUTED_VALUE"""),"Virtual Brown")</f>
        <v>Virtual Brown</v>
      </c>
      <c r="B808" s="47" t="str">
        <f>IFERROR(__xludf.DUMMYFUNCTION("""COMPUTED_VALUE"""),"cbf600")</f>
        <v>cbf600</v>
      </c>
      <c r="C808" s="78" t="str">
        <f>IFERROR(__xludf.DUMMYFUNCTION("""COMPUTED_VALUE"""),"https://www.munzee.com/m/cbf600/2575/")</f>
        <v>https://www.munzee.com/m/cbf600/2575/</v>
      </c>
      <c r="D808" s="47"/>
      <c r="E808" s="47" t="b">
        <f>IFERROR(__xludf.DUMMYFUNCTION("""COMPUTED_VALUE"""),TRUE)</f>
        <v>1</v>
      </c>
      <c r="F808" s="47" t="str">
        <f>IFERROR(__xludf.DUMMYFUNCTION("""COMPUTED_VALUE"""),"")</f>
        <v/>
      </c>
      <c r="G808" s="47" t="str">
        <f>IFERROR(__xludf.DUMMYFUNCTION("""COMPUTED_VALUE"""),"")</f>
        <v/>
      </c>
      <c r="H808" s="47"/>
      <c r="I808" s="47">
        <f>IFERROR(__xludf.DUMMYFUNCTION("""COMPUTED_VALUE"""),2.0)</f>
        <v>2</v>
      </c>
      <c r="J808" s="47" t="str">
        <f>IFERROR(__xludf.DUMMYFUNCTION("""COMPUTED_VALUE"""),"https:")</f>
        <v>https:</v>
      </c>
      <c r="K808" s="78" t="str">
        <f>IFERROR(__xludf.DUMMYFUNCTION("""COMPUTED_VALUE"""),"www.munzee.com")</f>
        <v>www.munzee.com</v>
      </c>
      <c r="L808" s="47" t="str">
        <f>IFERROR(__xludf.DUMMYFUNCTION("""COMPUTED_VALUE"""),"m")</f>
        <v>m</v>
      </c>
      <c r="M808" s="47" t="str">
        <f>IFERROR(__xludf.DUMMYFUNCTION("""COMPUTED_VALUE"""),"cbf600")</f>
        <v>cbf600</v>
      </c>
    </row>
    <row r="809">
      <c r="A809" s="47" t="str">
        <f>IFERROR(__xludf.DUMMYFUNCTION("""COMPUTED_VALUE"""),"Virtual Raw Sienna")</f>
        <v>Virtual Raw Sienna</v>
      </c>
      <c r="B809" s="47" t="str">
        <f>IFERROR(__xludf.DUMMYFUNCTION("""COMPUTED_VALUE"""),"Amundadus")</f>
        <v>Amundadus</v>
      </c>
      <c r="C809" s="78" t="str">
        <f>IFERROR(__xludf.DUMMYFUNCTION("""COMPUTED_VALUE"""),"https://www.munzee.com/m/amundadus/1132/")</f>
        <v>https://www.munzee.com/m/amundadus/1132/</v>
      </c>
      <c r="D809" s="47"/>
      <c r="E809" s="47" t="b">
        <f>IFERROR(__xludf.DUMMYFUNCTION("""COMPUTED_VALUE"""),TRUE)</f>
        <v>1</v>
      </c>
      <c r="F809" s="47" t="str">
        <f>IFERROR(__xludf.DUMMYFUNCTION("""COMPUTED_VALUE"""),"")</f>
        <v/>
      </c>
      <c r="G809" s="47" t="str">
        <f>IFERROR(__xludf.DUMMYFUNCTION("""COMPUTED_VALUE"""),"")</f>
        <v/>
      </c>
      <c r="H809" s="47"/>
      <c r="I809" s="47">
        <f>IFERROR(__xludf.DUMMYFUNCTION("""COMPUTED_VALUE"""),2.0)</f>
        <v>2</v>
      </c>
      <c r="J809" s="47" t="str">
        <f>IFERROR(__xludf.DUMMYFUNCTION("""COMPUTED_VALUE"""),"https:")</f>
        <v>https:</v>
      </c>
      <c r="K809" s="78" t="str">
        <f>IFERROR(__xludf.DUMMYFUNCTION("""COMPUTED_VALUE"""),"www.munzee.com")</f>
        <v>www.munzee.com</v>
      </c>
      <c r="L809" s="47" t="str">
        <f>IFERROR(__xludf.DUMMYFUNCTION("""COMPUTED_VALUE"""),"m")</f>
        <v>m</v>
      </c>
      <c r="M809" s="47" t="str">
        <f>IFERROR(__xludf.DUMMYFUNCTION("""COMPUTED_VALUE"""),"amundadus")</f>
        <v>amundadus</v>
      </c>
    </row>
    <row r="810">
      <c r="A810" s="47" t="str">
        <f>IFERROR(__xludf.DUMMYFUNCTION("""COMPUTED_VALUE"""),"Virtual Brown")</f>
        <v>Virtual Brown</v>
      </c>
      <c r="B810" s="47" t="str">
        <f>IFERROR(__xludf.DUMMYFUNCTION("""COMPUTED_VALUE"""),"lison55")</f>
        <v>lison55</v>
      </c>
      <c r="C810" s="78" t="str">
        <f>IFERROR(__xludf.DUMMYFUNCTION("""COMPUTED_VALUE"""),"https://www.munzee.com/m/lison55/5748/")</f>
        <v>https://www.munzee.com/m/lison55/5748/</v>
      </c>
      <c r="D810" s="47"/>
      <c r="E810" s="47" t="b">
        <f>IFERROR(__xludf.DUMMYFUNCTION("""COMPUTED_VALUE"""),TRUE)</f>
        <v>1</v>
      </c>
      <c r="F810" s="47" t="str">
        <f>IFERROR(__xludf.DUMMYFUNCTION("""COMPUTED_VALUE"""),"")</f>
        <v/>
      </c>
      <c r="G810" s="47" t="str">
        <f>IFERROR(__xludf.DUMMYFUNCTION("""COMPUTED_VALUE"""),"")</f>
        <v/>
      </c>
      <c r="H810" s="47"/>
      <c r="I810" s="47">
        <f>IFERROR(__xludf.DUMMYFUNCTION("""COMPUTED_VALUE"""),2.0)</f>
        <v>2</v>
      </c>
      <c r="J810" s="47" t="str">
        <f>IFERROR(__xludf.DUMMYFUNCTION("""COMPUTED_VALUE"""),"https:")</f>
        <v>https:</v>
      </c>
      <c r="K810" s="78" t="str">
        <f>IFERROR(__xludf.DUMMYFUNCTION("""COMPUTED_VALUE"""),"www.munzee.com")</f>
        <v>www.munzee.com</v>
      </c>
      <c r="L810" s="47" t="str">
        <f>IFERROR(__xludf.DUMMYFUNCTION("""COMPUTED_VALUE"""),"m")</f>
        <v>m</v>
      </c>
      <c r="M810" s="47" t="str">
        <f>IFERROR(__xludf.DUMMYFUNCTION("""COMPUTED_VALUE"""),"lison55")</f>
        <v>lison55</v>
      </c>
    </row>
    <row r="811">
      <c r="A811" s="47" t="str">
        <f>IFERROR(__xludf.DUMMYFUNCTION("""COMPUTED_VALUE"""),"Virtual Brown")</f>
        <v>Virtual Brown</v>
      </c>
      <c r="B811" s="47" t="str">
        <f>IFERROR(__xludf.DUMMYFUNCTION("""COMPUTED_VALUE"""),"Trappertje")</f>
        <v>Trappertje</v>
      </c>
      <c r="C811" s="78" t="str">
        <f>IFERROR(__xludf.DUMMYFUNCTION("""COMPUTED_VALUE"""),"https://www.munzee.com/m/Trappertje/5428/")</f>
        <v>https://www.munzee.com/m/Trappertje/5428/</v>
      </c>
      <c r="D811" s="47"/>
      <c r="E811" s="47" t="b">
        <f>IFERROR(__xludf.DUMMYFUNCTION("""COMPUTED_VALUE"""),TRUE)</f>
        <v>1</v>
      </c>
      <c r="F811" s="47" t="str">
        <f>IFERROR(__xludf.DUMMYFUNCTION("""COMPUTED_VALUE"""),"")</f>
        <v/>
      </c>
      <c r="G811" s="47" t="str">
        <f>IFERROR(__xludf.DUMMYFUNCTION("""COMPUTED_VALUE"""),"")</f>
        <v/>
      </c>
      <c r="H811" s="47"/>
      <c r="I811" s="47">
        <f>IFERROR(__xludf.DUMMYFUNCTION("""COMPUTED_VALUE"""),2.0)</f>
        <v>2</v>
      </c>
      <c r="J811" s="47" t="str">
        <f>IFERROR(__xludf.DUMMYFUNCTION("""COMPUTED_VALUE"""),"https:")</f>
        <v>https:</v>
      </c>
      <c r="K811" s="78" t="str">
        <f>IFERROR(__xludf.DUMMYFUNCTION("""COMPUTED_VALUE"""),"www.munzee.com")</f>
        <v>www.munzee.com</v>
      </c>
      <c r="L811" s="47" t="str">
        <f>IFERROR(__xludf.DUMMYFUNCTION("""COMPUTED_VALUE"""),"m")</f>
        <v>m</v>
      </c>
      <c r="M811" s="47" t="str">
        <f>IFERROR(__xludf.DUMMYFUNCTION("""COMPUTED_VALUE"""),"Trappertje")</f>
        <v>Trappertje</v>
      </c>
    </row>
    <row r="812">
      <c r="A812" s="47" t="str">
        <f>IFERROR(__xludf.DUMMYFUNCTION("""COMPUTED_VALUE"""),"Virtual Brown")</f>
        <v>Virtual Brown</v>
      </c>
      <c r="B812" s="47" t="str">
        <f>IFERROR(__xludf.DUMMYFUNCTION("""COMPUTED_VALUE"""),"Brother William")</f>
        <v>Brother William</v>
      </c>
      <c r="C812" s="78" t="str">
        <f>IFERROR(__xludf.DUMMYFUNCTION("""COMPUTED_VALUE"""),"https://www.munzee.com/m/BrotherWilliam/4896/")</f>
        <v>https://www.munzee.com/m/BrotherWilliam/4896/</v>
      </c>
      <c r="D812" s="47"/>
      <c r="E812" s="47" t="b">
        <f>IFERROR(__xludf.DUMMYFUNCTION("""COMPUTED_VALUE"""),TRUE)</f>
        <v>1</v>
      </c>
      <c r="F812" s="47" t="str">
        <f>IFERROR(__xludf.DUMMYFUNCTION("""COMPUTED_VALUE"""),"")</f>
        <v/>
      </c>
      <c r="G812" s="47" t="str">
        <f>IFERROR(__xludf.DUMMYFUNCTION("""COMPUTED_VALUE"""),"")</f>
        <v/>
      </c>
      <c r="H812" s="47"/>
      <c r="I812" s="47">
        <f>IFERROR(__xludf.DUMMYFUNCTION("""COMPUTED_VALUE"""),2.0)</f>
        <v>2</v>
      </c>
      <c r="J812" s="47" t="str">
        <f>IFERROR(__xludf.DUMMYFUNCTION("""COMPUTED_VALUE"""),"https:")</f>
        <v>https:</v>
      </c>
      <c r="K812" s="78" t="str">
        <f>IFERROR(__xludf.DUMMYFUNCTION("""COMPUTED_VALUE"""),"www.munzee.com")</f>
        <v>www.munzee.com</v>
      </c>
      <c r="L812" s="47" t="str">
        <f>IFERROR(__xludf.DUMMYFUNCTION("""COMPUTED_VALUE"""),"m")</f>
        <v>m</v>
      </c>
      <c r="M812" s="47" t="str">
        <f>IFERROR(__xludf.DUMMYFUNCTION("""COMPUTED_VALUE"""),"BrotherWilliam")</f>
        <v>BrotherWilliam</v>
      </c>
    </row>
    <row r="813">
      <c r="A813" s="47" t="str">
        <f>IFERROR(__xludf.DUMMYFUNCTION("""COMPUTED_VALUE"""),"Virtual Brown")</f>
        <v>Virtual Brown</v>
      </c>
      <c r="B813" s="47" t="str">
        <f>IFERROR(__xludf.DUMMYFUNCTION("""COMPUTED_VALUE"""),"wally62")</f>
        <v>wally62</v>
      </c>
      <c r="C813" s="78" t="str">
        <f>IFERROR(__xludf.DUMMYFUNCTION("""COMPUTED_VALUE"""),"https://www.munzee.com/m/wally62/4917/")</f>
        <v>https://www.munzee.com/m/wally62/4917/</v>
      </c>
      <c r="D813" s="47"/>
      <c r="E813" s="47" t="b">
        <f>IFERROR(__xludf.DUMMYFUNCTION("""COMPUTED_VALUE"""),TRUE)</f>
        <v>1</v>
      </c>
      <c r="F813" s="47" t="str">
        <f>IFERROR(__xludf.DUMMYFUNCTION("""COMPUTED_VALUE"""),"")</f>
        <v/>
      </c>
      <c r="G813" s="47" t="str">
        <f>IFERROR(__xludf.DUMMYFUNCTION("""COMPUTED_VALUE"""),"")</f>
        <v/>
      </c>
      <c r="H813" s="47"/>
      <c r="I813" s="47">
        <f>IFERROR(__xludf.DUMMYFUNCTION("""COMPUTED_VALUE"""),2.0)</f>
        <v>2</v>
      </c>
      <c r="J813" s="47" t="str">
        <f>IFERROR(__xludf.DUMMYFUNCTION("""COMPUTED_VALUE"""),"https:")</f>
        <v>https:</v>
      </c>
      <c r="K813" s="78" t="str">
        <f>IFERROR(__xludf.DUMMYFUNCTION("""COMPUTED_VALUE"""),"www.munzee.com")</f>
        <v>www.munzee.com</v>
      </c>
      <c r="L813" s="47" t="str">
        <f>IFERROR(__xludf.DUMMYFUNCTION("""COMPUTED_VALUE"""),"m")</f>
        <v>m</v>
      </c>
      <c r="M813" s="47" t="str">
        <f>IFERROR(__xludf.DUMMYFUNCTION("""COMPUTED_VALUE"""),"wally62")</f>
        <v>wally62</v>
      </c>
    </row>
    <row r="814">
      <c r="A814" s="47" t="str">
        <f>IFERROR(__xludf.DUMMYFUNCTION("""COMPUTED_VALUE"""),"Virtual Brown")</f>
        <v>Virtual Brown</v>
      </c>
      <c r="B814" s="47" t="str">
        <f>IFERROR(__xludf.DUMMYFUNCTION("""COMPUTED_VALUE"""),"cbf600")</f>
        <v>cbf600</v>
      </c>
      <c r="C814" s="78" t="str">
        <f>IFERROR(__xludf.DUMMYFUNCTION("""COMPUTED_VALUE"""),"https://www.munzee.com/m/cbf600/2662/")</f>
        <v>https://www.munzee.com/m/cbf600/2662/</v>
      </c>
      <c r="D814" s="47"/>
      <c r="E814" s="47" t="b">
        <f>IFERROR(__xludf.DUMMYFUNCTION("""COMPUTED_VALUE"""),TRUE)</f>
        <v>1</v>
      </c>
      <c r="F814" s="47" t="str">
        <f>IFERROR(__xludf.DUMMYFUNCTION("""COMPUTED_VALUE"""),"")</f>
        <v/>
      </c>
      <c r="G814" s="47" t="str">
        <f>IFERROR(__xludf.DUMMYFUNCTION("""COMPUTED_VALUE"""),"")</f>
        <v/>
      </c>
      <c r="H814" s="47"/>
      <c r="I814" s="47">
        <f>IFERROR(__xludf.DUMMYFUNCTION("""COMPUTED_VALUE"""),2.0)</f>
        <v>2</v>
      </c>
      <c r="J814" s="47" t="str">
        <f>IFERROR(__xludf.DUMMYFUNCTION("""COMPUTED_VALUE"""),"https:")</f>
        <v>https:</v>
      </c>
      <c r="K814" s="78" t="str">
        <f>IFERROR(__xludf.DUMMYFUNCTION("""COMPUTED_VALUE"""),"www.munzee.com")</f>
        <v>www.munzee.com</v>
      </c>
      <c r="L814" s="47" t="str">
        <f>IFERROR(__xludf.DUMMYFUNCTION("""COMPUTED_VALUE"""),"m")</f>
        <v>m</v>
      </c>
      <c r="M814" s="47" t="str">
        <f>IFERROR(__xludf.DUMMYFUNCTION("""COMPUTED_VALUE"""),"cbf600")</f>
        <v>cbf600</v>
      </c>
    </row>
    <row r="815">
      <c r="A815" s="47" t="str">
        <f>IFERROR(__xludf.DUMMYFUNCTION("""COMPUTED_VALUE"""),"Virtual Brown")</f>
        <v>Virtual Brown</v>
      </c>
      <c r="B815" s="47" t="str">
        <f>IFERROR(__xludf.DUMMYFUNCTION("""COMPUTED_VALUE"""),"Bisquick2")</f>
        <v>Bisquick2</v>
      </c>
      <c r="C815" s="78" t="str">
        <f>IFERROR(__xludf.DUMMYFUNCTION("""COMPUTED_VALUE"""),"https://www.munzee.com/m/Bisquick2/4734/")</f>
        <v>https://www.munzee.com/m/Bisquick2/4734/</v>
      </c>
      <c r="D815" s="47"/>
      <c r="E815" s="47" t="b">
        <f>IFERROR(__xludf.DUMMYFUNCTION("""COMPUTED_VALUE"""),TRUE)</f>
        <v>1</v>
      </c>
      <c r="F815" s="47" t="str">
        <f>IFERROR(__xludf.DUMMYFUNCTION("""COMPUTED_VALUE"""),"")</f>
        <v/>
      </c>
      <c r="G815" s="47" t="str">
        <f>IFERROR(__xludf.DUMMYFUNCTION("""COMPUTED_VALUE"""),"")</f>
        <v/>
      </c>
      <c r="H815" s="47"/>
      <c r="I815" s="47">
        <f>IFERROR(__xludf.DUMMYFUNCTION("""COMPUTED_VALUE"""),2.0)</f>
        <v>2</v>
      </c>
      <c r="J815" s="47" t="str">
        <f>IFERROR(__xludf.DUMMYFUNCTION("""COMPUTED_VALUE"""),"https:")</f>
        <v>https:</v>
      </c>
      <c r="K815" s="78" t="str">
        <f>IFERROR(__xludf.DUMMYFUNCTION("""COMPUTED_VALUE"""),"www.munzee.com")</f>
        <v>www.munzee.com</v>
      </c>
      <c r="L815" s="47" t="str">
        <f>IFERROR(__xludf.DUMMYFUNCTION("""COMPUTED_VALUE"""),"m")</f>
        <v>m</v>
      </c>
      <c r="M815" s="47" t="str">
        <f>IFERROR(__xludf.DUMMYFUNCTION("""COMPUTED_VALUE"""),"Bisquick2")</f>
        <v>Bisquick2</v>
      </c>
    </row>
    <row r="816">
      <c r="A816" s="47" t="str">
        <f>IFERROR(__xludf.DUMMYFUNCTION("""COMPUTED_VALUE"""),"Virtual Brown")</f>
        <v>Virtual Brown</v>
      </c>
      <c r="B816" s="47" t="str">
        <f>IFERROR(__xludf.DUMMYFUNCTION("""COMPUTED_VALUE"""),"Anetzet")</f>
        <v>Anetzet</v>
      </c>
      <c r="C816" s="78" t="str">
        <f>IFERROR(__xludf.DUMMYFUNCTION("""COMPUTED_VALUE"""),"https://www.munzee.com/m/Anetzet/3347/")</f>
        <v>https://www.munzee.com/m/Anetzet/3347/</v>
      </c>
      <c r="D816" s="47"/>
      <c r="E816" s="47" t="b">
        <f>IFERROR(__xludf.DUMMYFUNCTION("""COMPUTED_VALUE"""),TRUE)</f>
        <v>1</v>
      </c>
      <c r="F816" s="47" t="str">
        <f>IFERROR(__xludf.DUMMYFUNCTION("""COMPUTED_VALUE"""),"")</f>
        <v/>
      </c>
      <c r="G816" s="47" t="str">
        <f>IFERROR(__xludf.DUMMYFUNCTION("""COMPUTED_VALUE"""),"")</f>
        <v/>
      </c>
      <c r="H816" s="47"/>
      <c r="I816" s="47">
        <f>IFERROR(__xludf.DUMMYFUNCTION("""COMPUTED_VALUE"""),2.0)</f>
        <v>2</v>
      </c>
      <c r="J816" s="47" t="str">
        <f>IFERROR(__xludf.DUMMYFUNCTION("""COMPUTED_VALUE"""),"https:")</f>
        <v>https:</v>
      </c>
      <c r="K816" s="78" t="str">
        <f>IFERROR(__xludf.DUMMYFUNCTION("""COMPUTED_VALUE"""),"www.munzee.com")</f>
        <v>www.munzee.com</v>
      </c>
      <c r="L816" s="47" t="str">
        <f>IFERROR(__xludf.DUMMYFUNCTION("""COMPUTED_VALUE"""),"m")</f>
        <v>m</v>
      </c>
      <c r="M816" s="47" t="str">
        <f>IFERROR(__xludf.DUMMYFUNCTION("""COMPUTED_VALUE"""),"Anetzet")</f>
        <v>Anetzet</v>
      </c>
    </row>
    <row r="817">
      <c r="A817" s="47" t="str">
        <f>IFERROR(__xludf.DUMMYFUNCTION("""COMPUTED_VALUE"""),"Virtual Raw Sienna")</f>
        <v>Virtual Raw Sienna</v>
      </c>
      <c r="B817" s="47" t="str">
        <f>IFERROR(__xludf.DUMMYFUNCTION("""COMPUTED_VALUE"""),"xrayneex")</f>
        <v>xrayneex</v>
      </c>
      <c r="C817" s="78" t="str">
        <f>IFERROR(__xludf.DUMMYFUNCTION("""COMPUTED_VALUE"""),"https://www.munzee.com/m/xrayneex/1119/")</f>
        <v>https://www.munzee.com/m/xrayneex/1119/</v>
      </c>
      <c r="D817" s="47"/>
      <c r="E817" s="47" t="b">
        <f>IFERROR(__xludf.DUMMYFUNCTION("""COMPUTED_VALUE"""),TRUE)</f>
        <v>1</v>
      </c>
      <c r="F817" s="47" t="str">
        <f>IFERROR(__xludf.DUMMYFUNCTION("""COMPUTED_VALUE"""),"")</f>
        <v/>
      </c>
      <c r="G817" s="47" t="str">
        <f>IFERROR(__xludf.DUMMYFUNCTION("""COMPUTED_VALUE"""),"")</f>
        <v/>
      </c>
      <c r="H817" s="47"/>
      <c r="I817" s="47">
        <f>IFERROR(__xludf.DUMMYFUNCTION("""COMPUTED_VALUE"""),2.0)</f>
        <v>2</v>
      </c>
      <c r="J817" s="47" t="str">
        <f>IFERROR(__xludf.DUMMYFUNCTION("""COMPUTED_VALUE"""),"https:")</f>
        <v>https:</v>
      </c>
      <c r="K817" s="78" t="str">
        <f>IFERROR(__xludf.DUMMYFUNCTION("""COMPUTED_VALUE"""),"www.munzee.com")</f>
        <v>www.munzee.com</v>
      </c>
      <c r="L817" s="47" t="str">
        <f>IFERROR(__xludf.DUMMYFUNCTION("""COMPUTED_VALUE"""),"m")</f>
        <v>m</v>
      </c>
      <c r="M817" s="47" t="str">
        <f>IFERROR(__xludf.DUMMYFUNCTION("""COMPUTED_VALUE"""),"xrayneex")</f>
        <v>xrayneex</v>
      </c>
    </row>
    <row r="818">
      <c r="A818" s="47" t="str">
        <f>IFERROR(__xludf.DUMMYFUNCTION("""COMPUTED_VALUE"""),"Virtual Brown")</f>
        <v>Virtual Brown</v>
      </c>
      <c r="B818" s="47" t="str">
        <f>IFERROR(__xludf.DUMMYFUNCTION("""COMPUTED_VALUE"""),"Aniara")</f>
        <v>Aniara</v>
      </c>
      <c r="C818" s="78" t="str">
        <f>IFERROR(__xludf.DUMMYFUNCTION("""COMPUTED_VALUE"""),"https://www.munzee.com/m/Aniara/7897")</f>
        <v>https://www.munzee.com/m/Aniara/7897</v>
      </c>
      <c r="D818" s="47"/>
      <c r="E818" s="47" t="b">
        <f>IFERROR(__xludf.DUMMYFUNCTION("""COMPUTED_VALUE"""),TRUE)</f>
        <v>1</v>
      </c>
      <c r="F818" s="47" t="str">
        <f>IFERROR(__xludf.DUMMYFUNCTION("""COMPUTED_VALUE"""),"")</f>
        <v/>
      </c>
      <c r="G818" s="47" t="str">
        <f>IFERROR(__xludf.DUMMYFUNCTION("""COMPUTED_VALUE"""),"")</f>
        <v/>
      </c>
      <c r="H818" s="47"/>
      <c r="I818" s="47">
        <f>IFERROR(__xludf.DUMMYFUNCTION("""COMPUTED_VALUE"""),2.0)</f>
        <v>2</v>
      </c>
      <c r="J818" s="47" t="str">
        <f>IFERROR(__xludf.DUMMYFUNCTION("""COMPUTED_VALUE"""),"https:")</f>
        <v>https:</v>
      </c>
      <c r="K818" s="78" t="str">
        <f>IFERROR(__xludf.DUMMYFUNCTION("""COMPUTED_VALUE"""),"www.munzee.com")</f>
        <v>www.munzee.com</v>
      </c>
      <c r="L818" s="47" t="str">
        <f>IFERROR(__xludf.DUMMYFUNCTION("""COMPUTED_VALUE"""),"m")</f>
        <v>m</v>
      </c>
      <c r="M818" s="47" t="str">
        <f>IFERROR(__xludf.DUMMYFUNCTION("""COMPUTED_VALUE"""),"Aniara")</f>
        <v>Aniara</v>
      </c>
    </row>
    <row r="819">
      <c r="A819" s="47" t="str">
        <f>IFERROR(__xludf.DUMMYFUNCTION("""COMPUTED_VALUE"""),"Virtual Brown")</f>
        <v>Virtual Brown</v>
      </c>
      <c r="B819" s="47" t="str">
        <f>IFERROR(__xludf.DUMMYFUNCTION("""COMPUTED_VALUE"""),"res2100")</f>
        <v>res2100</v>
      </c>
      <c r="C819" s="78" t="str">
        <f>IFERROR(__xludf.DUMMYFUNCTION("""COMPUTED_VALUE"""),"https://www.munzee.com/m/res2100/767")</f>
        <v>https://www.munzee.com/m/res2100/767</v>
      </c>
      <c r="D819" s="47"/>
      <c r="E819" s="47" t="b">
        <f>IFERROR(__xludf.DUMMYFUNCTION("""COMPUTED_VALUE"""),TRUE)</f>
        <v>1</v>
      </c>
      <c r="F819" s="47" t="str">
        <f>IFERROR(__xludf.DUMMYFUNCTION("""COMPUTED_VALUE"""),"")</f>
        <v/>
      </c>
      <c r="G819" s="47" t="str">
        <f>IFERROR(__xludf.DUMMYFUNCTION("""COMPUTED_VALUE"""),"")</f>
        <v/>
      </c>
      <c r="H819" s="47"/>
      <c r="I819" s="47">
        <f>IFERROR(__xludf.DUMMYFUNCTION("""COMPUTED_VALUE"""),2.0)</f>
        <v>2</v>
      </c>
      <c r="J819" s="47" t="str">
        <f>IFERROR(__xludf.DUMMYFUNCTION("""COMPUTED_VALUE"""),"https:")</f>
        <v>https:</v>
      </c>
      <c r="K819" s="78" t="str">
        <f>IFERROR(__xludf.DUMMYFUNCTION("""COMPUTED_VALUE"""),"www.munzee.com")</f>
        <v>www.munzee.com</v>
      </c>
      <c r="L819" s="47" t="str">
        <f>IFERROR(__xludf.DUMMYFUNCTION("""COMPUTED_VALUE"""),"m")</f>
        <v>m</v>
      </c>
      <c r="M819" s="47" t="str">
        <f>IFERROR(__xludf.DUMMYFUNCTION("""COMPUTED_VALUE"""),"res2100")</f>
        <v>res2100</v>
      </c>
    </row>
    <row r="820">
      <c r="A820" s="47" t="str">
        <f>IFERROR(__xludf.DUMMYFUNCTION("""COMPUTED_VALUE"""),"Virtual Raw Sienna")</f>
        <v>Virtual Raw Sienna</v>
      </c>
      <c r="B820" s="47" t="str">
        <f>IFERROR(__xludf.DUMMYFUNCTION("""COMPUTED_VALUE"""),"mding4gold")</f>
        <v>mding4gold</v>
      </c>
      <c r="C820" s="78" t="str">
        <f>IFERROR(__xludf.DUMMYFUNCTION("""COMPUTED_VALUE"""),"https://www.munzee.com/m/mding4gold/4984")</f>
        <v>https://www.munzee.com/m/mding4gold/4984</v>
      </c>
      <c r="D820" s="47"/>
      <c r="E820" s="47" t="b">
        <f>IFERROR(__xludf.DUMMYFUNCTION("""COMPUTED_VALUE"""),TRUE)</f>
        <v>1</v>
      </c>
      <c r="F820" s="47" t="str">
        <f>IFERROR(__xludf.DUMMYFUNCTION("""COMPUTED_VALUE"""),"")</f>
        <v/>
      </c>
      <c r="G820" s="47" t="str">
        <f>IFERROR(__xludf.DUMMYFUNCTION("""COMPUTED_VALUE"""),"")</f>
        <v/>
      </c>
      <c r="H820" s="47"/>
      <c r="I820" s="47">
        <f>IFERROR(__xludf.DUMMYFUNCTION("""COMPUTED_VALUE"""),2.0)</f>
        <v>2</v>
      </c>
      <c r="J820" s="47" t="str">
        <f>IFERROR(__xludf.DUMMYFUNCTION("""COMPUTED_VALUE"""),"https:")</f>
        <v>https:</v>
      </c>
      <c r="K820" s="78" t="str">
        <f>IFERROR(__xludf.DUMMYFUNCTION("""COMPUTED_VALUE"""),"www.munzee.com")</f>
        <v>www.munzee.com</v>
      </c>
      <c r="L820" s="47" t="str">
        <f>IFERROR(__xludf.DUMMYFUNCTION("""COMPUTED_VALUE"""),"m")</f>
        <v>m</v>
      </c>
      <c r="M820" s="47" t="str">
        <f>IFERROR(__xludf.DUMMYFUNCTION("""COMPUTED_VALUE"""),"mding4gold")</f>
        <v>mding4gold</v>
      </c>
    </row>
    <row r="821">
      <c r="A821" s="47" t="str">
        <f>IFERROR(__xludf.DUMMYFUNCTION("""COMPUTED_VALUE"""),"Virtual Brown")</f>
        <v>Virtual Brown</v>
      </c>
      <c r="B821" s="47" t="str">
        <f>IFERROR(__xludf.DUMMYFUNCTION("""COMPUTED_VALUE"""),"TheFrog")</f>
        <v>TheFrog</v>
      </c>
      <c r="C821" s="78" t="str">
        <f>IFERROR(__xludf.DUMMYFUNCTION("""COMPUTED_VALUE"""),"https://www.munzee.com/m/TheFrog/4708/")</f>
        <v>https://www.munzee.com/m/TheFrog/4708/</v>
      </c>
      <c r="D821" s="47"/>
      <c r="E821" s="47" t="b">
        <f>IFERROR(__xludf.DUMMYFUNCTION("""COMPUTED_VALUE"""),TRUE)</f>
        <v>1</v>
      </c>
      <c r="F821" s="47" t="str">
        <f>IFERROR(__xludf.DUMMYFUNCTION("""COMPUTED_VALUE"""),"")</f>
        <v/>
      </c>
      <c r="G821" s="47" t="str">
        <f>IFERROR(__xludf.DUMMYFUNCTION("""COMPUTED_VALUE"""),"")</f>
        <v/>
      </c>
      <c r="H821" s="47"/>
      <c r="I821" s="47">
        <f>IFERROR(__xludf.DUMMYFUNCTION("""COMPUTED_VALUE"""),2.0)</f>
        <v>2</v>
      </c>
      <c r="J821" s="47" t="str">
        <f>IFERROR(__xludf.DUMMYFUNCTION("""COMPUTED_VALUE"""),"https:")</f>
        <v>https:</v>
      </c>
      <c r="K821" s="78" t="str">
        <f>IFERROR(__xludf.DUMMYFUNCTION("""COMPUTED_VALUE"""),"www.munzee.com")</f>
        <v>www.munzee.com</v>
      </c>
      <c r="L821" s="47" t="str">
        <f>IFERROR(__xludf.DUMMYFUNCTION("""COMPUTED_VALUE"""),"m")</f>
        <v>m</v>
      </c>
      <c r="M821" s="47" t="str">
        <f>IFERROR(__xludf.DUMMYFUNCTION("""COMPUTED_VALUE"""),"TheFrog")</f>
        <v>TheFrog</v>
      </c>
    </row>
    <row r="822">
      <c r="A822" s="47" t="str">
        <f>IFERROR(__xludf.DUMMYFUNCTION("""COMPUTED_VALUE"""),"Virtual Brown")</f>
        <v>Virtual Brown</v>
      </c>
      <c r="B822" s="47" t="str">
        <f>IFERROR(__xludf.DUMMYFUNCTION("""COMPUTED_VALUE"""),"123xilef")</f>
        <v>123xilef</v>
      </c>
      <c r="C822" s="78" t="str">
        <f>IFERROR(__xludf.DUMMYFUNCTION("""COMPUTED_VALUE"""),"https://www.munzee.com/m/123xilef/8091/")</f>
        <v>https://www.munzee.com/m/123xilef/8091/</v>
      </c>
      <c r="D822" s="47"/>
      <c r="E822" s="47" t="b">
        <f>IFERROR(__xludf.DUMMYFUNCTION("""COMPUTED_VALUE"""),TRUE)</f>
        <v>1</v>
      </c>
      <c r="F822" s="47" t="str">
        <f>IFERROR(__xludf.DUMMYFUNCTION("""COMPUTED_VALUE"""),"")</f>
        <v/>
      </c>
      <c r="G822" s="47" t="str">
        <f>IFERROR(__xludf.DUMMYFUNCTION("""COMPUTED_VALUE"""),"")</f>
        <v/>
      </c>
      <c r="H822" s="47"/>
      <c r="I822" s="47">
        <f>IFERROR(__xludf.DUMMYFUNCTION("""COMPUTED_VALUE"""),2.0)</f>
        <v>2</v>
      </c>
      <c r="J822" s="47" t="str">
        <f>IFERROR(__xludf.DUMMYFUNCTION("""COMPUTED_VALUE"""),"https:")</f>
        <v>https:</v>
      </c>
      <c r="K822" s="78" t="str">
        <f>IFERROR(__xludf.DUMMYFUNCTION("""COMPUTED_VALUE"""),"www.munzee.com")</f>
        <v>www.munzee.com</v>
      </c>
      <c r="L822" s="47" t="str">
        <f>IFERROR(__xludf.DUMMYFUNCTION("""COMPUTED_VALUE"""),"m")</f>
        <v>m</v>
      </c>
      <c r="M822" s="47" t="str">
        <f>IFERROR(__xludf.DUMMYFUNCTION("""COMPUTED_VALUE"""),"123xilef")</f>
        <v>123xilef</v>
      </c>
    </row>
    <row r="823">
      <c r="A823" s="47" t="str">
        <f>IFERROR(__xludf.DUMMYFUNCTION("""COMPUTED_VALUE"""),"Virtual Raw Sienna")</f>
        <v>Virtual Raw Sienna</v>
      </c>
      <c r="B823" s="47" t="str">
        <f>IFERROR(__xludf.DUMMYFUNCTION("""COMPUTED_VALUE"""),"BrotherWilliam")</f>
        <v>BrotherWilliam</v>
      </c>
      <c r="C823" s="78" t="str">
        <f>IFERROR(__xludf.DUMMYFUNCTION("""COMPUTED_VALUE"""),"https://www.munzee.com/m/BrotherWilliam/4911/")</f>
        <v>https://www.munzee.com/m/BrotherWilliam/4911/</v>
      </c>
      <c r="D823" s="47"/>
      <c r="E823" s="47" t="b">
        <f>IFERROR(__xludf.DUMMYFUNCTION("""COMPUTED_VALUE"""),TRUE)</f>
        <v>1</v>
      </c>
      <c r="F823" s="47" t="str">
        <f>IFERROR(__xludf.DUMMYFUNCTION("""COMPUTED_VALUE"""),"")</f>
        <v/>
      </c>
      <c r="G823" s="47" t="str">
        <f>IFERROR(__xludf.DUMMYFUNCTION("""COMPUTED_VALUE"""),"")</f>
        <v/>
      </c>
      <c r="H823" s="47"/>
      <c r="I823" s="47">
        <f>IFERROR(__xludf.DUMMYFUNCTION("""COMPUTED_VALUE"""),2.0)</f>
        <v>2</v>
      </c>
      <c r="J823" s="47" t="str">
        <f>IFERROR(__xludf.DUMMYFUNCTION("""COMPUTED_VALUE"""),"https:")</f>
        <v>https:</v>
      </c>
      <c r="K823" s="78" t="str">
        <f>IFERROR(__xludf.DUMMYFUNCTION("""COMPUTED_VALUE"""),"www.munzee.com")</f>
        <v>www.munzee.com</v>
      </c>
      <c r="L823" s="47" t="str">
        <f>IFERROR(__xludf.DUMMYFUNCTION("""COMPUTED_VALUE"""),"m")</f>
        <v>m</v>
      </c>
      <c r="M823" s="47" t="str">
        <f>IFERROR(__xludf.DUMMYFUNCTION("""COMPUTED_VALUE"""),"BrotherWilliam")</f>
        <v>BrotherWilliam</v>
      </c>
    </row>
    <row r="824">
      <c r="A824" s="47" t="str">
        <f>IFERROR(__xludf.DUMMYFUNCTION("""COMPUTED_VALUE"""),"Virtual Brown")</f>
        <v>Virtual Brown</v>
      </c>
      <c r="B824" s="47" t="str">
        <f>IFERROR(__xludf.DUMMYFUNCTION("""COMPUTED_VALUE"""),"floridafinder2")</f>
        <v>floridafinder2</v>
      </c>
      <c r="C824" s="78" t="str">
        <f>IFERROR(__xludf.DUMMYFUNCTION("""COMPUTED_VALUE"""),"https://www.munzee.com/m/floridafinder2/7296/")</f>
        <v>https://www.munzee.com/m/floridafinder2/7296/</v>
      </c>
      <c r="D824" s="47"/>
      <c r="E824" s="47" t="b">
        <f>IFERROR(__xludf.DUMMYFUNCTION("""COMPUTED_VALUE"""),TRUE)</f>
        <v>1</v>
      </c>
      <c r="F824" s="47" t="str">
        <f>IFERROR(__xludf.DUMMYFUNCTION("""COMPUTED_VALUE"""),"")</f>
        <v/>
      </c>
      <c r="G824" s="47" t="str">
        <f>IFERROR(__xludf.DUMMYFUNCTION("""COMPUTED_VALUE"""),"")</f>
        <v/>
      </c>
      <c r="H824" s="47"/>
      <c r="I824" s="47">
        <f>IFERROR(__xludf.DUMMYFUNCTION("""COMPUTED_VALUE"""),2.0)</f>
        <v>2</v>
      </c>
      <c r="J824" s="47" t="str">
        <f>IFERROR(__xludf.DUMMYFUNCTION("""COMPUTED_VALUE"""),"https:")</f>
        <v>https:</v>
      </c>
      <c r="K824" s="78" t="str">
        <f>IFERROR(__xludf.DUMMYFUNCTION("""COMPUTED_VALUE"""),"www.munzee.com")</f>
        <v>www.munzee.com</v>
      </c>
      <c r="L824" s="47" t="str">
        <f>IFERROR(__xludf.DUMMYFUNCTION("""COMPUTED_VALUE"""),"m")</f>
        <v>m</v>
      </c>
      <c r="M824" s="47" t="str">
        <f>IFERROR(__xludf.DUMMYFUNCTION("""COMPUTED_VALUE"""),"floridafinder2")</f>
        <v>floridafinder2</v>
      </c>
    </row>
    <row r="825">
      <c r="A825" s="47" t="str">
        <f>IFERROR(__xludf.DUMMYFUNCTION("""COMPUTED_VALUE"""),"Virtual Brown")</f>
        <v>Virtual Brown</v>
      </c>
      <c r="B825" s="47" t="str">
        <f>IFERROR(__xludf.DUMMYFUNCTION("""COMPUTED_VALUE"""),"Franca")</f>
        <v>Franca</v>
      </c>
      <c r="C825" s="78" t="str">
        <f>IFERROR(__xludf.DUMMYFUNCTION("""COMPUTED_VALUE"""),"https://www.munzee.com/m/Franca/1966/")</f>
        <v>https://www.munzee.com/m/Franca/1966/</v>
      </c>
      <c r="D825" s="47"/>
      <c r="E825" s="47" t="b">
        <f>IFERROR(__xludf.DUMMYFUNCTION("""COMPUTED_VALUE"""),TRUE)</f>
        <v>1</v>
      </c>
      <c r="F825" s="47" t="str">
        <f>IFERROR(__xludf.DUMMYFUNCTION("""COMPUTED_VALUE"""),"")</f>
        <v/>
      </c>
      <c r="G825" s="47" t="str">
        <f>IFERROR(__xludf.DUMMYFUNCTION("""COMPUTED_VALUE"""),"")</f>
        <v/>
      </c>
      <c r="H825" s="47"/>
      <c r="I825" s="47">
        <f>IFERROR(__xludf.DUMMYFUNCTION("""COMPUTED_VALUE"""),2.0)</f>
        <v>2</v>
      </c>
      <c r="J825" s="47" t="str">
        <f>IFERROR(__xludf.DUMMYFUNCTION("""COMPUTED_VALUE"""),"https:")</f>
        <v>https:</v>
      </c>
      <c r="K825" s="78" t="str">
        <f>IFERROR(__xludf.DUMMYFUNCTION("""COMPUTED_VALUE"""),"www.munzee.com")</f>
        <v>www.munzee.com</v>
      </c>
      <c r="L825" s="47" t="str">
        <f>IFERROR(__xludf.DUMMYFUNCTION("""COMPUTED_VALUE"""),"m")</f>
        <v>m</v>
      </c>
      <c r="M825" s="47" t="str">
        <f>IFERROR(__xludf.DUMMYFUNCTION("""COMPUTED_VALUE"""),"Franca")</f>
        <v>Franca</v>
      </c>
    </row>
    <row r="826">
      <c r="A826" s="47" t="str">
        <f>IFERROR(__xludf.DUMMYFUNCTION("""COMPUTED_VALUE"""),"Virtual Brown")</f>
        <v>Virtual Brown</v>
      </c>
      <c r="B826" s="47" t="str">
        <f>IFERROR(__xludf.DUMMYFUNCTION("""COMPUTED_VALUE"""),"TheFatCats")</f>
        <v>TheFatCats</v>
      </c>
      <c r="C826" s="78" t="str">
        <f>IFERROR(__xludf.DUMMYFUNCTION("""COMPUTED_VALUE"""),"https://www.munzee.com/m/TheFatCats/4323/")</f>
        <v>https://www.munzee.com/m/TheFatCats/4323/</v>
      </c>
      <c r="D826" s="47"/>
      <c r="E826" s="47" t="b">
        <f>IFERROR(__xludf.DUMMYFUNCTION("""COMPUTED_VALUE"""),TRUE)</f>
        <v>1</v>
      </c>
      <c r="F826" s="47" t="str">
        <f>IFERROR(__xludf.DUMMYFUNCTION("""COMPUTED_VALUE"""),"")</f>
        <v/>
      </c>
      <c r="G826" s="47" t="str">
        <f>IFERROR(__xludf.DUMMYFUNCTION("""COMPUTED_VALUE"""),"")</f>
        <v/>
      </c>
      <c r="H826" s="47"/>
      <c r="I826" s="47">
        <f>IFERROR(__xludf.DUMMYFUNCTION("""COMPUTED_VALUE"""),2.0)</f>
        <v>2</v>
      </c>
      <c r="J826" s="47" t="str">
        <f>IFERROR(__xludf.DUMMYFUNCTION("""COMPUTED_VALUE"""),"https:")</f>
        <v>https:</v>
      </c>
      <c r="K826" s="78" t="str">
        <f>IFERROR(__xludf.DUMMYFUNCTION("""COMPUTED_VALUE"""),"www.munzee.com")</f>
        <v>www.munzee.com</v>
      </c>
      <c r="L826" s="47" t="str">
        <f>IFERROR(__xludf.DUMMYFUNCTION("""COMPUTED_VALUE"""),"m")</f>
        <v>m</v>
      </c>
      <c r="M826" s="47" t="str">
        <f>IFERROR(__xludf.DUMMYFUNCTION("""COMPUTED_VALUE"""),"TheFatCats")</f>
        <v>TheFatCats</v>
      </c>
    </row>
    <row r="827">
      <c r="A827" s="47" t="str">
        <f>IFERROR(__xludf.DUMMYFUNCTION("""COMPUTED_VALUE"""),"Virtual Brown")</f>
        <v>Virtual Brown</v>
      </c>
      <c r="B827" s="47" t="str">
        <f>IFERROR(__xludf.DUMMYFUNCTION("""COMPUTED_VALUE"""),"PcLocator")</f>
        <v>PcLocator</v>
      </c>
      <c r="C827" s="78" t="str">
        <f>IFERROR(__xludf.DUMMYFUNCTION("""COMPUTED_VALUE"""),"https://www.munzee.com/m/PcLocator/4255/")</f>
        <v>https://www.munzee.com/m/PcLocator/4255/</v>
      </c>
      <c r="D827" s="47"/>
      <c r="E827" s="47" t="b">
        <f>IFERROR(__xludf.DUMMYFUNCTION("""COMPUTED_VALUE"""),TRUE)</f>
        <v>1</v>
      </c>
      <c r="F827" s="47" t="str">
        <f>IFERROR(__xludf.DUMMYFUNCTION("""COMPUTED_VALUE"""),"")</f>
        <v/>
      </c>
      <c r="G827" s="47" t="str">
        <f>IFERROR(__xludf.DUMMYFUNCTION("""COMPUTED_VALUE"""),"")</f>
        <v/>
      </c>
      <c r="H827" s="47"/>
      <c r="I827" s="47">
        <f>IFERROR(__xludf.DUMMYFUNCTION("""COMPUTED_VALUE"""),2.0)</f>
        <v>2</v>
      </c>
      <c r="J827" s="47" t="str">
        <f>IFERROR(__xludf.DUMMYFUNCTION("""COMPUTED_VALUE"""),"https:")</f>
        <v>https:</v>
      </c>
      <c r="K827" s="78" t="str">
        <f>IFERROR(__xludf.DUMMYFUNCTION("""COMPUTED_VALUE"""),"www.munzee.com")</f>
        <v>www.munzee.com</v>
      </c>
      <c r="L827" s="47" t="str">
        <f>IFERROR(__xludf.DUMMYFUNCTION("""COMPUTED_VALUE"""),"m")</f>
        <v>m</v>
      </c>
      <c r="M827" s="47" t="str">
        <f>IFERROR(__xludf.DUMMYFUNCTION("""COMPUTED_VALUE"""),"PcLocator")</f>
        <v>PcLocator</v>
      </c>
    </row>
    <row r="828">
      <c r="A828" s="47" t="str">
        <f>IFERROR(__xludf.DUMMYFUNCTION("""COMPUTED_VALUE"""),"Virtual Brown")</f>
        <v>Virtual Brown</v>
      </c>
      <c r="B828" s="47" t="str">
        <f>IFERROR(__xludf.DUMMYFUNCTION("""COMPUTED_VALUE"""),"barefootguru")</f>
        <v>barefootguru</v>
      </c>
      <c r="C828" s="78" t="str">
        <f>IFERROR(__xludf.DUMMYFUNCTION("""COMPUTED_VALUE"""),"https://www.munzee.com/m/barefootguru/3251/")</f>
        <v>https://www.munzee.com/m/barefootguru/3251/</v>
      </c>
      <c r="D828" s="47"/>
      <c r="E828" s="47" t="b">
        <f>IFERROR(__xludf.DUMMYFUNCTION("""COMPUTED_VALUE"""),TRUE)</f>
        <v>1</v>
      </c>
      <c r="F828" s="47" t="str">
        <f>IFERROR(__xludf.DUMMYFUNCTION("""COMPUTED_VALUE"""),"")</f>
        <v/>
      </c>
      <c r="G828" s="47" t="str">
        <f>IFERROR(__xludf.DUMMYFUNCTION("""COMPUTED_VALUE"""),"")</f>
        <v/>
      </c>
      <c r="H828" s="47"/>
      <c r="I828" s="47">
        <f>IFERROR(__xludf.DUMMYFUNCTION("""COMPUTED_VALUE"""),2.0)</f>
        <v>2</v>
      </c>
      <c r="J828" s="47" t="str">
        <f>IFERROR(__xludf.DUMMYFUNCTION("""COMPUTED_VALUE"""),"https:")</f>
        <v>https:</v>
      </c>
      <c r="K828" s="78" t="str">
        <f>IFERROR(__xludf.DUMMYFUNCTION("""COMPUTED_VALUE"""),"www.munzee.com")</f>
        <v>www.munzee.com</v>
      </c>
      <c r="L828" s="47" t="str">
        <f>IFERROR(__xludf.DUMMYFUNCTION("""COMPUTED_VALUE"""),"m")</f>
        <v>m</v>
      </c>
      <c r="M828" s="47" t="str">
        <f>IFERROR(__xludf.DUMMYFUNCTION("""COMPUTED_VALUE"""),"barefootguru")</f>
        <v>barefootguru</v>
      </c>
    </row>
    <row r="829">
      <c r="A829" s="47" t="str">
        <f>IFERROR(__xludf.DUMMYFUNCTION("""COMPUTED_VALUE"""),"Virtual Brown")</f>
        <v>Virtual Brown</v>
      </c>
      <c r="B829" s="47" t="str">
        <f>IFERROR(__xludf.DUMMYFUNCTION("""COMPUTED_VALUE"""),"Derlame ")</f>
        <v>Derlame </v>
      </c>
      <c r="C829" s="78" t="str">
        <f>IFERROR(__xludf.DUMMYFUNCTION("""COMPUTED_VALUE"""),"https://www.munzee.com/m/Derlame/18479/")</f>
        <v>https://www.munzee.com/m/Derlame/18479/</v>
      </c>
      <c r="D829" s="47"/>
      <c r="E829" s="47" t="b">
        <f>IFERROR(__xludf.DUMMYFUNCTION("""COMPUTED_VALUE"""),TRUE)</f>
        <v>1</v>
      </c>
      <c r="F829" s="80"/>
      <c r="G829" s="47" t="str">
        <f>IFERROR(__xludf.DUMMYFUNCTION("""COMPUTED_VALUE"""),"")</f>
        <v/>
      </c>
      <c r="H829" s="47"/>
      <c r="I829" s="47">
        <f>IFERROR(__xludf.DUMMYFUNCTION("""COMPUTED_VALUE"""),2.0)</f>
        <v>2</v>
      </c>
      <c r="J829" s="47" t="str">
        <f>IFERROR(__xludf.DUMMYFUNCTION("""COMPUTED_VALUE"""),"https:")</f>
        <v>https:</v>
      </c>
      <c r="K829" s="78" t="str">
        <f>IFERROR(__xludf.DUMMYFUNCTION("""COMPUTED_VALUE"""),"www.munzee.com")</f>
        <v>www.munzee.com</v>
      </c>
      <c r="L829" s="47" t="str">
        <f>IFERROR(__xludf.DUMMYFUNCTION("""COMPUTED_VALUE"""),"m")</f>
        <v>m</v>
      </c>
      <c r="M829" s="47" t="str">
        <f>IFERROR(__xludf.DUMMYFUNCTION("""COMPUTED_VALUE"""),"Derlame")</f>
        <v>Derlame</v>
      </c>
    </row>
    <row r="830">
      <c r="A830" s="47" t="str">
        <f>IFERROR(__xludf.DUMMYFUNCTION("""COMPUTED_VALUE"""),"Virtual Raw Sienna")</f>
        <v>Virtual Raw Sienna</v>
      </c>
      <c r="B830" s="47" t="str">
        <f>IFERROR(__xludf.DUMMYFUNCTION("""COMPUTED_VALUE"""),"MariaHTJ ")</f>
        <v>MariaHTJ </v>
      </c>
      <c r="C830" s="78" t="str">
        <f>IFERROR(__xludf.DUMMYFUNCTION("""COMPUTED_VALUE"""),"https://www.munzee.com/m/MariaHTJ/9063/")</f>
        <v>https://www.munzee.com/m/MariaHTJ/9063/</v>
      </c>
      <c r="D830" s="47"/>
      <c r="E830" s="47" t="b">
        <f>IFERROR(__xludf.DUMMYFUNCTION("""COMPUTED_VALUE"""),TRUE)</f>
        <v>1</v>
      </c>
      <c r="F830" s="80"/>
      <c r="G830" s="47" t="str">
        <f>IFERROR(__xludf.DUMMYFUNCTION("""COMPUTED_VALUE"""),"")</f>
        <v/>
      </c>
      <c r="H830" s="47"/>
      <c r="I830" s="47">
        <f>IFERROR(__xludf.DUMMYFUNCTION("""COMPUTED_VALUE"""),2.0)</f>
        <v>2</v>
      </c>
      <c r="J830" s="47" t="str">
        <f>IFERROR(__xludf.DUMMYFUNCTION("""COMPUTED_VALUE"""),"https:")</f>
        <v>https:</v>
      </c>
      <c r="K830" s="78" t="str">
        <f>IFERROR(__xludf.DUMMYFUNCTION("""COMPUTED_VALUE"""),"www.munzee.com")</f>
        <v>www.munzee.com</v>
      </c>
      <c r="L830" s="47" t="str">
        <f>IFERROR(__xludf.DUMMYFUNCTION("""COMPUTED_VALUE"""),"m")</f>
        <v>m</v>
      </c>
      <c r="M830" s="47" t="str">
        <f>IFERROR(__xludf.DUMMYFUNCTION("""COMPUTED_VALUE"""),"MariaHTJ")</f>
        <v>MariaHTJ</v>
      </c>
    </row>
    <row r="831">
      <c r="A831" s="47" t="str">
        <f>IFERROR(__xludf.DUMMYFUNCTION("""COMPUTED_VALUE"""),"Virtual Raw Sienna")</f>
        <v>Virtual Raw Sienna</v>
      </c>
      <c r="B831" s="47" t="str">
        <f>IFERROR(__xludf.DUMMYFUNCTION("""COMPUTED_VALUE"""),"Amundadus")</f>
        <v>Amundadus</v>
      </c>
      <c r="C831" s="78" t="str">
        <f>IFERROR(__xludf.DUMMYFUNCTION("""COMPUTED_VALUE"""),"https://www.munzee.com/m/amundadus/1408/")</f>
        <v>https://www.munzee.com/m/amundadus/1408/</v>
      </c>
      <c r="D831" s="47"/>
      <c r="E831" s="47" t="b">
        <f>IFERROR(__xludf.DUMMYFUNCTION("""COMPUTED_VALUE"""),TRUE)</f>
        <v>1</v>
      </c>
      <c r="F831" s="47" t="str">
        <f>IFERROR(__xludf.DUMMYFUNCTION("""COMPUTED_VALUE"""),"")</f>
        <v/>
      </c>
      <c r="G831" s="47" t="str">
        <f>IFERROR(__xludf.DUMMYFUNCTION("""COMPUTED_VALUE"""),"")</f>
        <v/>
      </c>
      <c r="H831" s="47"/>
      <c r="I831" s="47">
        <f>IFERROR(__xludf.DUMMYFUNCTION("""COMPUTED_VALUE"""),2.0)</f>
        <v>2</v>
      </c>
      <c r="J831" s="47" t="str">
        <f>IFERROR(__xludf.DUMMYFUNCTION("""COMPUTED_VALUE"""),"https:")</f>
        <v>https:</v>
      </c>
      <c r="K831" s="78" t="str">
        <f>IFERROR(__xludf.DUMMYFUNCTION("""COMPUTED_VALUE"""),"www.munzee.com")</f>
        <v>www.munzee.com</v>
      </c>
      <c r="L831" s="47" t="str">
        <f>IFERROR(__xludf.DUMMYFUNCTION("""COMPUTED_VALUE"""),"m")</f>
        <v>m</v>
      </c>
      <c r="M831" s="47" t="str">
        <f>IFERROR(__xludf.DUMMYFUNCTION("""COMPUTED_VALUE"""),"amundadus")</f>
        <v>amundadus</v>
      </c>
    </row>
    <row r="832">
      <c r="A832" s="47" t="str">
        <f>IFERROR(__xludf.DUMMYFUNCTION("""COMPUTED_VALUE"""),"Virtual Brown")</f>
        <v>Virtual Brown</v>
      </c>
      <c r="B832" s="47" t="str">
        <f>IFERROR(__xludf.DUMMYFUNCTION("""COMPUTED_VALUE"""),"Anetzet")</f>
        <v>Anetzet</v>
      </c>
      <c r="C832" s="78" t="str">
        <f>IFERROR(__xludf.DUMMYFUNCTION("""COMPUTED_VALUE"""),"https://www.munzee.com/m/Anetzet/3321/")</f>
        <v>https://www.munzee.com/m/Anetzet/3321/</v>
      </c>
      <c r="D832" s="47"/>
      <c r="E832" s="47" t="b">
        <f>IFERROR(__xludf.DUMMYFUNCTION("""COMPUTED_VALUE"""),TRUE)</f>
        <v>1</v>
      </c>
      <c r="F832" s="47" t="str">
        <f>IFERROR(__xludf.DUMMYFUNCTION("""COMPUTED_VALUE"""),"")</f>
        <v/>
      </c>
      <c r="G832" s="47" t="str">
        <f>IFERROR(__xludf.DUMMYFUNCTION("""COMPUTED_VALUE"""),"")</f>
        <v/>
      </c>
      <c r="H832" s="47"/>
      <c r="I832" s="47">
        <f>IFERROR(__xludf.DUMMYFUNCTION("""COMPUTED_VALUE"""),2.0)</f>
        <v>2</v>
      </c>
      <c r="J832" s="47" t="str">
        <f>IFERROR(__xludf.DUMMYFUNCTION("""COMPUTED_VALUE"""),"https:")</f>
        <v>https:</v>
      </c>
      <c r="K832" s="78" t="str">
        <f>IFERROR(__xludf.DUMMYFUNCTION("""COMPUTED_VALUE"""),"www.munzee.com")</f>
        <v>www.munzee.com</v>
      </c>
      <c r="L832" s="47" t="str">
        <f>IFERROR(__xludf.DUMMYFUNCTION("""COMPUTED_VALUE"""),"m")</f>
        <v>m</v>
      </c>
      <c r="M832" s="47" t="str">
        <f>IFERROR(__xludf.DUMMYFUNCTION("""COMPUTED_VALUE"""),"Anetzet")</f>
        <v>Anetzet</v>
      </c>
    </row>
    <row r="833">
      <c r="A833" s="47" t="str">
        <f>IFERROR(__xludf.DUMMYFUNCTION("""COMPUTED_VALUE"""),"Virtual Brown")</f>
        <v>Virtual Brown</v>
      </c>
      <c r="B833" s="47" t="str">
        <f>IFERROR(__xludf.DUMMYFUNCTION("""COMPUTED_VALUE"""),"belladivadee")</f>
        <v>belladivadee</v>
      </c>
      <c r="C833" s="78" t="str">
        <f>IFERROR(__xludf.DUMMYFUNCTION("""COMPUTED_VALUE"""),"https://www.munzee.com/m/belladivadee/3142")</f>
        <v>https://www.munzee.com/m/belladivadee/3142</v>
      </c>
      <c r="D833" s="47"/>
      <c r="E833" s="47" t="b">
        <f>IFERROR(__xludf.DUMMYFUNCTION("""COMPUTED_VALUE"""),TRUE)</f>
        <v>1</v>
      </c>
      <c r="F833" s="83" t="str">
        <f>IFERROR(__xludf.DUMMYFUNCTION("""COMPUTED_VALUE"""),"")</f>
        <v/>
      </c>
      <c r="G833" s="47" t="str">
        <f>IFERROR(__xludf.DUMMYFUNCTION("""COMPUTED_VALUE"""),"")</f>
        <v/>
      </c>
      <c r="H833" s="47"/>
      <c r="I833" s="47">
        <f>IFERROR(__xludf.DUMMYFUNCTION("""COMPUTED_VALUE"""),2.0)</f>
        <v>2</v>
      </c>
      <c r="J833" s="47" t="str">
        <f>IFERROR(__xludf.DUMMYFUNCTION("""COMPUTED_VALUE"""),"https:")</f>
        <v>https:</v>
      </c>
      <c r="K833" s="78" t="str">
        <f>IFERROR(__xludf.DUMMYFUNCTION("""COMPUTED_VALUE"""),"www.munzee.com")</f>
        <v>www.munzee.com</v>
      </c>
      <c r="L833" s="47" t="str">
        <f>IFERROR(__xludf.DUMMYFUNCTION("""COMPUTED_VALUE"""),"m")</f>
        <v>m</v>
      </c>
      <c r="M833" s="47" t="str">
        <f>IFERROR(__xludf.DUMMYFUNCTION("""COMPUTED_VALUE"""),"belladivadee")</f>
        <v>belladivadee</v>
      </c>
    </row>
    <row r="834">
      <c r="A834" s="47" t="str">
        <f>IFERROR(__xludf.DUMMYFUNCTION("""COMPUTED_VALUE"""),"Virtual Brown")</f>
        <v>Virtual Brown</v>
      </c>
      <c r="B834" s="47" t="str">
        <f>IFERROR(__xludf.DUMMYFUNCTION("""COMPUTED_VALUE"""),"PawpatrolThomas")</f>
        <v>PawpatrolThomas</v>
      </c>
      <c r="C834" s="78" t="str">
        <f>IFERROR(__xludf.DUMMYFUNCTION("""COMPUTED_VALUE"""),"https://www.munzee.com/m/pawpatrolthomas/2688/")</f>
        <v>https://www.munzee.com/m/pawpatrolthomas/2688/</v>
      </c>
      <c r="D834" s="47"/>
      <c r="E834" s="47" t="b">
        <f>IFERROR(__xludf.DUMMYFUNCTION("""COMPUTED_VALUE"""),TRUE)</f>
        <v>1</v>
      </c>
      <c r="F834" s="83" t="str">
        <f>IFERROR(__xludf.DUMMYFUNCTION("""COMPUTED_VALUE"""),"")</f>
        <v/>
      </c>
      <c r="G834" s="47" t="str">
        <f>IFERROR(__xludf.DUMMYFUNCTION("""COMPUTED_VALUE"""),"")</f>
        <v/>
      </c>
      <c r="H834" s="47"/>
      <c r="I834" s="47">
        <f>IFERROR(__xludf.DUMMYFUNCTION("""COMPUTED_VALUE"""),2.0)</f>
        <v>2</v>
      </c>
      <c r="J834" s="47" t="str">
        <f>IFERROR(__xludf.DUMMYFUNCTION("""COMPUTED_VALUE"""),"https:")</f>
        <v>https:</v>
      </c>
      <c r="K834" s="78" t="str">
        <f>IFERROR(__xludf.DUMMYFUNCTION("""COMPUTED_VALUE"""),"www.munzee.com")</f>
        <v>www.munzee.com</v>
      </c>
      <c r="L834" s="47" t="str">
        <f>IFERROR(__xludf.DUMMYFUNCTION("""COMPUTED_VALUE"""),"m")</f>
        <v>m</v>
      </c>
      <c r="M834" s="47" t="str">
        <f>IFERROR(__xludf.DUMMYFUNCTION("""COMPUTED_VALUE"""),"pawpatrolthomas")</f>
        <v>pawpatrolthomas</v>
      </c>
    </row>
    <row r="835">
      <c r="A835" s="47" t="str">
        <f>IFERROR(__xludf.DUMMYFUNCTION("""COMPUTED_VALUE"""),"Virtual Raw Sienna")</f>
        <v>Virtual Raw Sienna</v>
      </c>
      <c r="B835" s="47" t="str">
        <f>IFERROR(__xludf.DUMMYFUNCTION("""COMPUTED_VALUE"""),"TheFatCats")</f>
        <v>TheFatCats</v>
      </c>
      <c r="C835" s="78" t="str">
        <f>IFERROR(__xludf.DUMMYFUNCTION("""COMPUTED_VALUE"""),"https://www.munzee.com/m/TheFatCats/4336/")</f>
        <v>https://www.munzee.com/m/TheFatCats/4336/</v>
      </c>
      <c r="D835" s="47"/>
      <c r="E835" s="47" t="b">
        <f>IFERROR(__xludf.DUMMYFUNCTION("""COMPUTED_VALUE"""),TRUE)</f>
        <v>1</v>
      </c>
      <c r="F835" s="83" t="str">
        <f>IFERROR(__xludf.DUMMYFUNCTION("""COMPUTED_VALUE"""),"")</f>
        <v/>
      </c>
      <c r="G835" s="47" t="str">
        <f>IFERROR(__xludf.DUMMYFUNCTION("""COMPUTED_VALUE"""),"")</f>
        <v/>
      </c>
      <c r="H835" s="47"/>
      <c r="I835" s="47">
        <f>IFERROR(__xludf.DUMMYFUNCTION("""COMPUTED_VALUE"""),2.0)</f>
        <v>2</v>
      </c>
      <c r="J835" s="47" t="str">
        <f>IFERROR(__xludf.DUMMYFUNCTION("""COMPUTED_VALUE"""),"https:")</f>
        <v>https:</v>
      </c>
      <c r="K835" s="78" t="str">
        <f>IFERROR(__xludf.DUMMYFUNCTION("""COMPUTED_VALUE"""),"www.munzee.com")</f>
        <v>www.munzee.com</v>
      </c>
      <c r="L835" s="47" t="str">
        <f>IFERROR(__xludf.DUMMYFUNCTION("""COMPUTED_VALUE"""),"m")</f>
        <v>m</v>
      </c>
      <c r="M835" s="47" t="str">
        <f>IFERROR(__xludf.DUMMYFUNCTION("""COMPUTED_VALUE"""),"TheFatCats")</f>
        <v>TheFatCats</v>
      </c>
    </row>
    <row r="836">
      <c r="A836" s="47" t="str">
        <f>IFERROR(__xludf.DUMMYFUNCTION("""COMPUTED_VALUE"""),"Virtual Raw Sienna")</f>
        <v>Virtual Raw Sienna</v>
      </c>
      <c r="B836" s="47" t="str">
        <f>IFERROR(__xludf.DUMMYFUNCTION("""COMPUTED_VALUE"""),"sverlaan")</f>
        <v>sverlaan</v>
      </c>
      <c r="C836" s="78" t="str">
        <f>IFERROR(__xludf.DUMMYFUNCTION("""COMPUTED_VALUE"""),"https://www.munzee.com/m/sverlaan/4767/")</f>
        <v>https://www.munzee.com/m/sverlaan/4767/</v>
      </c>
      <c r="D836" s="47"/>
      <c r="E836" s="47" t="b">
        <f>IFERROR(__xludf.DUMMYFUNCTION("""COMPUTED_VALUE"""),TRUE)</f>
        <v>1</v>
      </c>
      <c r="F836" s="83" t="str">
        <f>IFERROR(__xludf.DUMMYFUNCTION("""COMPUTED_VALUE"""),"")</f>
        <v/>
      </c>
      <c r="G836" s="47" t="str">
        <f>IFERROR(__xludf.DUMMYFUNCTION("""COMPUTED_VALUE"""),"")</f>
        <v/>
      </c>
      <c r="H836" s="47"/>
      <c r="I836" s="47">
        <f>IFERROR(__xludf.DUMMYFUNCTION("""COMPUTED_VALUE"""),2.0)</f>
        <v>2</v>
      </c>
      <c r="J836" s="47" t="str">
        <f>IFERROR(__xludf.DUMMYFUNCTION("""COMPUTED_VALUE"""),"https:")</f>
        <v>https:</v>
      </c>
      <c r="K836" s="78" t="str">
        <f>IFERROR(__xludf.DUMMYFUNCTION("""COMPUTED_VALUE"""),"www.munzee.com")</f>
        <v>www.munzee.com</v>
      </c>
      <c r="L836" s="47" t="str">
        <f>IFERROR(__xludf.DUMMYFUNCTION("""COMPUTED_VALUE"""),"m")</f>
        <v>m</v>
      </c>
      <c r="M836" s="47" t="str">
        <f>IFERROR(__xludf.DUMMYFUNCTION("""COMPUTED_VALUE"""),"sverlaan")</f>
        <v>sverlaan</v>
      </c>
    </row>
    <row r="837">
      <c r="A837" s="47" t="str">
        <f>IFERROR(__xludf.DUMMYFUNCTION("""COMPUTED_VALUE"""),"Virtual Brown")</f>
        <v>Virtual Brown</v>
      </c>
      <c r="B837" s="47" t="str">
        <f>IFERROR(__xludf.DUMMYFUNCTION("""COMPUTED_VALUE"""),"Drazoria")</f>
        <v>Drazoria</v>
      </c>
      <c r="C837" s="78" t="str">
        <f>IFERROR(__xludf.DUMMYFUNCTION("""COMPUTED_VALUE"""),"https://www.munzee.com/m/Drazoria/1001")</f>
        <v>https://www.munzee.com/m/Drazoria/1001</v>
      </c>
      <c r="D837" s="47"/>
      <c r="E837" s="47" t="b">
        <f>IFERROR(__xludf.DUMMYFUNCTION("""COMPUTED_VALUE"""),TRUE)</f>
        <v>1</v>
      </c>
      <c r="F837" s="83" t="str">
        <f>IFERROR(__xludf.DUMMYFUNCTION("""COMPUTED_VALUE"""),"")</f>
        <v/>
      </c>
      <c r="G837" s="47" t="str">
        <f>IFERROR(__xludf.DUMMYFUNCTION("""COMPUTED_VALUE"""),"")</f>
        <v/>
      </c>
      <c r="H837" s="47"/>
      <c r="I837" s="47">
        <f>IFERROR(__xludf.DUMMYFUNCTION("""COMPUTED_VALUE"""),2.0)</f>
        <v>2</v>
      </c>
      <c r="J837" s="47" t="str">
        <f>IFERROR(__xludf.DUMMYFUNCTION("""COMPUTED_VALUE"""),"https:")</f>
        <v>https:</v>
      </c>
      <c r="K837" s="78" t="str">
        <f>IFERROR(__xludf.DUMMYFUNCTION("""COMPUTED_VALUE"""),"www.munzee.com")</f>
        <v>www.munzee.com</v>
      </c>
      <c r="L837" s="47" t="str">
        <f>IFERROR(__xludf.DUMMYFUNCTION("""COMPUTED_VALUE"""),"m")</f>
        <v>m</v>
      </c>
      <c r="M837" s="47" t="str">
        <f>IFERROR(__xludf.DUMMYFUNCTION("""COMPUTED_VALUE"""),"Drazoria")</f>
        <v>Drazoria</v>
      </c>
    </row>
    <row r="838">
      <c r="A838" s="47" t="str">
        <f>IFERROR(__xludf.DUMMYFUNCTION("""COMPUTED_VALUE"""),"Virtual Brown")</f>
        <v>Virtual Brown</v>
      </c>
      <c r="B838" s="47" t="str">
        <f>IFERROR(__xludf.DUMMYFUNCTION("""COMPUTED_VALUE"""),"Tinake1309")</f>
        <v>Tinake1309</v>
      </c>
      <c r="C838" s="78" t="str">
        <f>IFERROR(__xludf.DUMMYFUNCTION("""COMPUTED_VALUE"""),"https://www.munzee.com/m/Tinake1309/969")</f>
        <v>https://www.munzee.com/m/Tinake1309/969</v>
      </c>
      <c r="D838" s="47"/>
      <c r="E838" s="47" t="b">
        <f>IFERROR(__xludf.DUMMYFUNCTION("""COMPUTED_VALUE"""),TRUE)</f>
        <v>1</v>
      </c>
      <c r="F838" s="83" t="str">
        <f>IFERROR(__xludf.DUMMYFUNCTION("""COMPUTED_VALUE"""),"")</f>
        <v/>
      </c>
      <c r="G838" s="47" t="str">
        <f>IFERROR(__xludf.DUMMYFUNCTION("""COMPUTED_VALUE"""),"")</f>
        <v/>
      </c>
      <c r="H838" s="47"/>
      <c r="I838" s="47">
        <f>IFERROR(__xludf.DUMMYFUNCTION("""COMPUTED_VALUE"""),2.0)</f>
        <v>2</v>
      </c>
      <c r="J838" s="47" t="str">
        <f>IFERROR(__xludf.DUMMYFUNCTION("""COMPUTED_VALUE"""),"https:")</f>
        <v>https:</v>
      </c>
      <c r="K838" s="78" t="str">
        <f>IFERROR(__xludf.DUMMYFUNCTION("""COMPUTED_VALUE"""),"www.munzee.com")</f>
        <v>www.munzee.com</v>
      </c>
      <c r="L838" s="47" t="str">
        <f>IFERROR(__xludf.DUMMYFUNCTION("""COMPUTED_VALUE"""),"m")</f>
        <v>m</v>
      </c>
      <c r="M838" s="47" t="str">
        <f>IFERROR(__xludf.DUMMYFUNCTION("""COMPUTED_VALUE"""),"Tinake1309")</f>
        <v>Tinake1309</v>
      </c>
    </row>
    <row r="839">
      <c r="A839" s="47" t="str">
        <f>IFERROR(__xludf.DUMMYFUNCTION("""COMPUTED_VALUE"""),"Virtual Brown")</f>
        <v>Virtual Brown</v>
      </c>
      <c r="B839" s="47" t="str">
        <f>IFERROR(__xludf.DUMMYFUNCTION("""COMPUTED_VALUE"""),"Berg14")</f>
        <v>Berg14</v>
      </c>
      <c r="C839" s="78" t="str">
        <f>IFERROR(__xludf.DUMMYFUNCTION("""COMPUTED_VALUE"""),"https://www.munzee.com/m/Berg14/689/")</f>
        <v>https://www.munzee.com/m/Berg14/689/</v>
      </c>
      <c r="D839" s="47"/>
      <c r="E839" s="47" t="b">
        <f>IFERROR(__xludf.DUMMYFUNCTION("""COMPUTED_VALUE"""),TRUE)</f>
        <v>1</v>
      </c>
      <c r="F839" s="83" t="str">
        <f>IFERROR(__xludf.DUMMYFUNCTION("""COMPUTED_VALUE"""),"")</f>
        <v/>
      </c>
      <c r="G839" s="47" t="str">
        <f>IFERROR(__xludf.DUMMYFUNCTION("""COMPUTED_VALUE"""),"")</f>
        <v/>
      </c>
      <c r="H839" s="47"/>
      <c r="I839" s="47">
        <f>IFERROR(__xludf.DUMMYFUNCTION("""COMPUTED_VALUE"""),2.0)</f>
        <v>2</v>
      </c>
      <c r="J839" s="47" t="str">
        <f>IFERROR(__xludf.DUMMYFUNCTION("""COMPUTED_VALUE"""),"https:")</f>
        <v>https:</v>
      </c>
      <c r="K839" s="78" t="str">
        <f>IFERROR(__xludf.DUMMYFUNCTION("""COMPUTED_VALUE"""),"www.munzee.com")</f>
        <v>www.munzee.com</v>
      </c>
      <c r="L839" s="47" t="str">
        <f>IFERROR(__xludf.DUMMYFUNCTION("""COMPUTED_VALUE"""),"m")</f>
        <v>m</v>
      </c>
      <c r="M839" s="47" t="str">
        <f>IFERROR(__xludf.DUMMYFUNCTION("""COMPUTED_VALUE"""),"Berg14")</f>
        <v>Berg14</v>
      </c>
    </row>
    <row r="840">
      <c r="A840" s="47" t="str">
        <f>IFERROR(__xludf.DUMMYFUNCTION("""COMPUTED_VALUE"""),"Virtual Raw Sienna")</f>
        <v>Virtual Raw Sienna</v>
      </c>
      <c r="B840" s="47" t="str">
        <f>IFERROR(__xludf.DUMMYFUNCTION("""COMPUTED_VALUE"""),"Niks13")</f>
        <v>Niks13</v>
      </c>
      <c r="C840" s="78" t="str">
        <f>IFERROR(__xludf.DUMMYFUNCTION("""COMPUTED_VALUE"""),"https://www.munzee.com/m/Niks13/659/")</f>
        <v>https://www.munzee.com/m/Niks13/659/</v>
      </c>
      <c r="D840" s="47"/>
      <c r="E840" s="47" t="b">
        <f>IFERROR(__xludf.DUMMYFUNCTION("""COMPUTED_VALUE"""),TRUE)</f>
        <v>1</v>
      </c>
      <c r="F840" s="83" t="str">
        <f>IFERROR(__xludf.DUMMYFUNCTION("""COMPUTED_VALUE"""),"")</f>
        <v/>
      </c>
      <c r="G840" s="47" t="str">
        <f>IFERROR(__xludf.DUMMYFUNCTION("""COMPUTED_VALUE"""),"")</f>
        <v/>
      </c>
      <c r="H840" s="47"/>
      <c r="I840" s="47">
        <f>IFERROR(__xludf.DUMMYFUNCTION("""COMPUTED_VALUE"""),2.0)</f>
        <v>2</v>
      </c>
      <c r="J840" s="47" t="str">
        <f>IFERROR(__xludf.DUMMYFUNCTION("""COMPUTED_VALUE"""),"https:")</f>
        <v>https:</v>
      </c>
      <c r="K840" s="78" t="str">
        <f>IFERROR(__xludf.DUMMYFUNCTION("""COMPUTED_VALUE"""),"www.munzee.com")</f>
        <v>www.munzee.com</v>
      </c>
      <c r="L840" s="47" t="str">
        <f>IFERROR(__xludf.DUMMYFUNCTION("""COMPUTED_VALUE"""),"m")</f>
        <v>m</v>
      </c>
      <c r="M840" s="47" t="str">
        <f>IFERROR(__xludf.DUMMYFUNCTION("""COMPUTED_VALUE"""),"Niks13")</f>
        <v>Niks13</v>
      </c>
    </row>
    <row r="841">
      <c r="A841" s="47" t="str">
        <f>IFERROR(__xludf.DUMMYFUNCTION("""COMPUTED_VALUE"""),"Virtual Brown")</f>
        <v>Virtual Brown</v>
      </c>
      <c r="B841" s="47" t="str">
        <f>IFERROR(__xludf.DUMMYFUNCTION("""COMPUTED_VALUE"""),"xrayneex")</f>
        <v>xrayneex</v>
      </c>
      <c r="C841" s="78" t="str">
        <f>IFERROR(__xludf.DUMMYFUNCTION("""COMPUTED_VALUE"""),"https://www.munzee.com/m/xrayneex/1718/")</f>
        <v>https://www.munzee.com/m/xrayneex/1718/</v>
      </c>
      <c r="D841" s="47"/>
      <c r="E841" s="47" t="b">
        <f>IFERROR(__xludf.DUMMYFUNCTION("""COMPUTED_VALUE"""),TRUE)</f>
        <v>1</v>
      </c>
      <c r="F841" s="83" t="str">
        <f>IFERROR(__xludf.DUMMYFUNCTION("""COMPUTED_VALUE"""),"")</f>
        <v/>
      </c>
      <c r="G841" s="47" t="str">
        <f>IFERROR(__xludf.DUMMYFUNCTION("""COMPUTED_VALUE"""),"")</f>
        <v/>
      </c>
      <c r="H841" s="47"/>
      <c r="I841" s="47">
        <f>IFERROR(__xludf.DUMMYFUNCTION("""COMPUTED_VALUE"""),2.0)</f>
        <v>2</v>
      </c>
      <c r="J841" s="47" t="str">
        <f>IFERROR(__xludf.DUMMYFUNCTION("""COMPUTED_VALUE"""),"https:")</f>
        <v>https:</v>
      </c>
      <c r="K841" s="78" t="str">
        <f>IFERROR(__xludf.DUMMYFUNCTION("""COMPUTED_VALUE"""),"www.munzee.com")</f>
        <v>www.munzee.com</v>
      </c>
      <c r="L841" s="47" t="str">
        <f>IFERROR(__xludf.DUMMYFUNCTION("""COMPUTED_VALUE"""),"m")</f>
        <v>m</v>
      </c>
      <c r="M841" s="47" t="str">
        <f>IFERROR(__xludf.DUMMYFUNCTION("""COMPUTED_VALUE"""),"xrayneex")</f>
        <v>xrayneex</v>
      </c>
    </row>
    <row r="842">
      <c r="A842" s="47" t="str">
        <f>IFERROR(__xludf.DUMMYFUNCTION("""COMPUTED_VALUE"""),"Virtual Brown")</f>
        <v>Virtual Brown</v>
      </c>
      <c r="B842" s="47" t="str">
        <f>IFERROR(__xludf.DUMMYFUNCTION("""COMPUTED_VALUE"""),"BrotherWilliam")</f>
        <v>BrotherWilliam</v>
      </c>
      <c r="C842" s="78" t="str">
        <f>IFERROR(__xludf.DUMMYFUNCTION("""COMPUTED_VALUE"""),"https://www.munzee.com/m/BrotherWilliam/4252/")</f>
        <v>https://www.munzee.com/m/BrotherWilliam/4252/</v>
      </c>
      <c r="D842" s="47"/>
      <c r="E842" s="47" t="b">
        <f>IFERROR(__xludf.DUMMYFUNCTION("""COMPUTED_VALUE"""),TRUE)</f>
        <v>1</v>
      </c>
      <c r="F842" s="83" t="str">
        <f>IFERROR(__xludf.DUMMYFUNCTION("""COMPUTED_VALUE"""),"")</f>
        <v/>
      </c>
      <c r="G842" s="47" t="str">
        <f>IFERROR(__xludf.DUMMYFUNCTION("""COMPUTED_VALUE"""),"")</f>
        <v/>
      </c>
      <c r="H842" s="47"/>
      <c r="I842" s="47">
        <f>IFERROR(__xludf.DUMMYFUNCTION("""COMPUTED_VALUE"""),2.0)</f>
        <v>2</v>
      </c>
      <c r="J842" s="47" t="str">
        <f>IFERROR(__xludf.DUMMYFUNCTION("""COMPUTED_VALUE"""),"https:")</f>
        <v>https:</v>
      </c>
      <c r="K842" s="78" t="str">
        <f>IFERROR(__xludf.DUMMYFUNCTION("""COMPUTED_VALUE"""),"www.munzee.com")</f>
        <v>www.munzee.com</v>
      </c>
      <c r="L842" s="47" t="str">
        <f>IFERROR(__xludf.DUMMYFUNCTION("""COMPUTED_VALUE"""),"m")</f>
        <v>m</v>
      </c>
      <c r="M842" s="47" t="str">
        <f>IFERROR(__xludf.DUMMYFUNCTION("""COMPUTED_VALUE"""),"BrotherWilliam")</f>
        <v>BrotherWilliam</v>
      </c>
    </row>
    <row r="843">
      <c r="A843" s="47" t="str">
        <f>IFERROR(__xludf.DUMMYFUNCTION("""COMPUTED_VALUE"""),"Virtual Brown")</f>
        <v>Virtual Brown</v>
      </c>
      <c r="B843" s="47" t="str">
        <f>IFERROR(__xludf.DUMMYFUNCTION("""COMPUTED_VALUE"""),"PcLocator")</f>
        <v>PcLocator</v>
      </c>
      <c r="C843" s="78" t="str">
        <f>IFERROR(__xludf.DUMMYFUNCTION("""COMPUTED_VALUE"""),"https://www.munzee.com/m/PcLocator/4254/")</f>
        <v>https://www.munzee.com/m/PcLocator/4254/</v>
      </c>
      <c r="D843" s="47"/>
      <c r="E843" s="47" t="b">
        <f>IFERROR(__xludf.DUMMYFUNCTION("""COMPUTED_VALUE"""),TRUE)</f>
        <v>1</v>
      </c>
      <c r="F843" s="83"/>
      <c r="G843" s="47" t="str">
        <f>IFERROR(__xludf.DUMMYFUNCTION("""COMPUTED_VALUE"""),"")</f>
        <v/>
      </c>
      <c r="H843" s="47"/>
      <c r="I843" s="47">
        <f>IFERROR(__xludf.DUMMYFUNCTION("""COMPUTED_VALUE"""),2.0)</f>
        <v>2</v>
      </c>
      <c r="J843" s="47" t="str">
        <f>IFERROR(__xludf.DUMMYFUNCTION("""COMPUTED_VALUE"""),"https:")</f>
        <v>https:</v>
      </c>
      <c r="K843" s="78" t="str">
        <f>IFERROR(__xludf.DUMMYFUNCTION("""COMPUTED_VALUE"""),"www.munzee.com")</f>
        <v>www.munzee.com</v>
      </c>
      <c r="L843" s="47" t="str">
        <f>IFERROR(__xludf.DUMMYFUNCTION("""COMPUTED_VALUE"""),"m")</f>
        <v>m</v>
      </c>
      <c r="M843" s="47" t="str">
        <f>IFERROR(__xludf.DUMMYFUNCTION("""COMPUTED_VALUE"""),"PcLocator")</f>
        <v>PcLocator</v>
      </c>
    </row>
    <row r="844">
      <c r="A844" s="47" t="str">
        <f>IFERROR(__xludf.DUMMYFUNCTION("""COMPUTED_VALUE"""),"Virtual Brown")</f>
        <v>Virtual Brown</v>
      </c>
      <c r="B844" s="47" t="str">
        <f>IFERROR(__xludf.DUMMYFUNCTION("""COMPUTED_VALUE"""),"barefootguru")</f>
        <v>barefootguru</v>
      </c>
      <c r="C844" s="78" t="str">
        <f>IFERROR(__xludf.DUMMYFUNCTION("""COMPUTED_VALUE"""),"https://www.munzee.com/m/barefootguru/3254/")</f>
        <v>https://www.munzee.com/m/barefootguru/3254/</v>
      </c>
      <c r="D844" s="47"/>
      <c r="E844" s="47" t="b">
        <f>IFERROR(__xludf.DUMMYFUNCTION("""COMPUTED_VALUE"""),TRUE)</f>
        <v>1</v>
      </c>
      <c r="F844" s="83" t="str">
        <f>IFERROR(__xludf.DUMMYFUNCTION("""COMPUTED_VALUE"""),"")</f>
        <v/>
      </c>
      <c r="G844" s="47" t="str">
        <f>IFERROR(__xludf.DUMMYFUNCTION("""COMPUTED_VALUE"""),"")</f>
        <v/>
      </c>
      <c r="H844" s="47"/>
      <c r="I844" s="47">
        <f>IFERROR(__xludf.DUMMYFUNCTION("""COMPUTED_VALUE"""),2.0)</f>
        <v>2</v>
      </c>
      <c r="J844" s="47" t="str">
        <f>IFERROR(__xludf.DUMMYFUNCTION("""COMPUTED_VALUE"""),"https:")</f>
        <v>https:</v>
      </c>
      <c r="K844" s="78" t="str">
        <f>IFERROR(__xludf.DUMMYFUNCTION("""COMPUTED_VALUE"""),"www.munzee.com")</f>
        <v>www.munzee.com</v>
      </c>
      <c r="L844" s="47" t="str">
        <f>IFERROR(__xludf.DUMMYFUNCTION("""COMPUTED_VALUE"""),"m")</f>
        <v>m</v>
      </c>
      <c r="M844" s="47" t="str">
        <f>IFERROR(__xludf.DUMMYFUNCTION("""COMPUTED_VALUE"""),"barefootguru")</f>
        <v>barefootguru</v>
      </c>
    </row>
    <row r="845">
      <c r="A845" s="47" t="str">
        <f>IFERROR(__xludf.DUMMYFUNCTION("""COMPUTED_VALUE"""),"Virtual Brown")</f>
        <v>Virtual Brown</v>
      </c>
      <c r="B845" s="47" t="str">
        <f>IFERROR(__xludf.DUMMYFUNCTION("""COMPUTED_VALUE"""),"Amadoreugen")</f>
        <v>Amadoreugen</v>
      </c>
      <c r="C845" s="78" t="str">
        <f>IFERROR(__xludf.DUMMYFUNCTION("""COMPUTED_VALUE"""),"https://www.munzee.com/m/amadoreugen/5861")</f>
        <v>https://www.munzee.com/m/amadoreugen/5861</v>
      </c>
      <c r="D845" s="47"/>
      <c r="E845" s="47" t="b">
        <f>IFERROR(__xludf.DUMMYFUNCTION("""COMPUTED_VALUE"""),TRUE)</f>
        <v>1</v>
      </c>
      <c r="F845" s="83" t="str">
        <f>IFERROR(__xludf.DUMMYFUNCTION("""COMPUTED_VALUE"""),"")</f>
        <v/>
      </c>
      <c r="G845" s="47" t="str">
        <f>IFERROR(__xludf.DUMMYFUNCTION("""COMPUTED_VALUE"""),"")</f>
        <v/>
      </c>
      <c r="H845" s="47"/>
      <c r="I845" s="47">
        <f>IFERROR(__xludf.DUMMYFUNCTION("""COMPUTED_VALUE"""),2.0)</f>
        <v>2</v>
      </c>
      <c r="J845" s="47" t="str">
        <f>IFERROR(__xludf.DUMMYFUNCTION("""COMPUTED_VALUE"""),"https:")</f>
        <v>https:</v>
      </c>
      <c r="K845" s="78" t="str">
        <f>IFERROR(__xludf.DUMMYFUNCTION("""COMPUTED_VALUE"""),"www.munzee.com")</f>
        <v>www.munzee.com</v>
      </c>
      <c r="L845" s="47" t="str">
        <f>IFERROR(__xludf.DUMMYFUNCTION("""COMPUTED_VALUE"""),"m")</f>
        <v>m</v>
      </c>
      <c r="M845" s="47" t="str">
        <f>IFERROR(__xludf.DUMMYFUNCTION("""COMPUTED_VALUE"""),"amadoreugen")</f>
        <v>amadoreugen</v>
      </c>
    </row>
    <row r="846">
      <c r="A846" s="47" t="str">
        <f>IFERROR(__xludf.DUMMYFUNCTION("""COMPUTED_VALUE"""),"Virtual Brown")</f>
        <v>Virtual Brown</v>
      </c>
      <c r="B846" s="47" t="str">
        <f>IFERROR(__xludf.DUMMYFUNCTION("""COMPUTED_VALUE"""),"J1Huisman")</f>
        <v>J1Huisman</v>
      </c>
      <c r="C846" s="78" t="str">
        <f>IFERROR(__xludf.DUMMYFUNCTION("""COMPUTED_VALUE"""),"https://www.munzee.com/m/J1Huisman/11836/")</f>
        <v>https://www.munzee.com/m/J1Huisman/11836/</v>
      </c>
      <c r="D846" s="47"/>
      <c r="E846" s="47" t="b">
        <f>IFERROR(__xludf.DUMMYFUNCTION("""COMPUTED_VALUE"""),TRUE)</f>
        <v>1</v>
      </c>
      <c r="F846" s="83" t="str">
        <f>IFERROR(__xludf.DUMMYFUNCTION("""COMPUTED_VALUE"""),"")</f>
        <v/>
      </c>
      <c r="G846" s="47" t="str">
        <f>IFERROR(__xludf.DUMMYFUNCTION("""COMPUTED_VALUE"""),"")</f>
        <v/>
      </c>
      <c r="H846" s="47"/>
      <c r="I846" s="47">
        <f>IFERROR(__xludf.DUMMYFUNCTION("""COMPUTED_VALUE"""),2.0)</f>
        <v>2</v>
      </c>
      <c r="J846" s="47" t="str">
        <f>IFERROR(__xludf.DUMMYFUNCTION("""COMPUTED_VALUE"""),"https:")</f>
        <v>https:</v>
      </c>
      <c r="K846" s="78" t="str">
        <f>IFERROR(__xludf.DUMMYFUNCTION("""COMPUTED_VALUE"""),"www.munzee.com")</f>
        <v>www.munzee.com</v>
      </c>
      <c r="L846" s="47" t="str">
        <f>IFERROR(__xludf.DUMMYFUNCTION("""COMPUTED_VALUE"""),"m")</f>
        <v>m</v>
      </c>
      <c r="M846" s="47" t="str">
        <f>IFERROR(__xludf.DUMMYFUNCTION("""COMPUTED_VALUE"""),"J1Huisman")</f>
        <v>J1Huisman</v>
      </c>
    </row>
    <row r="847">
      <c r="A847" s="47" t="str">
        <f>IFERROR(__xludf.DUMMYFUNCTION("""COMPUTED_VALUE"""),"Virtual Brown")</f>
        <v>Virtual Brown</v>
      </c>
      <c r="B847" s="47" t="str">
        <f>IFERROR(__xludf.DUMMYFUNCTION("""COMPUTED_VALUE"""),"Pinkeltje")</f>
        <v>Pinkeltje</v>
      </c>
      <c r="C847" s="78" t="str">
        <f>IFERROR(__xludf.DUMMYFUNCTION("""COMPUTED_VALUE"""),"https://www.munzee.com/m/Pinkeltje/1601/")</f>
        <v>https://www.munzee.com/m/Pinkeltje/1601/</v>
      </c>
      <c r="D847" s="47"/>
      <c r="E847" s="47" t="b">
        <f>IFERROR(__xludf.DUMMYFUNCTION("""COMPUTED_VALUE"""),TRUE)</f>
        <v>1</v>
      </c>
      <c r="F847" s="83" t="str">
        <f>IFERROR(__xludf.DUMMYFUNCTION("""COMPUTED_VALUE"""),"")</f>
        <v/>
      </c>
      <c r="G847" s="47" t="str">
        <f>IFERROR(__xludf.DUMMYFUNCTION("""COMPUTED_VALUE"""),"")</f>
        <v/>
      </c>
      <c r="H847" s="47"/>
      <c r="I847" s="47">
        <f>IFERROR(__xludf.DUMMYFUNCTION("""COMPUTED_VALUE"""),2.0)</f>
        <v>2</v>
      </c>
      <c r="J847" s="47" t="str">
        <f>IFERROR(__xludf.DUMMYFUNCTION("""COMPUTED_VALUE"""),"https:")</f>
        <v>https:</v>
      </c>
      <c r="K847" s="78" t="str">
        <f>IFERROR(__xludf.DUMMYFUNCTION("""COMPUTED_VALUE"""),"www.munzee.com")</f>
        <v>www.munzee.com</v>
      </c>
      <c r="L847" s="47" t="str">
        <f>IFERROR(__xludf.DUMMYFUNCTION("""COMPUTED_VALUE"""),"m")</f>
        <v>m</v>
      </c>
      <c r="M847" s="47" t="str">
        <f>IFERROR(__xludf.DUMMYFUNCTION("""COMPUTED_VALUE"""),"Pinkeltje")</f>
        <v>Pinkeltje</v>
      </c>
    </row>
    <row r="848">
      <c r="A848" s="47" t="str">
        <f>IFERROR(__xludf.DUMMYFUNCTION("""COMPUTED_VALUE"""),"Virtual Brown")</f>
        <v>Virtual Brown</v>
      </c>
      <c r="B848" s="47" t="str">
        <f>IFERROR(__xludf.DUMMYFUNCTION("""COMPUTED_VALUE"""),"krauseengineer")</f>
        <v>krauseengineer</v>
      </c>
      <c r="C848" s="78" t="str">
        <f>IFERROR(__xludf.DUMMYFUNCTION("""COMPUTED_VALUE"""),"https://www.munzee.com/m/Krauseengineer/2449")</f>
        <v>https://www.munzee.com/m/Krauseengineer/2449</v>
      </c>
      <c r="D848" s="47"/>
      <c r="E848" s="47" t="b">
        <f>IFERROR(__xludf.DUMMYFUNCTION("""COMPUTED_VALUE"""),TRUE)</f>
        <v>1</v>
      </c>
      <c r="F848" s="83" t="str">
        <f>IFERROR(__xludf.DUMMYFUNCTION("""COMPUTED_VALUE"""),"")</f>
        <v/>
      </c>
      <c r="G848" s="47" t="str">
        <f>IFERROR(__xludf.DUMMYFUNCTION("""COMPUTED_VALUE"""),"")</f>
        <v/>
      </c>
      <c r="H848" s="47"/>
      <c r="I848" s="47">
        <f>IFERROR(__xludf.DUMMYFUNCTION("""COMPUTED_VALUE"""),2.0)</f>
        <v>2</v>
      </c>
      <c r="J848" s="47" t="str">
        <f>IFERROR(__xludf.DUMMYFUNCTION("""COMPUTED_VALUE"""),"https:")</f>
        <v>https:</v>
      </c>
      <c r="K848" s="78" t="str">
        <f>IFERROR(__xludf.DUMMYFUNCTION("""COMPUTED_VALUE"""),"www.munzee.com")</f>
        <v>www.munzee.com</v>
      </c>
      <c r="L848" s="47" t="str">
        <f>IFERROR(__xludf.DUMMYFUNCTION("""COMPUTED_VALUE"""),"m")</f>
        <v>m</v>
      </c>
      <c r="M848" s="47" t="str">
        <f>IFERROR(__xludf.DUMMYFUNCTION("""COMPUTED_VALUE"""),"Krauseengineer")</f>
        <v>Krauseengineer</v>
      </c>
    </row>
    <row r="849">
      <c r="A849" s="47" t="str">
        <f>IFERROR(__xludf.DUMMYFUNCTION("""COMPUTED_VALUE"""),"Virtual Brown")</f>
        <v>Virtual Brown</v>
      </c>
      <c r="B849" s="47" t="str">
        <f>IFERROR(__xludf.DUMMYFUNCTION("""COMPUTED_VALUE"""),"GroteSufferd")</f>
        <v>GroteSufferd</v>
      </c>
      <c r="C849" s="78" t="str">
        <f>IFERROR(__xludf.DUMMYFUNCTION("""COMPUTED_VALUE"""),"https://www.munzee.com/m/GroteSufferd/527/")</f>
        <v>https://www.munzee.com/m/GroteSufferd/527/</v>
      </c>
      <c r="D849" s="47"/>
      <c r="E849" s="47" t="b">
        <f>IFERROR(__xludf.DUMMYFUNCTION("""COMPUTED_VALUE"""),TRUE)</f>
        <v>1</v>
      </c>
      <c r="F849" s="83" t="str">
        <f>IFERROR(__xludf.DUMMYFUNCTION("""COMPUTED_VALUE"""),"")</f>
        <v/>
      </c>
      <c r="G849" s="47" t="str">
        <f>IFERROR(__xludf.DUMMYFUNCTION("""COMPUTED_VALUE"""),"")</f>
        <v/>
      </c>
      <c r="H849" s="47"/>
      <c r="I849" s="47">
        <f>IFERROR(__xludf.DUMMYFUNCTION("""COMPUTED_VALUE"""),2.0)</f>
        <v>2</v>
      </c>
      <c r="J849" s="47" t="str">
        <f>IFERROR(__xludf.DUMMYFUNCTION("""COMPUTED_VALUE"""),"https:")</f>
        <v>https:</v>
      </c>
      <c r="K849" s="78" t="str">
        <f>IFERROR(__xludf.DUMMYFUNCTION("""COMPUTED_VALUE"""),"www.munzee.com")</f>
        <v>www.munzee.com</v>
      </c>
      <c r="L849" s="47" t="str">
        <f>IFERROR(__xludf.DUMMYFUNCTION("""COMPUTED_VALUE"""),"m")</f>
        <v>m</v>
      </c>
      <c r="M849" s="47" t="str">
        <f>IFERROR(__xludf.DUMMYFUNCTION("""COMPUTED_VALUE"""),"GroteSufferd")</f>
        <v>GroteSufferd</v>
      </c>
    </row>
    <row r="850">
      <c r="A850" s="47" t="str">
        <f>IFERROR(__xludf.DUMMYFUNCTION("""COMPUTED_VALUE"""),"Virtual Brown")</f>
        <v>Virtual Brown</v>
      </c>
      <c r="B850" s="47" t="str">
        <f>IFERROR(__xludf.DUMMYFUNCTION("""COMPUTED_VALUE"""),"ArtofEco")</f>
        <v>ArtofEco</v>
      </c>
      <c r="C850" s="78" t="str">
        <f>IFERROR(__xludf.DUMMYFUNCTION("""COMPUTED_VALUE"""),"https://www.munzee.com/m/ArtofEco/3064/")</f>
        <v>https://www.munzee.com/m/ArtofEco/3064/</v>
      </c>
      <c r="D850" s="47"/>
      <c r="E850" s="47" t="b">
        <f>IFERROR(__xludf.DUMMYFUNCTION("""COMPUTED_VALUE"""),TRUE)</f>
        <v>1</v>
      </c>
      <c r="F850" s="83" t="str">
        <f>IFERROR(__xludf.DUMMYFUNCTION("""COMPUTED_VALUE"""),"")</f>
        <v/>
      </c>
      <c r="G850" s="47" t="str">
        <f>IFERROR(__xludf.DUMMYFUNCTION("""COMPUTED_VALUE"""),"")</f>
        <v/>
      </c>
      <c r="H850" s="47"/>
      <c r="I850" s="47">
        <f>IFERROR(__xludf.DUMMYFUNCTION("""COMPUTED_VALUE"""),2.0)</f>
        <v>2</v>
      </c>
      <c r="J850" s="47" t="str">
        <f>IFERROR(__xludf.DUMMYFUNCTION("""COMPUTED_VALUE"""),"https:")</f>
        <v>https:</v>
      </c>
      <c r="K850" s="78" t="str">
        <f>IFERROR(__xludf.DUMMYFUNCTION("""COMPUTED_VALUE"""),"www.munzee.com")</f>
        <v>www.munzee.com</v>
      </c>
      <c r="L850" s="47" t="str">
        <f>IFERROR(__xludf.DUMMYFUNCTION("""COMPUTED_VALUE"""),"m")</f>
        <v>m</v>
      </c>
      <c r="M850" s="47" t="str">
        <f>IFERROR(__xludf.DUMMYFUNCTION("""COMPUTED_VALUE"""),"ArtofEco")</f>
        <v>ArtofEco</v>
      </c>
    </row>
    <row r="851">
      <c r="A851" s="47" t="str">
        <f>IFERROR(__xludf.DUMMYFUNCTION("""COMPUTED_VALUE"""),"Virtual Brown")</f>
        <v>Virtual Brown</v>
      </c>
      <c r="B851" s="47" t="str">
        <f>IFERROR(__xludf.DUMMYFUNCTION("""COMPUTED_VALUE"""),"5star")</f>
        <v>5star</v>
      </c>
      <c r="C851" s="78" t="str">
        <f>IFERROR(__xludf.DUMMYFUNCTION("""COMPUTED_VALUE"""),"https://www.munzee.com/m/5Star/6129")</f>
        <v>https://www.munzee.com/m/5Star/6129</v>
      </c>
      <c r="D851" s="47"/>
      <c r="E851" s="47" t="b">
        <f>IFERROR(__xludf.DUMMYFUNCTION("""COMPUTED_VALUE"""),TRUE)</f>
        <v>1</v>
      </c>
      <c r="F851" s="83" t="str">
        <f>IFERROR(__xludf.DUMMYFUNCTION("""COMPUTED_VALUE"""),"")</f>
        <v/>
      </c>
      <c r="G851" s="47" t="str">
        <f>IFERROR(__xludf.DUMMYFUNCTION("""COMPUTED_VALUE"""),"")</f>
        <v/>
      </c>
      <c r="H851" s="47"/>
      <c r="I851" s="47">
        <f>IFERROR(__xludf.DUMMYFUNCTION("""COMPUTED_VALUE"""),2.0)</f>
        <v>2</v>
      </c>
      <c r="J851" s="47" t="str">
        <f>IFERROR(__xludf.DUMMYFUNCTION("""COMPUTED_VALUE"""),"https:")</f>
        <v>https:</v>
      </c>
      <c r="K851" s="78" t="str">
        <f>IFERROR(__xludf.DUMMYFUNCTION("""COMPUTED_VALUE"""),"www.munzee.com")</f>
        <v>www.munzee.com</v>
      </c>
      <c r="L851" s="47" t="str">
        <f>IFERROR(__xludf.DUMMYFUNCTION("""COMPUTED_VALUE"""),"m")</f>
        <v>m</v>
      </c>
      <c r="M851" s="47" t="str">
        <f>IFERROR(__xludf.DUMMYFUNCTION("""COMPUTED_VALUE"""),"5Star")</f>
        <v>5Star</v>
      </c>
    </row>
    <row r="852">
      <c r="A852" s="47" t="str">
        <f>IFERROR(__xludf.DUMMYFUNCTION("""COMPUTED_VALUE"""),"Virtual Raw Sienna")</f>
        <v>Virtual Raw Sienna</v>
      </c>
      <c r="B852" s="47" t="str">
        <f>IFERROR(__xludf.DUMMYFUNCTION("""COMPUTED_VALUE"""),"Franca")</f>
        <v>Franca</v>
      </c>
      <c r="C852" s="78" t="str">
        <f>IFERROR(__xludf.DUMMYFUNCTION("""COMPUTED_VALUE"""),"https://www.munzee.com/m/Franca/1075/")</f>
        <v>https://www.munzee.com/m/Franca/1075/</v>
      </c>
      <c r="D852" s="47"/>
      <c r="E852" s="47" t="b">
        <f>IFERROR(__xludf.DUMMYFUNCTION("""COMPUTED_VALUE"""),TRUE)</f>
        <v>1</v>
      </c>
      <c r="F852" s="83" t="str">
        <f>IFERROR(__xludf.DUMMYFUNCTION("""COMPUTED_VALUE"""),"")</f>
        <v/>
      </c>
      <c r="G852" s="47" t="str">
        <f>IFERROR(__xludf.DUMMYFUNCTION("""COMPUTED_VALUE"""),"")</f>
        <v/>
      </c>
      <c r="H852" s="47"/>
      <c r="I852" s="47">
        <f>IFERROR(__xludf.DUMMYFUNCTION("""COMPUTED_VALUE"""),2.0)</f>
        <v>2</v>
      </c>
      <c r="J852" s="47" t="str">
        <f>IFERROR(__xludf.DUMMYFUNCTION("""COMPUTED_VALUE"""),"https:")</f>
        <v>https:</v>
      </c>
      <c r="K852" s="78" t="str">
        <f>IFERROR(__xludf.DUMMYFUNCTION("""COMPUTED_VALUE"""),"www.munzee.com")</f>
        <v>www.munzee.com</v>
      </c>
      <c r="L852" s="47" t="str">
        <f>IFERROR(__xludf.DUMMYFUNCTION("""COMPUTED_VALUE"""),"m")</f>
        <v>m</v>
      </c>
      <c r="M852" s="47" t="str">
        <f>IFERROR(__xludf.DUMMYFUNCTION("""COMPUTED_VALUE"""),"Franca")</f>
        <v>Franca</v>
      </c>
    </row>
    <row r="853">
      <c r="A853" s="47" t="str">
        <f>IFERROR(__xludf.DUMMYFUNCTION("""COMPUTED_VALUE"""),"Virtual Brown")</f>
        <v>Virtual Brown</v>
      </c>
      <c r="B853" s="47" t="str">
        <f>IFERROR(__xludf.DUMMYFUNCTION("""COMPUTED_VALUE"""),"Derlame ")</f>
        <v>Derlame </v>
      </c>
      <c r="C853" s="78" t="str">
        <f>IFERROR(__xludf.DUMMYFUNCTION("""COMPUTED_VALUE"""),"https://www.munzee.com/m/Derlame/18656/")</f>
        <v>https://www.munzee.com/m/Derlame/18656/</v>
      </c>
      <c r="D853" s="47"/>
      <c r="E853" s="47" t="b">
        <f>IFERROR(__xludf.DUMMYFUNCTION("""COMPUTED_VALUE"""),TRUE)</f>
        <v>1</v>
      </c>
      <c r="F853" s="83"/>
      <c r="G853" s="47" t="str">
        <f>IFERROR(__xludf.DUMMYFUNCTION("""COMPUTED_VALUE"""),"")</f>
        <v/>
      </c>
      <c r="H853" s="47"/>
      <c r="I853" s="47">
        <f>IFERROR(__xludf.DUMMYFUNCTION("""COMPUTED_VALUE"""),2.0)</f>
        <v>2</v>
      </c>
      <c r="J853" s="47" t="str">
        <f>IFERROR(__xludf.DUMMYFUNCTION("""COMPUTED_VALUE"""),"https:")</f>
        <v>https:</v>
      </c>
      <c r="K853" s="78" t="str">
        <f>IFERROR(__xludf.DUMMYFUNCTION("""COMPUTED_VALUE"""),"www.munzee.com")</f>
        <v>www.munzee.com</v>
      </c>
      <c r="L853" s="47" t="str">
        <f>IFERROR(__xludf.DUMMYFUNCTION("""COMPUTED_VALUE"""),"m")</f>
        <v>m</v>
      </c>
      <c r="M853" s="47" t="str">
        <f>IFERROR(__xludf.DUMMYFUNCTION("""COMPUTED_VALUE"""),"Derlame")</f>
        <v>Derlame</v>
      </c>
    </row>
    <row r="854">
      <c r="A854" s="47" t="str">
        <f>IFERROR(__xludf.DUMMYFUNCTION("""COMPUTED_VALUE"""),"Virtual Brown")</f>
        <v>Virtual Brown</v>
      </c>
      <c r="B854" s="47" t="str">
        <f>IFERROR(__xludf.DUMMYFUNCTION("""COMPUTED_VALUE"""),"Anetzet")</f>
        <v>Anetzet</v>
      </c>
      <c r="C854" s="78" t="str">
        <f>IFERROR(__xludf.DUMMYFUNCTION("""COMPUTED_VALUE"""),"https://www.munzee.com/m/Anetzet/3404/")</f>
        <v>https://www.munzee.com/m/Anetzet/3404/</v>
      </c>
      <c r="D854" s="47"/>
      <c r="E854" s="47" t="b">
        <f>IFERROR(__xludf.DUMMYFUNCTION("""COMPUTED_VALUE"""),TRUE)</f>
        <v>1</v>
      </c>
      <c r="F854" s="83" t="str">
        <f>IFERROR(__xludf.DUMMYFUNCTION("""COMPUTED_VALUE"""),"")</f>
        <v/>
      </c>
      <c r="G854" s="47" t="str">
        <f>IFERROR(__xludf.DUMMYFUNCTION("""COMPUTED_VALUE"""),"")</f>
        <v/>
      </c>
      <c r="H854" s="47"/>
      <c r="I854" s="47">
        <f>IFERROR(__xludf.DUMMYFUNCTION("""COMPUTED_VALUE"""),2.0)</f>
        <v>2</v>
      </c>
      <c r="J854" s="47" t="str">
        <f>IFERROR(__xludf.DUMMYFUNCTION("""COMPUTED_VALUE"""),"https:")</f>
        <v>https:</v>
      </c>
      <c r="K854" s="78" t="str">
        <f>IFERROR(__xludf.DUMMYFUNCTION("""COMPUTED_VALUE"""),"www.munzee.com")</f>
        <v>www.munzee.com</v>
      </c>
      <c r="L854" s="47" t="str">
        <f>IFERROR(__xludf.DUMMYFUNCTION("""COMPUTED_VALUE"""),"m")</f>
        <v>m</v>
      </c>
      <c r="M854" s="47" t="str">
        <f>IFERROR(__xludf.DUMMYFUNCTION("""COMPUTED_VALUE"""),"Anetzet")</f>
        <v>Anetzet</v>
      </c>
    </row>
    <row r="855">
      <c r="A855" s="47" t="str">
        <f>IFERROR(__xludf.DUMMYFUNCTION("""COMPUTED_VALUE"""),"Virtual Brown")</f>
        <v>Virtual Brown</v>
      </c>
      <c r="B855" s="47" t="str">
        <f>IFERROR(__xludf.DUMMYFUNCTION("""COMPUTED_VALUE"""),"Franca")</f>
        <v>Franca</v>
      </c>
      <c r="C855" s="78" t="str">
        <f>IFERROR(__xludf.DUMMYFUNCTION("""COMPUTED_VALUE"""),"https://www.munzee.com/m/Franca/1068/")</f>
        <v>https://www.munzee.com/m/Franca/1068/</v>
      </c>
      <c r="D855" s="47"/>
      <c r="E855" s="47" t="b">
        <f>IFERROR(__xludf.DUMMYFUNCTION("""COMPUTED_VALUE"""),TRUE)</f>
        <v>1</v>
      </c>
      <c r="F855" s="83" t="str">
        <f>IFERROR(__xludf.DUMMYFUNCTION("""COMPUTED_VALUE"""),"")</f>
        <v/>
      </c>
      <c r="G855" s="47" t="str">
        <f>IFERROR(__xludf.DUMMYFUNCTION("""COMPUTED_VALUE"""),"")</f>
        <v/>
      </c>
      <c r="H855" s="47"/>
      <c r="I855" s="47">
        <f>IFERROR(__xludf.DUMMYFUNCTION("""COMPUTED_VALUE"""),2.0)</f>
        <v>2</v>
      </c>
      <c r="J855" s="47" t="str">
        <f>IFERROR(__xludf.DUMMYFUNCTION("""COMPUTED_VALUE"""),"https:")</f>
        <v>https:</v>
      </c>
      <c r="K855" s="78" t="str">
        <f>IFERROR(__xludf.DUMMYFUNCTION("""COMPUTED_VALUE"""),"www.munzee.com")</f>
        <v>www.munzee.com</v>
      </c>
      <c r="L855" s="47" t="str">
        <f>IFERROR(__xludf.DUMMYFUNCTION("""COMPUTED_VALUE"""),"m")</f>
        <v>m</v>
      </c>
      <c r="M855" s="47" t="str">
        <f>IFERROR(__xludf.DUMMYFUNCTION("""COMPUTED_VALUE"""),"Franca")</f>
        <v>Franca</v>
      </c>
    </row>
    <row r="856">
      <c r="A856" s="47" t="str">
        <f>IFERROR(__xludf.DUMMYFUNCTION("""COMPUTED_VALUE"""),"Virtual Raw Sienna")</f>
        <v>Virtual Raw Sienna</v>
      </c>
      <c r="B856" s="47" t="str">
        <f>IFERROR(__xludf.DUMMYFUNCTION("""COMPUTED_VALUE"""),"Amadoreugen")</f>
        <v>Amadoreugen</v>
      </c>
      <c r="C856" s="78" t="str">
        <f>IFERROR(__xludf.DUMMYFUNCTION("""COMPUTED_VALUE"""),"https://www.munzee.com/m/amadoreugen/5868/")</f>
        <v>https://www.munzee.com/m/amadoreugen/5868/</v>
      </c>
      <c r="D856" s="47"/>
      <c r="E856" s="47" t="b">
        <f>IFERROR(__xludf.DUMMYFUNCTION("""COMPUTED_VALUE"""),TRUE)</f>
        <v>1</v>
      </c>
      <c r="F856" s="83" t="str">
        <f>IFERROR(__xludf.DUMMYFUNCTION("""COMPUTED_VALUE"""),"")</f>
        <v/>
      </c>
      <c r="G856" s="47" t="str">
        <f>IFERROR(__xludf.DUMMYFUNCTION("""COMPUTED_VALUE"""),"")</f>
        <v/>
      </c>
      <c r="H856" s="47"/>
      <c r="I856" s="47">
        <f>IFERROR(__xludf.DUMMYFUNCTION("""COMPUTED_VALUE"""),2.0)</f>
        <v>2</v>
      </c>
      <c r="J856" s="47" t="str">
        <f>IFERROR(__xludf.DUMMYFUNCTION("""COMPUTED_VALUE"""),"https:")</f>
        <v>https:</v>
      </c>
      <c r="K856" s="78" t="str">
        <f>IFERROR(__xludf.DUMMYFUNCTION("""COMPUTED_VALUE"""),"www.munzee.com")</f>
        <v>www.munzee.com</v>
      </c>
      <c r="L856" s="47" t="str">
        <f>IFERROR(__xludf.DUMMYFUNCTION("""COMPUTED_VALUE"""),"m")</f>
        <v>m</v>
      </c>
      <c r="M856" s="47" t="str">
        <f>IFERROR(__xludf.DUMMYFUNCTION("""COMPUTED_VALUE"""),"amadoreugen")</f>
        <v>amadoreugen</v>
      </c>
    </row>
    <row r="857">
      <c r="A857" s="47" t="str">
        <f>IFERROR(__xludf.DUMMYFUNCTION("""COMPUTED_VALUE"""),"Virtual Brown")</f>
        <v>Virtual Brown</v>
      </c>
      <c r="B857" s="47" t="str">
        <f>IFERROR(__xludf.DUMMYFUNCTION("""COMPUTED_VALUE"""),"jacksparrow")</f>
        <v>jacksparrow</v>
      </c>
      <c r="C857" s="78" t="str">
        <f>IFERROR(__xludf.DUMMYFUNCTION("""COMPUTED_VALUE"""),"https://www.munzee.com/m/JackSparrow/22161")</f>
        <v>https://www.munzee.com/m/JackSparrow/22161</v>
      </c>
      <c r="D857" s="47"/>
      <c r="E857" s="47" t="b">
        <f>IFERROR(__xludf.DUMMYFUNCTION("""COMPUTED_VALUE"""),TRUE)</f>
        <v>1</v>
      </c>
      <c r="F857" s="83" t="str">
        <f>IFERROR(__xludf.DUMMYFUNCTION("""COMPUTED_VALUE"""),"")</f>
        <v/>
      </c>
      <c r="G857" s="47" t="str">
        <f>IFERROR(__xludf.DUMMYFUNCTION("""COMPUTED_VALUE"""),"")</f>
        <v/>
      </c>
      <c r="H857" s="47"/>
      <c r="I857" s="47">
        <f>IFERROR(__xludf.DUMMYFUNCTION("""COMPUTED_VALUE"""),2.0)</f>
        <v>2</v>
      </c>
      <c r="J857" s="47" t="str">
        <f>IFERROR(__xludf.DUMMYFUNCTION("""COMPUTED_VALUE"""),"https:")</f>
        <v>https:</v>
      </c>
      <c r="K857" s="78" t="str">
        <f>IFERROR(__xludf.DUMMYFUNCTION("""COMPUTED_VALUE"""),"www.munzee.com")</f>
        <v>www.munzee.com</v>
      </c>
      <c r="L857" s="47" t="str">
        <f>IFERROR(__xludf.DUMMYFUNCTION("""COMPUTED_VALUE"""),"m")</f>
        <v>m</v>
      </c>
      <c r="M857" s="47" t="str">
        <f>IFERROR(__xludf.DUMMYFUNCTION("""COMPUTED_VALUE"""),"JackSparrow")</f>
        <v>JackSparrow</v>
      </c>
    </row>
    <row r="858">
      <c r="A858" s="47" t="str">
        <f>IFERROR(__xludf.DUMMYFUNCTION("""COMPUTED_VALUE"""),"Virtual Brown")</f>
        <v>Virtual Brown</v>
      </c>
      <c r="B858" s="47" t="str">
        <f>IFERROR(__xludf.DUMMYFUNCTION("""COMPUTED_VALUE"""),"mding4gold")</f>
        <v>mding4gold</v>
      </c>
      <c r="C858" s="78" t="str">
        <f>IFERROR(__xludf.DUMMYFUNCTION("""COMPUTED_VALUE"""),"https://www.munzee.com/m/mding4gold/4983")</f>
        <v>https://www.munzee.com/m/mding4gold/4983</v>
      </c>
      <c r="D858" s="47"/>
      <c r="E858" s="47" t="b">
        <f>IFERROR(__xludf.DUMMYFUNCTION("""COMPUTED_VALUE"""),TRUE)</f>
        <v>1</v>
      </c>
      <c r="F858" s="83" t="str">
        <f>IFERROR(__xludf.DUMMYFUNCTION("""COMPUTED_VALUE"""),"")</f>
        <v/>
      </c>
      <c r="G858" s="47" t="str">
        <f>IFERROR(__xludf.DUMMYFUNCTION("""COMPUTED_VALUE"""),"")</f>
        <v/>
      </c>
      <c r="H858" s="47"/>
      <c r="I858" s="47">
        <f>IFERROR(__xludf.DUMMYFUNCTION("""COMPUTED_VALUE"""),2.0)</f>
        <v>2</v>
      </c>
      <c r="J858" s="47" t="str">
        <f>IFERROR(__xludf.DUMMYFUNCTION("""COMPUTED_VALUE"""),"https:")</f>
        <v>https:</v>
      </c>
      <c r="K858" s="78" t="str">
        <f>IFERROR(__xludf.DUMMYFUNCTION("""COMPUTED_VALUE"""),"www.munzee.com")</f>
        <v>www.munzee.com</v>
      </c>
      <c r="L858" s="47" t="str">
        <f>IFERROR(__xludf.DUMMYFUNCTION("""COMPUTED_VALUE"""),"m")</f>
        <v>m</v>
      </c>
      <c r="M858" s="47" t="str">
        <f>IFERROR(__xludf.DUMMYFUNCTION("""COMPUTED_VALUE"""),"mding4gold")</f>
        <v>mding4gold</v>
      </c>
    </row>
    <row r="859">
      <c r="A859" s="47" t="str">
        <f>IFERROR(__xludf.DUMMYFUNCTION("""COMPUTED_VALUE"""),"Virtual Raw Sienna")</f>
        <v>Virtual Raw Sienna</v>
      </c>
      <c r="B859" s="47" t="str">
        <f>IFERROR(__xludf.DUMMYFUNCTION("""COMPUTED_VALUE"""),"lison55")</f>
        <v>lison55</v>
      </c>
      <c r="C859" s="78" t="str">
        <f>IFERROR(__xludf.DUMMYFUNCTION("""COMPUTED_VALUE"""),"https://www.munzee.com/m/lison55/5750/")</f>
        <v>https://www.munzee.com/m/lison55/5750/</v>
      </c>
      <c r="D859" s="47"/>
      <c r="E859" s="47" t="b">
        <f>IFERROR(__xludf.DUMMYFUNCTION("""COMPUTED_VALUE"""),TRUE)</f>
        <v>1</v>
      </c>
      <c r="F859" s="83" t="str">
        <f>IFERROR(__xludf.DUMMYFUNCTION("""COMPUTED_VALUE"""),"")</f>
        <v/>
      </c>
      <c r="G859" s="47" t="str">
        <f>IFERROR(__xludf.DUMMYFUNCTION("""COMPUTED_VALUE"""),"")</f>
        <v/>
      </c>
      <c r="H859" s="47"/>
      <c r="I859" s="47">
        <f>IFERROR(__xludf.DUMMYFUNCTION("""COMPUTED_VALUE"""),2.0)</f>
        <v>2</v>
      </c>
      <c r="J859" s="47" t="str">
        <f>IFERROR(__xludf.DUMMYFUNCTION("""COMPUTED_VALUE"""),"https:")</f>
        <v>https:</v>
      </c>
      <c r="K859" s="78" t="str">
        <f>IFERROR(__xludf.DUMMYFUNCTION("""COMPUTED_VALUE"""),"www.munzee.com")</f>
        <v>www.munzee.com</v>
      </c>
      <c r="L859" s="47" t="str">
        <f>IFERROR(__xludf.DUMMYFUNCTION("""COMPUTED_VALUE"""),"m")</f>
        <v>m</v>
      </c>
      <c r="M859" s="47" t="str">
        <f>IFERROR(__xludf.DUMMYFUNCTION("""COMPUTED_VALUE"""),"lison55")</f>
        <v>lison55</v>
      </c>
    </row>
    <row r="860">
      <c r="A860" s="47" t="str">
        <f>IFERROR(__xludf.DUMMYFUNCTION("""COMPUTED_VALUE"""),"Virtual Brown")</f>
        <v>Virtual Brown</v>
      </c>
      <c r="B860" s="47" t="str">
        <f>IFERROR(__xludf.DUMMYFUNCTION("""COMPUTED_VALUE"""),"cbf600")</f>
        <v>cbf600</v>
      </c>
      <c r="C860" s="78" t="str">
        <f>IFERROR(__xludf.DUMMYFUNCTION("""COMPUTED_VALUE"""),"https://www.munzee.com/m/cbf600/2586/")</f>
        <v>https://www.munzee.com/m/cbf600/2586/</v>
      </c>
      <c r="D860" s="47"/>
      <c r="E860" s="47" t="b">
        <f>IFERROR(__xludf.DUMMYFUNCTION("""COMPUTED_VALUE"""),TRUE)</f>
        <v>1</v>
      </c>
      <c r="F860" s="83" t="str">
        <f>IFERROR(__xludf.DUMMYFUNCTION("""COMPUTED_VALUE"""),"")</f>
        <v/>
      </c>
      <c r="G860" s="47" t="str">
        <f>IFERROR(__xludf.DUMMYFUNCTION("""COMPUTED_VALUE"""),"")</f>
        <v/>
      </c>
      <c r="H860" s="47"/>
      <c r="I860" s="47">
        <f>IFERROR(__xludf.DUMMYFUNCTION("""COMPUTED_VALUE"""),2.0)</f>
        <v>2</v>
      </c>
      <c r="J860" s="47" t="str">
        <f>IFERROR(__xludf.DUMMYFUNCTION("""COMPUTED_VALUE"""),"https:")</f>
        <v>https:</v>
      </c>
      <c r="K860" s="78" t="str">
        <f>IFERROR(__xludf.DUMMYFUNCTION("""COMPUTED_VALUE"""),"www.munzee.com")</f>
        <v>www.munzee.com</v>
      </c>
      <c r="L860" s="47" t="str">
        <f>IFERROR(__xludf.DUMMYFUNCTION("""COMPUTED_VALUE"""),"m")</f>
        <v>m</v>
      </c>
      <c r="M860" s="47" t="str">
        <f>IFERROR(__xludf.DUMMYFUNCTION("""COMPUTED_VALUE"""),"cbf600")</f>
        <v>cbf600</v>
      </c>
    </row>
    <row r="861">
      <c r="A861" s="47" t="str">
        <f>IFERROR(__xludf.DUMMYFUNCTION("""COMPUTED_VALUE"""),"Virtual Raw Sienna")</f>
        <v>Virtual Raw Sienna</v>
      </c>
      <c r="B861" s="47" t="str">
        <f>IFERROR(__xludf.DUMMYFUNCTION("""COMPUTED_VALUE"""),"fsafranek")</f>
        <v>fsafranek</v>
      </c>
      <c r="C861" s="78" t="str">
        <f>IFERROR(__xludf.DUMMYFUNCTION("""COMPUTED_VALUE"""),"https://www.munzee.com/m/fsafranek/4982/")</f>
        <v>https://www.munzee.com/m/fsafranek/4982/</v>
      </c>
      <c r="D861" s="47"/>
      <c r="E861" s="47" t="b">
        <f>IFERROR(__xludf.DUMMYFUNCTION("""COMPUTED_VALUE"""),TRUE)</f>
        <v>1</v>
      </c>
      <c r="F861" s="83" t="str">
        <f>IFERROR(__xludf.DUMMYFUNCTION("""COMPUTED_VALUE"""),"")</f>
        <v/>
      </c>
      <c r="G861" s="47" t="str">
        <f>IFERROR(__xludf.DUMMYFUNCTION("""COMPUTED_VALUE"""),"")</f>
        <v/>
      </c>
      <c r="H861" s="47"/>
      <c r="I861" s="47">
        <f>IFERROR(__xludf.DUMMYFUNCTION("""COMPUTED_VALUE"""),2.0)</f>
        <v>2</v>
      </c>
      <c r="J861" s="47" t="str">
        <f>IFERROR(__xludf.DUMMYFUNCTION("""COMPUTED_VALUE"""),"https:")</f>
        <v>https:</v>
      </c>
      <c r="K861" s="78" t="str">
        <f>IFERROR(__xludf.DUMMYFUNCTION("""COMPUTED_VALUE"""),"www.munzee.com")</f>
        <v>www.munzee.com</v>
      </c>
      <c r="L861" s="47" t="str">
        <f>IFERROR(__xludf.DUMMYFUNCTION("""COMPUTED_VALUE"""),"m")</f>
        <v>m</v>
      </c>
      <c r="M861" s="47" t="str">
        <f>IFERROR(__xludf.DUMMYFUNCTION("""COMPUTED_VALUE"""),"fsafranek")</f>
        <v>fsafranek</v>
      </c>
    </row>
    <row r="862">
      <c r="A862" s="47" t="str">
        <f>IFERROR(__xludf.DUMMYFUNCTION("""COMPUTED_VALUE"""),"Virtual Brown")</f>
        <v>Virtual Brown</v>
      </c>
      <c r="B862" s="47" t="str">
        <f>IFERROR(__xludf.DUMMYFUNCTION("""COMPUTED_VALUE"""),"Fossillady")</f>
        <v>Fossillady</v>
      </c>
      <c r="C862" s="78" t="str">
        <f>IFERROR(__xludf.DUMMYFUNCTION("""COMPUTED_VALUE"""),"https://www.munzee.com/m/Fossillady/3500")</f>
        <v>https://www.munzee.com/m/Fossillady/3500</v>
      </c>
      <c r="D862" s="47"/>
      <c r="E862" s="47" t="b">
        <f>IFERROR(__xludf.DUMMYFUNCTION("""COMPUTED_VALUE"""),TRUE)</f>
        <v>1</v>
      </c>
      <c r="F862" s="83" t="str">
        <f>IFERROR(__xludf.DUMMYFUNCTION("""COMPUTED_VALUE"""),"")</f>
        <v/>
      </c>
      <c r="G862" s="47" t="str">
        <f>IFERROR(__xludf.DUMMYFUNCTION("""COMPUTED_VALUE"""),"")</f>
        <v/>
      </c>
      <c r="H862" s="47"/>
      <c r="I862" s="47">
        <f>IFERROR(__xludf.DUMMYFUNCTION("""COMPUTED_VALUE"""),2.0)</f>
        <v>2</v>
      </c>
      <c r="J862" s="47" t="str">
        <f>IFERROR(__xludf.DUMMYFUNCTION("""COMPUTED_VALUE"""),"https:")</f>
        <v>https:</v>
      </c>
      <c r="K862" s="78" t="str">
        <f>IFERROR(__xludf.DUMMYFUNCTION("""COMPUTED_VALUE"""),"www.munzee.com")</f>
        <v>www.munzee.com</v>
      </c>
      <c r="L862" s="47" t="str">
        <f>IFERROR(__xludf.DUMMYFUNCTION("""COMPUTED_VALUE"""),"m")</f>
        <v>m</v>
      </c>
      <c r="M862" s="47" t="str">
        <f>IFERROR(__xludf.DUMMYFUNCTION("""COMPUTED_VALUE"""),"Fossillady")</f>
        <v>Fossillady</v>
      </c>
    </row>
    <row r="863">
      <c r="A863" s="47" t="str">
        <f>IFERROR(__xludf.DUMMYFUNCTION("""COMPUTED_VALUE"""),"Virtual Brown")</f>
        <v>Virtual Brown</v>
      </c>
      <c r="B863" s="47" t="str">
        <f>IFERROR(__xludf.DUMMYFUNCTION("""COMPUTED_VALUE"""),"TheFatCats")</f>
        <v>TheFatCats</v>
      </c>
      <c r="C863" s="78" t="str">
        <f>IFERROR(__xludf.DUMMYFUNCTION("""COMPUTED_VALUE"""),"https://www.munzee.com/m/TheFatCats/4327/")</f>
        <v>https://www.munzee.com/m/TheFatCats/4327/</v>
      </c>
      <c r="D863" s="47"/>
      <c r="E863" s="47" t="b">
        <f>IFERROR(__xludf.DUMMYFUNCTION("""COMPUTED_VALUE"""),TRUE)</f>
        <v>1</v>
      </c>
      <c r="F863" s="83" t="str">
        <f>IFERROR(__xludf.DUMMYFUNCTION("""COMPUTED_VALUE"""),"")</f>
        <v/>
      </c>
      <c r="G863" s="47" t="str">
        <f>IFERROR(__xludf.DUMMYFUNCTION("""COMPUTED_VALUE"""),"")</f>
        <v/>
      </c>
      <c r="H863" s="47"/>
      <c r="I863" s="47">
        <f>IFERROR(__xludf.DUMMYFUNCTION("""COMPUTED_VALUE"""),2.0)</f>
        <v>2</v>
      </c>
      <c r="J863" s="47" t="str">
        <f>IFERROR(__xludf.DUMMYFUNCTION("""COMPUTED_VALUE"""),"https:")</f>
        <v>https:</v>
      </c>
      <c r="K863" s="78" t="str">
        <f>IFERROR(__xludf.DUMMYFUNCTION("""COMPUTED_VALUE"""),"www.munzee.com")</f>
        <v>www.munzee.com</v>
      </c>
      <c r="L863" s="47" t="str">
        <f>IFERROR(__xludf.DUMMYFUNCTION("""COMPUTED_VALUE"""),"m")</f>
        <v>m</v>
      </c>
      <c r="M863" s="47" t="str">
        <f>IFERROR(__xludf.DUMMYFUNCTION("""COMPUTED_VALUE"""),"TheFatCats")</f>
        <v>TheFatCats</v>
      </c>
    </row>
    <row r="864">
      <c r="A864" s="47" t="str">
        <f>IFERROR(__xludf.DUMMYFUNCTION("""COMPUTED_VALUE"""),"Virtual Brown")</f>
        <v>Virtual Brown</v>
      </c>
      <c r="B864" s="47" t="str">
        <f>IFERROR(__xludf.DUMMYFUNCTION("""COMPUTED_VALUE"""),"emilep68")</f>
        <v>emilep68</v>
      </c>
      <c r="C864" s="78" t="str">
        <f>IFERROR(__xludf.DUMMYFUNCTION("""COMPUTED_VALUE"""),"https://www.munzee.com/m/EmileP68/3902/")</f>
        <v>https://www.munzee.com/m/EmileP68/3902/</v>
      </c>
      <c r="D864" s="47"/>
      <c r="E864" s="47" t="b">
        <f>IFERROR(__xludf.DUMMYFUNCTION("""COMPUTED_VALUE"""),TRUE)</f>
        <v>1</v>
      </c>
      <c r="F864" s="83" t="str">
        <f>IFERROR(__xludf.DUMMYFUNCTION("""COMPUTED_VALUE"""),"")</f>
        <v/>
      </c>
      <c r="G864" s="47" t="str">
        <f>IFERROR(__xludf.DUMMYFUNCTION("""COMPUTED_VALUE"""),"")</f>
        <v/>
      </c>
      <c r="H864" s="47"/>
      <c r="I864" s="47">
        <f>IFERROR(__xludf.DUMMYFUNCTION("""COMPUTED_VALUE"""),2.0)</f>
        <v>2</v>
      </c>
      <c r="J864" s="47" t="str">
        <f>IFERROR(__xludf.DUMMYFUNCTION("""COMPUTED_VALUE"""),"https:")</f>
        <v>https:</v>
      </c>
      <c r="K864" s="78" t="str">
        <f>IFERROR(__xludf.DUMMYFUNCTION("""COMPUTED_VALUE"""),"www.munzee.com")</f>
        <v>www.munzee.com</v>
      </c>
      <c r="L864" s="47" t="str">
        <f>IFERROR(__xludf.DUMMYFUNCTION("""COMPUTED_VALUE"""),"m")</f>
        <v>m</v>
      </c>
      <c r="M864" s="47" t="str">
        <f>IFERROR(__xludf.DUMMYFUNCTION("""COMPUTED_VALUE"""),"EmileP68")</f>
        <v>EmileP68</v>
      </c>
    </row>
    <row r="865">
      <c r="A865" s="47" t="str">
        <f>IFERROR(__xludf.DUMMYFUNCTION("""COMPUTED_VALUE"""),"Virtual Brown")</f>
        <v>Virtual Brown</v>
      </c>
      <c r="B865" s="47" t="str">
        <f>IFERROR(__xludf.DUMMYFUNCTION("""COMPUTED_VALUE"""),"OdinsFiRe")</f>
        <v>OdinsFiRe</v>
      </c>
      <c r="C865" s="78" t="str">
        <f>IFERROR(__xludf.DUMMYFUNCTION("""COMPUTED_VALUE"""),"https://www.munzee.com/m/OdinsFiRe/1958/")</f>
        <v>https://www.munzee.com/m/OdinsFiRe/1958/</v>
      </c>
      <c r="D865" s="47"/>
      <c r="E865" s="47" t="b">
        <f>IFERROR(__xludf.DUMMYFUNCTION("""COMPUTED_VALUE"""),TRUE)</f>
        <v>1</v>
      </c>
      <c r="F865" s="83" t="str">
        <f>IFERROR(__xludf.DUMMYFUNCTION("""COMPUTED_VALUE"""),"")</f>
        <v/>
      </c>
      <c r="G865" s="47" t="str">
        <f>IFERROR(__xludf.DUMMYFUNCTION("""COMPUTED_VALUE"""),"")</f>
        <v/>
      </c>
      <c r="H865" s="47"/>
      <c r="I865" s="47">
        <f>IFERROR(__xludf.DUMMYFUNCTION("""COMPUTED_VALUE"""),2.0)</f>
        <v>2</v>
      </c>
      <c r="J865" s="47" t="str">
        <f>IFERROR(__xludf.DUMMYFUNCTION("""COMPUTED_VALUE"""),"https:")</f>
        <v>https:</v>
      </c>
      <c r="K865" s="78" t="str">
        <f>IFERROR(__xludf.DUMMYFUNCTION("""COMPUTED_VALUE"""),"www.munzee.com")</f>
        <v>www.munzee.com</v>
      </c>
      <c r="L865" s="47" t="str">
        <f>IFERROR(__xludf.DUMMYFUNCTION("""COMPUTED_VALUE"""),"m")</f>
        <v>m</v>
      </c>
      <c r="M865" s="47" t="str">
        <f>IFERROR(__xludf.DUMMYFUNCTION("""COMPUTED_VALUE"""),"OdinsFiRe")</f>
        <v>OdinsFiRe</v>
      </c>
    </row>
    <row r="866">
      <c r="A866" s="47" t="str">
        <f>IFERROR(__xludf.DUMMYFUNCTION("""COMPUTED_VALUE"""),"Virtual Brown")</f>
        <v>Virtual Brown</v>
      </c>
      <c r="B866" s="47" t="str">
        <f>IFERROR(__xludf.DUMMYFUNCTION("""COMPUTED_VALUE"""),"res2100")</f>
        <v>res2100</v>
      </c>
      <c r="C866" s="78" t="str">
        <f>IFERROR(__xludf.DUMMYFUNCTION("""COMPUTED_VALUE"""),"https://www.munzee.com/m/res2100/761")</f>
        <v>https://www.munzee.com/m/res2100/761</v>
      </c>
      <c r="D866" s="47"/>
      <c r="E866" s="47" t="b">
        <f>IFERROR(__xludf.DUMMYFUNCTION("""COMPUTED_VALUE"""),TRUE)</f>
        <v>1</v>
      </c>
      <c r="F866" s="83"/>
      <c r="G866" s="47" t="str">
        <f>IFERROR(__xludf.DUMMYFUNCTION("""COMPUTED_VALUE"""),"")</f>
        <v/>
      </c>
      <c r="H866" s="47"/>
      <c r="I866" s="47">
        <f>IFERROR(__xludf.DUMMYFUNCTION("""COMPUTED_VALUE"""),2.0)</f>
        <v>2</v>
      </c>
      <c r="J866" s="47" t="str">
        <f>IFERROR(__xludf.DUMMYFUNCTION("""COMPUTED_VALUE"""),"https:")</f>
        <v>https:</v>
      </c>
      <c r="K866" s="78" t="str">
        <f>IFERROR(__xludf.DUMMYFUNCTION("""COMPUTED_VALUE"""),"www.munzee.com")</f>
        <v>www.munzee.com</v>
      </c>
      <c r="L866" s="47" t="str">
        <f>IFERROR(__xludf.DUMMYFUNCTION("""COMPUTED_VALUE"""),"m")</f>
        <v>m</v>
      </c>
      <c r="M866" s="47" t="str">
        <f>IFERROR(__xludf.DUMMYFUNCTION("""COMPUTED_VALUE"""),"res2100")</f>
        <v>res2100</v>
      </c>
    </row>
    <row r="867">
      <c r="A867" s="47" t="str">
        <f>IFERROR(__xludf.DUMMYFUNCTION("""COMPUTED_VALUE"""),"Virtual Brown")</f>
        <v>Virtual Brown</v>
      </c>
      <c r="B867" s="47" t="str">
        <f>IFERROR(__xludf.DUMMYFUNCTION("""COMPUTED_VALUE"""),"Bisquick2")</f>
        <v>Bisquick2</v>
      </c>
      <c r="C867" s="78" t="str">
        <f>IFERROR(__xludf.DUMMYFUNCTION("""COMPUTED_VALUE"""),"https://www.munzee.com/m/Bisquick2/4773/")</f>
        <v>https://www.munzee.com/m/Bisquick2/4773/</v>
      </c>
      <c r="D867" s="47"/>
      <c r="E867" s="47" t="b">
        <f>IFERROR(__xludf.DUMMYFUNCTION("""COMPUTED_VALUE"""),TRUE)</f>
        <v>1</v>
      </c>
      <c r="F867" s="83" t="str">
        <f>IFERROR(__xludf.DUMMYFUNCTION("""COMPUTED_VALUE"""),"")</f>
        <v/>
      </c>
      <c r="G867" s="47" t="str">
        <f>IFERROR(__xludf.DUMMYFUNCTION("""COMPUTED_VALUE"""),"")</f>
        <v/>
      </c>
      <c r="H867" s="47"/>
      <c r="I867" s="47">
        <f>IFERROR(__xludf.DUMMYFUNCTION("""COMPUTED_VALUE"""),2.0)</f>
        <v>2</v>
      </c>
      <c r="J867" s="47" t="str">
        <f>IFERROR(__xludf.DUMMYFUNCTION("""COMPUTED_VALUE"""),"https:")</f>
        <v>https:</v>
      </c>
      <c r="K867" s="78" t="str">
        <f>IFERROR(__xludf.DUMMYFUNCTION("""COMPUTED_VALUE"""),"www.munzee.com")</f>
        <v>www.munzee.com</v>
      </c>
      <c r="L867" s="47" t="str">
        <f>IFERROR(__xludf.DUMMYFUNCTION("""COMPUTED_VALUE"""),"m")</f>
        <v>m</v>
      </c>
      <c r="M867" s="47" t="str">
        <f>IFERROR(__xludf.DUMMYFUNCTION("""COMPUTED_VALUE"""),"Bisquick2")</f>
        <v>Bisquick2</v>
      </c>
    </row>
    <row r="868">
      <c r="A868" s="47" t="str">
        <f>IFERROR(__xludf.DUMMYFUNCTION("""COMPUTED_VALUE"""),"Virtual Brown")</f>
        <v>Virtual Brown</v>
      </c>
      <c r="B868" s="47" t="str">
        <f>IFERROR(__xludf.DUMMYFUNCTION("""COMPUTED_VALUE"""),"wally62")</f>
        <v>wally62</v>
      </c>
      <c r="C868" s="78" t="str">
        <f>IFERROR(__xludf.DUMMYFUNCTION("""COMPUTED_VALUE"""),"https://www.munzee.com/m/wally62/4343/")</f>
        <v>https://www.munzee.com/m/wally62/4343/</v>
      </c>
      <c r="D868" s="47"/>
      <c r="E868" s="47" t="b">
        <f>IFERROR(__xludf.DUMMYFUNCTION("""COMPUTED_VALUE"""),TRUE)</f>
        <v>1</v>
      </c>
      <c r="F868" s="83" t="str">
        <f>IFERROR(__xludf.DUMMYFUNCTION("""COMPUTED_VALUE"""),"")</f>
        <v/>
      </c>
      <c r="G868" s="47" t="str">
        <f>IFERROR(__xludf.DUMMYFUNCTION("""COMPUTED_VALUE"""),"")</f>
        <v/>
      </c>
      <c r="H868" s="47"/>
      <c r="I868" s="47">
        <f>IFERROR(__xludf.DUMMYFUNCTION("""COMPUTED_VALUE"""),2.0)</f>
        <v>2</v>
      </c>
      <c r="J868" s="47" t="str">
        <f>IFERROR(__xludf.DUMMYFUNCTION("""COMPUTED_VALUE"""),"https:")</f>
        <v>https:</v>
      </c>
      <c r="K868" s="78" t="str">
        <f>IFERROR(__xludf.DUMMYFUNCTION("""COMPUTED_VALUE"""),"www.munzee.com")</f>
        <v>www.munzee.com</v>
      </c>
      <c r="L868" s="47" t="str">
        <f>IFERROR(__xludf.DUMMYFUNCTION("""COMPUTED_VALUE"""),"m")</f>
        <v>m</v>
      </c>
      <c r="M868" s="47" t="str">
        <f>IFERROR(__xludf.DUMMYFUNCTION("""COMPUTED_VALUE"""),"wally62")</f>
        <v>wally62</v>
      </c>
    </row>
    <row r="869">
      <c r="A869" s="47" t="str">
        <f>IFERROR(__xludf.DUMMYFUNCTION("""COMPUTED_VALUE"""),"Virtual Raw Sienna")</f>
        <v>Virtual Raw Sienna</v>
      </c>
      <c r="B869" s="47" t="str">
        <f>IFERROR(__xludf.DUMMYFUNCTION("""COMPUTED_VALUE"""),"Trappertje")</f>
        <v>Trappertje</v>
      </c>
      <c r="C869" s="78" t="str">
        <f>IFERROR(__xludf.DUMMYFUNCTION("""COMPUTED_VALUE"""),"https://www.munzee.com/m/Trappertje/5537/")</f>
        <v>https://www.munzee.com/m/Trappertje/5537/</v>
      </c>
      <c r="D869" s="47"/>
      <c r="E869" s="47" t="b">
        <f>IFERROR(__xludf.DUMMYFUNCTION("""COMPUTED_VALUE"""),TRUE)</f>
        <v>1</v>
      </c>
      <c r="F869" s="83" t="str">
        <f>IFERROR(__xludf.DUMMYFUNCTION("""COMPUTED_VALUE"""),"")</f>
        <v/>
      </c>
      <c r="G869" s="47" t="str">
        <f>IFERROR(__xludf.DUMMYFUNCTION("""COMPUTED_VALUE"""),"")</f>
        <v/>
      </c>
      <c r="H869" s="47"/>
      <c r="I869" s="47">
        <f>IFERROR(__xludf.DUMMYFUNCTION("""COMPUTED_VALUE"""),2.0)</f>
        <v>2</v>
      </c>
      <c r="J869" s="47" t="str">
        <f>IFERROR(__xludf.DUMMYFUNCTION("""COMPUTED_VALUE"""),"https:")</f>
        <v>https:</v>
      </c>
      <c r="K869" s="78" t="str">
        <f>IFERROR(__xludf.DUMMYFUNCTION("""COMPUTED_VALUE"""),"www.munzee.com")</f>
        <v>www.munzee.com</v>
      </c>
      <c r="L869" s="47" t="str">
        <f>IFERROR(__xludf.DUMMYFUNCTION("""COMPUTED_VALUE"""),"m")</f>
        <v>m</v>
      </c>
      <c r="M869" s="47" t="str">
        <f>IFERROR(__xludf.DUMMYFUNCTION("""COMPUTED_VALUE"""),"Trappertje")</f>
        <v>Trappertje</v>
      </c>
    </row>
    <row r="870">
      <c r="A870" s="47" t="str">
        <f>IFERROR(__xludf.DUMMYFUNCTION("""COMPUTED_VALUE"""),"Virtual Brown")</f>
        <v>Virtual Brown</v>
      </c>
      <c r="B870" s="47" t="str">
        <f>IFERROR(__xludf.DUMMYFUNCTION("""COMPUTED_VALUE"""),"Ellesche")</f>
        <v>Ellesche</v>
      </c>
      <c r="C870" s="78" t="str">
        <f>IFERROR(__xludf.DUMMYFUNCTION("""COMPUTED_VALUE"""),"https://www.munzee.com/m/Ellesche/748/")</f>
        <v>https://www.munzee.com/m/Ellesche/748/</v>
      </c>
      <c r="D870" s="47"/>
      <c r="E870" s="47" t="b">
        <f>IFERROR(__xludf.DUMMYFUNCTION("""COMPUTED_VALUE"""),TRUE)</f>
        <v>1</v>
      </c>
      <c r="F870" s="83" t="str">
        <f>IFERROR(__xludf.DUMMYFUNCTION("""COMPUTED_VALUE"""),"")</f>
        <v/>
      </c>
      <c r="G870" s="47" t="str">
        <f>IFERROR(__xludf.DUMMYFUNCTION("""COMPUTED_VALUE"""),"")</f>
        <v/>
      </c>
      <c r="H870" s="47"/>
      <c r="I870" s="47">
        <f>IFERROR(__xludf.DUMMYFUNCTION("""COMPUTED_VALUE"""),2.0)</f>
        <v>2</v>
      </c>
      <c r="J870" s="47" t="str">
        <f>IFERROR(__xludf.DUMMYFUNCTION("""COMPUTED_VALUE"""),"https:")</f>
        <v>https:</v>
      </c>
      <c r="K870" s="78" t="str">
        <f>IFERROR(__xludf.DUMMYFUNCTION("""COMPUTED_VALUE"""),"www.munzee.com")</f>
        <v>www.munzee.com</v>
      </c>
      <c r="L870" s="47" t="str">
        <f>IFERROR(__xludf.DUMMYFUNCTION("""COMPUTED_VALUE"""),"m")</f>
        <v>m</v>
      </c>
      <c r="M870" s="47" t="str">
        <f>IFERROR(__xludf.DUMMYFUNCTION("""COMPUTED_VALUE"""),"Ellesche")</f>
        <v>Ellesche</v>
      </c>
    </row>
    <row r="871">
      <c r="A871" s="47" t="str">
        <f>IFERROR(__xludf.DUMMYFUNCTION("""COMPUTED_VALUE"""),"Virtual Brown")</f>
        <v>Virtual Brown</v>
      </c>
      <c r="B871" s="47" t="str">
        <f>IFERROR(__xludf.DUMMYFUNCTION("""COMPUTED_VALUE"""),"Aniara")</f>
        <v>Aniara</v>
      </c>
      <c r="C871" s="78" t="str">
        <f>IFERROR(__xludf.DUMMYFUNCTION("""COMPUTED_VALUE"""),"https://www.munzee.com/m/Aniara/7868/")</f>
        <v>https://www.munzee.com/m/Aniara/7868/</v>
      </c>
      <c r="D871" s="47"/>
      <c r="E871" s="47" t="b">
        <f>IFERROR(__xludf.DUMMYFUNCTION("""COMPUTED_VALUE"""),TRUE)</f>
        <v>1</v>
      </c>
      <c r="F871" s="83"/>
      <c r="G871" s="47" t="str">
        <f>IFERROR(__xludf.DUMMYFUNCTION("""COMPUTED_VALUE"""),"")</f>
        <v/>
      </c>
      <c r="H871" s="47"/>
      <c r="I871" s="47">
        <f>IFERROR(__xludf.DUMMYFUNCTION("""COMPUTED_VALUE"""),2.0)</f>
        <v>2</v>
      </c>
      <c r="J871" s="47" t="str">
        <f>IFERROR(__xludf.DUMMYFUNCTION("""COMPUTED_VALUE"""),"https:")</f>
        <v>https:</v>
      </c>
      <c r="K871" s="78" t="str">
        <f>IFERROR(__xludf.DUMMYFUNCTION("""COMPUTED_VALUE"""),"www.munzee.com")</f>
        <v>www.munzee.com</v>
      </c>
      <c r="L871" s="47" t="str">
        <f>IFERROR(__xludf.DUMMYFUNCTION("""COMPUTED_VALUE"""),"m")</f>
        <v>m</v>
      </c>
      <c r="M871" s="47" t="str">
        <f>IFERROR(__xludf.DUMMYFUNCTION("""COMPUTED_VALUE"""),"Aniara")</f>
        <v>Aniara</v>
      </c>
    </row>
    <row r="872">
      <c r="A872" s="47" t="str">
        <f>IFERROR(__xludf.DUMMYFUNCTION("""COMPUTED_VALUE"""),"Virtual Raw Sienna")</f>
        <v>Virtual Raw Sienna</v>
      </c>
      <c r="B872" s="47" t="str">
        <f>IFERROR(__xludf.DUMMYFUNCTION("""COMPUTED_VALUE"""),"ChudleighTraveller")</f>
        <v>ChudleighTraveller</v>
      </c>
      <c r="C872" s="78" t="str">
        <f>IFERROR(__xludf.DUMMYFUNCTION("""COMPUTED_VALUE"""),"https://www.munzee.com/m/ChudleighTraveller/1338/")</f>
        <v>https://www.munzee.com/m/ChudleighTraveller/1338/</v>
      </c>
      <c r="D872" s="47"/>
      <c r="E872" s="47" t="b">
        <f>IFERROR(__xludf.DUMMYFUNCTION("""COMPUTED_VALUE"""),TRUE)</f>
        <v>1</v>
      </c>
      <c r="F872" s="83" t="str">
        <f>IFERROR(__xludf.DUMMYFUNCTION("""COMPUTED_VALUE"""),"")</f>
        <v/>
      </c>
      <c r="G872" s="47" t="str">
        <f>IFERROR(__xludf.DUMMYFUNCTION("""COMPUTED_VALUE"""),"")</f>
        <v/>
      </c>
      <c r="H872" s="47"/>
      <c r="I872" s="47">
        <f>IFERROR(__xludf.DUMMYFUNCTION("""COMPUTED_VALUE"""),2.0)</f>
        <v>2</v>
      </c>
      <c r="J872" s="47" t="str">
        <f>IFERROR(__xludf.DUMMYFUNCTION("""COMPUTED_VALUE"""),"https:")</f>
        <v>https:</v>
      </c>
      <c r="K872" s="78" t="str">
        <f>IFERROR(__xludf.DUMMYFUNCTION("""COMPUTED_VALUE"""),"www.munzee.com")</f>
        <v>www.munzee.com</v>
      </c>
      <c r="L872" s="47" t="str">
        <f>IFERROR(__xludf.DUMMYFUNCTION("""COMPUTED_VALUE"""),"m")</f>
        <v>m</v>
      </c>
      <c r="M872" s="47" t="str">
        <f>IFERROR(__xludf.DUMMYFUNCTION("""COMPUTED_VALUE"""),"ChudleighTraveller")</f>
        <v>ChudleighTraveller</v>
      </c>
    </row>
    <row r="873">
      <c r="A873" s="47" t="str">
        <f>IFERROR(__xludf.DUMMYFUNCTION("""COMPUTED_VALUE"""),"Virtual Brown")</f>
        <v>Virtual Brown</v>
      </c>
      <c r="B873" s="47" t="str">
        <f>IFERROR(__xludf.DUMMYFUNCTION("""COMPUTED_VALUE"""),"TheFrog")</f>
        <v>TheFrog</v>
      </c>
      <c r="C873" s="78" t="str">
        <f>IFERROR(__xludf.DUMMYFUNCTION("""COMPUTED_VALUE"""),"https://www.munzee.com/m/TheFrog/5204/")</f>
        <v>https://www.munzee.com/m/TheFrog/5204/</v>
      </c>
      <c r="D873" s="47"/>
      <c r="E873" s="47" t="b">
        <f>IFERROR(__xludf.DUMMYFUNCTION("""COMPUTED_VALUE"""),TRUE)</f>
        <v>1</v>
      </c>
      <c r="F873" s="83" t="str">
        <f>IFERROR(__xludf.DUMMYFUNCTION("""COMPUTED_VALUE"""),"")</f>
        <v/>
      </c>
      <c r="G873" s="47" t="str">
        <f>IFERROR(__xludf.DUMMYFUNCTION("""COMPUTED_VALUE"""),"")</f>
        <v/>
      </c>
      <c r="H873" s="47"/>
      <c r="I873" s="47">
        <f>IFERROR(__xludf.DUMMYFUNCTION("""COMPUTED_VALUE"""),2.0)</f>
        <v>2</v>
      </c>
      <c r="J873" s="47" t="str">
        <f>IFERROR(__xludf.DUMMYFUNCTION("""COMPUTED_VALUE"""),"https:")</f>
        <v>https:</v>
      </c>
      <c r="K873" s="78" t="str">
        <f>IFERROR(__xludf.DUMMYFUNCTION("""COMPUTED_VALUE"""),"www.munzee.com")</f>
        <v>www.munzee.com</v>
      </c>
      <c r="L873" s="47" t="str">
        <f>IFERROR(__xludf.DUMMYFUNCTION("""COMPUTED_VALUE"""),"m")</f>
        <v>m</v>
      </c>
      <c r="M873" s="47" t="str">
        <f>IFERROR(__xludf.DUMMYFUNCTION("""COMPUTED_VALUE"""),"TheFrog")</f>
        <v>TheFrog</v>
      </c>
    </row>
    <row r="874">
      <c r="A874" s="47" t="str">
        <f>IFERROR(__xludf.DUMMYFUNCTION("""COMPUTED_VALUE"""),"Virtual Brown")</f>
        <v>Virtual Brown</v>
      </c>
      <c r="B874" s="47" t="str">
        <f>IFERROR(__xludf.DUMMYFUNCTION("""COMPUTED_VALUE"""),"123xilef")</f>
        <v>123xilef</v>
      </c>
      <c r="C874" s="78" t="str">
        <f>IFERROR(__xludf.DUMMYFUNCTION("""COMPUTED_VALUE"""),"https://www.munzee.com/m/123xilef/8201/")</f>
        <v>https://www.munzee.com/m/123xilef/8201/</v>
      </c>
      <c r="D874" s="47"/>
      <c r="E874" s="47" t="b">
        <f>IFERROR(__xludf.DUMMYFUNCTION("""COMPUTED_VALUE"""),TRUE)</f>
        <v>1</v>
      </c>
      <c r="F874" s="83" t="str">
        <f>IFERROR(__xludf.DUMMYFUNCTION("""COMPUTED_VALUE"""),"")</f>
        <v/>
      </c>
      <c r="G874" s="47" t="str">
        <f>IFERROR(__xludf.DUMMYFUNCTION("""COMPUTED_VALUE"""),"")</f>
        <v/>
      </c>
      <c r="H874" s="47"/>
      <c r="I874" s="47">
        <f>IFERROR(__xludf.DUMMYFUNCTION("""COMPUTED_VALUE"""),2.0)</f>
        <v>2</v>
      </c>
      <c r="J874" s="47" t="str">
        <f>IFERROR(__xludf.DUMMYFUNCTION("""COMPUTED_VALUE"""),"https:")</f>
        <v>https:</v>
      </c>
      <c r="K874" s="78" t="str">
        <f>IFERROR(__xludf.DUMMYFUNCTION("""COMPUTED_VALUE"""),"www.munzee.com")</f>
        <v>www.munzee.com</v>
      </c>
      <c r="L874" s="47" t="str">
        <f>IFERROR(__xludf.DUMMYFUNCTION("""COMPUTED_VALUE"""),"m")</f>
        <v>m</v>
      </c>
      <c r="M874" s="47" t="str">
        <f>IFERROR(__xludf.DUMMYFUNCTION("""COMPUTED_VALUE"""),"123xilef")</f>
        <v>123xilef</v>
      </c>
    </row>
    <row r="875">
      <c r="A875" s="47" t="str">
        <f>IFERROR(__xludf.DUMMYFUNCTION("""COMPUTED_VALUE"""),"Virtual Raw Sienna")</f>
        <v>Virtual Raw Sienna</v>
      </c>
      <c r="B875" s="47" t="str">
        <f>IFERROR(__xludf.DUMMYFUNCTION("""COMPUTED_VALUE"""),"Amadoreugen")</f>
        <v>Amadoreugen</v>
      </c>
      <c r="C875" s="78" t="str">
        <f>IFERROR(__xludf.DUMMYFUNCTION("""COMPUTED_VALUE"""),"https://www.munzee.com/m/amadoreugen/5822/")</f>
        <v>https://www.munzee.com/m/amadoreugen/5822/</v>
      </c>
      <c r="D875" s="47"/>
      <c r="E875" s="47" t="b">
        <f>IFERROR(__xludf.DUMMYFUNCTION("""COMPUTED_VALUE"""),TRUE)</f>
        <v>1</v>
      </c>
      <c r="F875" s="83" t="str">
        <f>IFERROR(__xludf.DUMMYFUNCTION("""COMPUTED_VALUE"""),"")</f>
        <v/>
      </c>
      <c r="G875" s="47" t="str">
        <f>IFERROR(__xludf.DUMMYFUNCTION("""COMPUTED_VALUE"""),"")</f>
        <v/>
      </c>
      <c r="H875" s="47"/>
      <c r="I875" s="47">
        <f>IFERROR(__xludf.DUMMYFUNCTION("""COMPUTED_VALUE"""),2.0)</f>
        <v>2</v>
      </c>
      <c r="J875" s="47" t="str">
        <f>IFERROR(__xludf.DUMMYFUNCTION("""COMPUTED_VALUE"""),"https:")</f>
        <v>https:</v>
      </c>
      <c r="K875" s="78" t="str">
        <f>IFERROR(__xludf.DUMMYFUNCTION("""COMPUTED_VALUE"""),"www.munzee.com")</f>
        <v>www.munzee.com</v>
      </c>
      <c r="L875" s="47" t="str">
        <f>IFERROR(__xludf.DUMMYFUNCTION("""COMPUTED_VALUE"""),"m")</f>
        <v>m</v>
      </c>
      <c r="M875" s="47" t="str">
        <f>IFERROR(__xludf.DUMMYFUNCTION("""COMPUTED_VALUE"""),"amadoreugen")</f>
        <v>amadoreugen</v>
      </c>
    </row>
    <row r="876">
      <c r="A876" s="47" t="str">
        <f>IFERROR(__xludf.DUMMYFUNCTION("""COMPUTED_VALUE"""),"Virtual Brown")</f>
        <v>Virtual Brown</v>
      </c>
      <c r="B876" s="47" t="str">
        <f>IFERROR(__xludf.DUMMYFUNCTION("""COMPUTED_VALUE"""),"lupo6")</f>
        <v>lupo6</v>
      </c>
      <c r="C876" s="78" t="str">
        <f>IFERROR(__xludf.DUMMYFUNCTION("""COMPUTED_VALUE"""),"https://www.munzee.com/m/lupo6/2663/")</f>
        <v>https://www.munzee.com/m/lupo6/2663/</v>
      </c>
      <c r="D876" s="47"/>
      <c r="E876" s="47" t="b">
        <f>IFERROR(__xludf.DUMMYFUNCTION("""COMPUTED_VALUE"""),TRUE)</f>
        <v>1</v>
      </c>
      <c r="F876" s="83"/>
      <c r="G876" s="47" t="str">
        <f>IFERROR(__xludf.DUMMYFUNCTION("""COMPUTED_VALUE"""),"")</f>
        <v/>
      </c>
      <c r="H876" s="47"/>
      <c r="I876" s="47">
        <f>IFERROR(__xludf.DUMMYFUNCTION("""COMPUTED_VALUE"""),2.0)</f>
        <v>2</v>
      </c>
      <c r="J876" s="47" t="str">
        <f>IFERROR(__xludf.DUMMYFUNCTION("""COMPUTED_VALUE"""),"https:")</f>
        <v>https:</v>
      </c>
      <c r="K876" s="78" t="str">
        <f>IFERROR(__xludf.DUMMYFUNCTION("""COMPUTED_VALUE"""),"www.munzee.com")</f>
        <v>www.munzee.com</v>
      </c>
      <c r="L876" s="47" t="str">
        <f>IFERROR(__xludf.DUMMYFUNCTION("""COMPUTED_VALUE"""),"m")</f>
        <v>m</v>
      </c>
      <c r="M876" s="47" t="str">
        <f>IFERROR(__xludf.DUMMYFUNCTION("""COMPUTED_VALUE"""),"lupo6")</f>
        <v>lupo6</v>
      </c>
    </row>
    <row r="877">
      <c r="A877" s="47" t="str">
        <f>IFERROR(__xludf.DUMMYFUNCTION("""COMPUTED_VALUE"""),"Virtual Brown")</f>
        <v>Virtual Brown</v>
      </c>
      <c r="B877" s="47" t="str">
        <f>IFERROR(__xludf.DUMMYFUNCTION("""COMPUTED_VALUE"""),"raunas")</f>
        <v>raunas</v>
      </c>
      <c r="C877" s="78" t="str">
        <f>IFERROR(__xludf.DUMMYFUNCTION("""COMPUTED_VALUE"""),"https://www.munzee.com/m/raunas/7127")</f>
        <v>https://www.munzee.com/m/raunas/7127</v>
      </c>
      <c r="D877" s="47"/>
      <c r="E877" s="47" t="b">
        <f>IFERROR(__xludf.DUMMYFUNCTION("""COMPUTED_VALUE"""),TRUE)</f>
        <v>1</v>
      </c>
      <c r="F877" s="83" t="str">
        <f>IFERROR(__xludf.DUMMYFUNCTION("""COMPUTED_VALUE"""),"")</f>
        <v/>
      </c>
      <c r="G877" s="47" t="str">
        <f>IFERROR(__xludf.DUMMYFUNCTION("""COMPUTED_VALUE"""),"")</f>
        <v/>
      </c>
      <c r="H877" s="47"/>
      <c r="I877" s="47">
        <f>IFERROR(__xludf.DUMMYFUNCTION("""COMPUTED_VALUE"""),2.0)</f>
        <v>2</v>
      </c>
      <c r="J877" s="47" t="str">
        <f>IFERROR(__xludf.DUMMYFUNCTION("""COMPUTED_VALUE"""),"https:")</f>
        <v>https:</v>
      </c>
      <c r="K877" s="78" t="str">
        <f>IFERROR(__xludf.DUMMYFUNCTION("""COMPUTED_VALUE"""),"www.munzee.com")</f>
        <v>www.munzee.com</v>
      </c>
      <c r="L877" s="47" t="str">
        <f>IFERROR(__xludf.DUMMYFUNCTION("""COMPUTED_VALUE"""),"m")</f>
        <v>m</v>
      </c>
      <c r="M877" s="47" t="str">
        <f>IFERROR(__xludf.DUMMYFUNCTION("""COMPUTED_VALUE"""),"raunas")</f>
        <v>raunas</v>
      </c>
    </row>
    <row r="878">
      <c r="A878" s="47" t="str">
        <f>IFERROR(__xludf.DUMMYFUNCTION("""COMPUTED_VALUE"""),"Virtual Brown")</f>
        <v>Virtual Brown</v>
      </c>
      <c r="B878" s="47" t="str">
        <f>IFERROR(__xludf.DUMMYFUNCTION("""COMPUTED_VALUE"""),"WangoTango")</f>
        <v>WangoTango</v>
      </c>
      <c r="C878" s="78" t="str">
        <f>IFERROR(__xludf.DUMMYFUNCTION("""COMPUTED_VALUE"""),"https://www.munzee.com/m/Wangotango/1591/")</f>
        <v>https://www.munzee.com/m/Wangotango/1591/</v>
      </c>
      <c r="D878" s="47"/>
      <c r="E878" s="47" t="b">
        <f>IFERROR(__xludf.DUMMYFUNCTION("""COMPUTED_VALUE"""),TRUE)</f>
        <v>1</v>
      </c>
      <c r="F878" s="83" t="str">
        <f>IFERROR(__xludf.DUMMYFUNCTION("""COMPUTED_VALUE"""),"")</f>
        <v/>
      </c>
      <c r="G878" s="47" t="str">
        <f>IFERROR(__xludf.DUMMYFUNCTION("""COMPUTED_VALUE"""),"")</f>
        <v/>
      </c>
      <c r="H878" s="47"/>
      <c r="I878" s="47">
        <f>IFERROR(__xludf.DUMMYFUNCTION("""COMPUTED_VALUE"""),2.0)</f>
        <v>2</v>
      </c>
      <c r="J878" s="47" t="str">
        <f>IFERROR(__xludf.DUMMYFUNCTION("""COMPUTED_VALUE"""),"https:")</f>
        <v>https:</v>
      </c>
      <c r="K878" s="78" t="str">
        <f>IFERROR(__xludf.DUMMYFUNCTION("""COMPUTED_VALUE"""),"www.munzee.com")</f>
        <v>www.munzee.com</v>
      </c>
      <c r="L878" s="47" t="str">
        <f>IFERROR(__xludf.DUMMYFUNCTION("""COMPUTED_VALUE"""),"m")</f>
        <v>m</v>
      </c>
      <c r="M878" s="47" t="str">
        <f>IFERROR(__xludf.DUMMYFUNCTION("""COMPUTED_VALUE"""),"Wangotango")</f>
        <v>Wangotango</v>
      </c>
    </row>
    <row r="879">
      <c r="A879" s="47" t="str">
        <f>IFERROR(__xludf.DUMMYFUNCTION("""COMPUTED_VALUE"""),"Virtual Brown")</f>
        <v>Virtual Brown</v>
      </c>
      <c r="B879" s="47" t="str">
        <f>IFERROR(__xludf.DUMMYFUNCTION("""COMPUTED_VALUE"""),"cbf600")</f>
        <v>cbf600</v>
      </c>
      <c r="C879" s="78" t="str">
        <f>IFERROR(__xludf.DUMMYFUNCTION("""COMPUTED_VALUE"""),"https://www.munzee.com/m/cbf600/4085/")</f>
        <v>https://www.munzee.com/m/cbf600/4085/</v>
      </c>
      <c r="D879" s="47"/>
      <c r="E879" s="47" t="b">
        <f>IFERROR(__xludf.DUMMYFUNCTION("""COMPUTED_VALUE"""),TRUE)</f>
        <v>1</v>
      </c>
      <c r="F879" s="83" t="str">
        <f>IFERROR(__xludf.DUMMYFUNCTION("""COMPUTED_VALUE"""),"")</f>
        <v/>
      </c>
      <c r="G879" s="47" t="str">
        <f>IFERROR(__xludf.DUMMYFUNCTION("""COMPUTED_VALUE"""),"")</f>
        <v/>
      </c>
      <c r="H879" s="47"/>
      <c r="I879" s="47">
        <f>IFERROR(__xludf.DUMMYFUNCTION("""COMPUTED_VALUE"""),2.0)</f>
        <v>2</v>
      </c>
      <c r="J879" s="47" t="str">
        <f>IFERROR(__xludf.DUMMYFUNCTION("""COMPUTED_VALUE"""),"https:")</f>
        <v>https:</v>
      </c>
      <c r="K879" s="78" t="str">
        <f>IFERROR(__xludf.DUMMYFUNCTION("""COMPUTED_VALUE"""),"www.munzee.com")</f>
        <v>www.munzee.com</v>
      </c>
      <c r="L879" s="47" t="str">
        <f>IFERROR(__xludf.DUMMYFUNCTION("""COMPUTED_VALUE"""),"m")</f>
        <v>m</v>
      </c>
      <c r="M879" s="47" t="str">
        <f>IFERROR(__xludf.DUMMYFUNCTION("""COMPUTED_VALUE"""),"cbf600")</f>
        <v>cbf600</v>
      </c>
    </row>
    <row r="880">
      <c r="A880" s="47" t="str">
        <f>IFERROR(__xludf.DUMMYFUNCTION("""COMPUTED_VALUE"""),"Virtual Brown")</f>
        <v>Virtual Brown</v>
      </c>
      <c r="B880" s="47" t="str">
        <f>IFERROR(__xludf.DUMMYFUNCTION("""COMPUTED_VALUE"""),"lupo6")</f>
        <v>lupo6</v>
      </c>
      <c r="C880" s="78" t="str">
        <f>IFERROR(__xludf.DUMMYFUNCTION("""COMPUTED_VALUE"""),"https://www.munzee.com/m/lupo6/2668/")</f>
        <v>https://www.munzee.com/m/lupo6/2668/</v>
      </c>
      <c r="D880" s="47"/>
      <c r="E880" s="47" t="b">
        <f>IFERROR(__xludf.DUMMYFUNCTION("""COMPUTED_VALUE"""),TRUE)</f>
        <v>1</v>
      </c>
      <c r="F880" s="83" t="str">
        <f>IFERROR(__xludf.DUMMYFUNCTION("""COMPUTED_VALUE"""),"")</f>
        <v/>
      </c>
      <c r="G880" s="47" t="str">
        <f>IFERROR(__xludf.DUMMYFUNCTION("""COMPUTED_VALUE"""),"")</f>
        <v/>
      </c>
      <c r="H880" s="47"/>
      <c r="I880" s="47">
        <f>IFERROR(__xludf.DUMMYFUNCTION("""COMPUTED_VALUE"""),2.0)</f>
        <v>2</v>
      </c>
      <c r="J880" s="47" t="str">
        <f>IFERROR(__xludf.DUMMYFUNCTION("""COMPUTED_VALUE"""),"https:")</f>
        <v>https:</v>
      </c>
      <c r="K880" s="78" t="str">
        <f>IFERROR(__xludf.DUMMYFUNCTION("""COMPUTED_VALUE"""),"www.munzee.com")</f>
        <v>www.munzee.com</v>
      </c>
      <c r="L880" s="47" t="str">
        <f>IFERROR(__xludf.DUMMYFUNCTION("""COMPUTED_VALUE"""),"m")</f>
        <v>m</v>
      </c>
      <c r="M880" s="47" t="str">
        <f>IFERROR(__xludf.DUMMYFUNCTION("""COMPUTED_VALUE"""),"lupo6")</f>
        <v>lupo6</v>
      </c>
    </row>
    <row r="881">
      <c r="A881" s="47" t="str">
        <f>IFERROR(__xludf.DUMMYFUNCTION("""COMPUTED_VALUE"""),"Virtual Brown")</f>
        <v>Virtual Brown</v>
      </c>
      <c r="B881" s="47" t="str">
        <f>IFERROR(__xludf.DUMMYFUNCTION("""COMPUTED_VALUE"""),"cbf600")</f>
        <v>cbf600</v>
      </c>
      <c r="C881" s="78" t="str">
        <f>IFERROR(__xludf.DUMMYFUNCTION("""COMPUTED_VALUE"""),"https://www.munzee.com/m/cbf600/4086/")</f>
        <v>https://www.munzee.com/m/cbf600/4086/</v>
      </c>
      <c r="D881" s="47"/>
      <c r="E881" s="47" t="b">
        <f>IFERROR(__xludf.DUMMYFUNCTION("""COMPUTED_VALUE"""),TRUE)</f>
        <v>1</v>
      </c>
      <c r="F881" s="83" t="str">
        <f>IFERROR(__xludf.DUMMYFUNCTION("""COMPUTED_VALUE"""),"")</f>
        <v/>
      </c>
      <c r="G881" s="47" t="str">
        <f>IFERROR(__xludf.DUMMYFUNCTION("""COMPUTED_VALUE"""),"")</f>
        <v/>
      </c>
      <c r="H881" s="47"/>
      <c r="I881" s="47">
        <f>IFERROR(__xludf.DUMMYFUNCTION("""COMPUTED_VALUE"""),2.0)</f>
        <v>2</v>
      </c>
      <c r="J881" s="47" t="str">
        <f>IFERROR(__xludf.DUMMYFUNCTION("""COMPUTED_VALUE"""),"https:")</f>
        <v>https:</v>
      </c>
      <c r="K881" s="78" t="str">
        <f>IFERROR(__xludf.DUMMYFUNCTION("""COMPUTED_VALUE"""),"www.munzee.com")</f>
        <v>www.munzee.com</v>
      </c>
      <c r="L881" s="47" t="str">
        <f>IFERROR(__xludf.DUMMYFUNCTION("""COMPUTED_VALUE"""),"m")</f>
        <v>m</v>
      </c>
      <c r="M881" s="47" t="str">
        <f>IFERROR(__xludf.DUMMYFUNCTION("""COMPUTED_VALUE"""),"cbf600")</f>
        <v>cbf600</v>
      </c>
    </row>
    <row r="882">
      <c r="A882" s="47" t="str">
        <f>IFERROR(__xludf.DUMMYFUNCTION("""COMPUTED_VALUE"""),"Virtual Raw Sienna")</f>
        <v>Virtual Raw Sienna</v>
      </c>
      <c r="B882" s="47" t="str">
        <f>IFERROR(__xludf.DUMMYFUNCTION("""COMPUTED_VALUE"""),"TheFatCats")</f>
        <v>TheFatCats</v>
      </c>
      <c r="C882" s="78" t="str">
        <f>IFERROR(__xludf.DUMMYFUNCTION("""COMPUTED_VALUE"""),"https://www.munzee.com/m/TheFatCats/4331/")</f>
        <v>https://www.munzee.com/m/TheFatCats/4331/</v>
      </c>
      <c r="D882" s="47"/>
      <c r="E882" s="47" t="b">
        <f>IFERROR(__xludf.DUMMYFUNCTION("""COMPUTED_VALUE"""),TRUE)</f>
        <v>1</v>
      </c>
      <c r="F882" s="83" t="str">
        <f>IFERROR(__xludf.DUMMYFUNCTION("""COMPUTED_VALUE"""),"")</f>
        <v/>
      </c>
      <c r="G882" s="47" t="str">
        <f>IFERROR(__xludf.DUMMYFUNCTION("""COMPUTED_VALUE"""),"")</f>
        <v/>
      </c>
      <c r="H882" s="47"/>
      <c r="I882" s="47">
        <f>IFERROR(__xludf.DUMMYFUNCTION("""COMPUTED_VALUE"""),2.0)</f>
        <v>2</v>
      </c>
      <c r="J882" s="47" t="str">
        <f>IFERROR(__xludf.DUMMYFUNCTION("""COMPUTED_VALUE"""),"https:")</f>
        <v>https:</v>
      </c>
      <c r="K882" s="78" t="str">
        <f>IFERROR(__xludf.DUMMYFUNCTION("""COMPUTED_VALUE"""),"www.munzee.com")</f>
        <v>www.munzee.com</v>
      </c>
      <c r="L882" s="47" t="str">
        <f>IFERROR(__xludf.DUMMYFUNCTION("""COMPUTED_VALUE"""),"m")</f>
        <v>m</v>
      </c>
      <c r="M882" s="47" t="str">
        <f>IFERROR(__xludf.DUMMYFUNCTION("""COMPUTED_VALUE"""),"TheFatCats")</f>
        <v>TheFatCats</v>
      </c>
    </row>
    <row r="883">
      <c r="A883" s="47" t="str">
        <f>IFERROR(__xludf.DUMMYFUNCTION("""COMPUTED_VALUE"""),"Virtual Raw Sienna")</f>
        <v>Virtual Raw Sienna</v>
      </c>
      <c r="B883" s="47" t="str">
        <f>IFERROR(__xludf.DUMMYFUNCTION("""COMPUTED_VALUE"""),"xrayneex")</f>
        <v>xrayneex</v>
      </c>
      <c r="C883" s="78" t="str">
        <f>IFERROR(__xludf.DUMMYFUNCTION("""COMPUTED_VALUE"""),"https://www.munzee.com/m/xrayneex/1702/")</f>
        <v>https://www.munzee.com/m/xrayneex/1702/</v>
      </c>
      <c r="D883" s="47"/>
      <c r="E883" s="47" t="b">
        <f>IFERROR(__xludf.DUMMYFUNCTION("""COMPUTED_VALUE"""),TRUE)</f>
        <v>1</v>
      </c>
      <c r="F883" s="83" t="str">
        <f>IFERROR(__xludf.DUMMYFUNCTION("""COMPUTED_VALUE"""),"")</f>
        <v/>
      </c>
      <c r="G883" s="47" t="str">
        <f>IFERROR(__xludf.DUMMYFUNCTION("""COMPUTED_VALUE"""),"")</f>
        <v/>
      </c>
      <c r="H883" s="47"/>
      <c r="I883" s="47">
        <f>IFERROR(__xludf.DUMMYFUNCTION("""COMPUTED_VALUE"""),2.0)</f>
        <v>2</v>
      </c>
      <c r="J883" s="47" t="str">
        <f>IFERROR(__xludf.DUMMYFUNCTION("""COMPUTED_VALUE"""),"https:")</f>
        <v>https:</v>
      </c>
      <c r="K883" s="78" t="str">
        <f>IFERROR(__xludf.DUMMYFUNCTION("""COMPUTED_VALUE"""),"www.munzee.com")</f>
        <v>www.munzee.com</v>
      </c>
      <c r="L883" s="47" t="str">
        <f>IFERROR(__xludf.DUMMYFUNCTION("""COMPUTED_VALUE"""),"m")</f>
        <v>m</v>
      </c>
      <c r="M883" s="47" t="str">
        <f>IFERROR(__xludf.DUMMYFUNCTION("""COMPUTED_VALUE"""),"xrayneex")</f>
        <v>xrayneex</v>
      </c>
    </row>
    <row r="884">
      <c r="A884" s="47" t="str">
        <f>IFERROR(__xludf.DUMMYFUNCTION("""COMPUTED_VALUE"""),"Virtual Brown")</f>
        <v>Virtual Brown</v>
      </c>
      <c r="B884" s="47" t="str">
        <f>IFERROR(__xludf.DUMMYFUNCTION("""COMPUTED_VALUE"""),"Amadoreugen")</f>
        <v>Amadoreugen</v>
      </c>
      <c r="C884" s="78" t="str">
        <f>IFERROR(__xludf.DUMMYFUNCTION("""COMPUTED_VALUE"""),"https://www.munzee.com/m/amadoreugen/5756")</f>
        <v>https://www.munzee.com/m/amadoreugen/5756</v>
      </c>
      <c r="D884" s="47"/>
      <c r="E884" s="47" t="b">
        <f>IFERROR(__xludf.DUMMYFUNCTION("""COMPUTED_VALUE"""),TRUE)</f>
        <v>1</v>
      </c>
      <c r="F884" s="83" t="str">
        <f>IFERROR(__xludf.DUMMYFUNCTION("""COMPUTED_VALUE"""),"")</f>
        <v/>
      </c>
      <c r="G884" s="47" t="str">
        <f>IFERROR(__xludf.DUMMYFUNCTION("""COMPUTED_VALUE"""),"")</f>
        <v/>
      </c>
      <c r="H884" s="47"/>
      <c r="I884" s="47">
        <f>IFERROR(__xludf.DUMMYFUNCTION("""COMPUTED_VALUE"""),2.0)</f>
        <v>2</v>
      </c>
      <c r="J884" s="47" t="str">
        <f>IFERROR(__xludf.DUMMYFUNCTION("""COMPUTED_VALUE"""),"https:")</f>
        <v>https:</v>
      </c>
      <c r="K884" s="78" t="str">
        <f>IFERROR(__xludf.DUMMYFUNCTION("""COMPUTED_VALUE"""),"www.munzee.com")</f>
        <v>www.munzee.com</v>
      </c>
      <c r="L884" s="47" t="str">
        <f>IFERROR(__xludf.DUMMYFUNCTION("""COMPUTED_VALUE"""),"m")</f>
        <v>m</v>
      </c>
      <c r="M884" s="47" t="str">
        <f>IFERROR(__xludf.DUMMYFUNCTION("""COMPUTED_VALUE"""),"amadoreugen")</f>
        <v>amadoreugen</v>
      </c>
    </row>
    <row r="885">
      <c r="A885" s="47" t="str">
        <f>IFERROR(__xludf.DUMMYFUNCTION("""COMPUTED_VALUE"""),"Virtual Brown")</f>
        <v>Virtual Brown</v>
      </c>
      <c r="B885" s="47" t="str">
        <f>IFERROR(__xludf.DUMMYFUNCTION("""COMPUTED_VALUE"""),"raunas")</f>
        <v>raunas</v>
      </c>
      <c r="C885" s="78" t="str">
        <f>IFERROR(__xludf.DUMMYFUNCTION("""COMPUTED_VALUE"""),"https://www.munzee.com/m/raunas/12673")</f>
        <v>https://www.munzee.com/m/raunas/12673</v>
      </c>
      <c r="D885" s="47"/>
      <c r="E885" s="47" t="b">
        <f>IFERROR(__xludf.DUMMYFUNCTION("""COMPUTED_VALUE"""),TRUE)</f>
        <v>1</v>
      </c>
      <c r="F885" s="47"/>
      <c r="G885" s="47" t="str">
        <f>IFERROR(__xludf.DUMMYFUNCTION("""COMPUTED_VALUE"""),"")</f>
        <v/>
      </c>
      <c r="H885" s="47"/>
      <c r="I885" s="47">
        <f>IFERROR(__xludf.DUMMYFUNCTION("""COMPUTED_VALUE"""),2.0)</f>
        <v>2</v>
      </c>
      <c r="J885" s="47" t="str">
        <f>IFERROR(__xludf.DUMMYFUNCTION("""COMPUTED_VALUE"""),"https:")</f>
        <v>https:</v>
      </c>
      <c r="K885" s="78" t="str">
        <f>IFERROR(__xludf.DUMMYFUNCTION("""COMPUTED_VALUE"""),"www.munzee.com")</f>
        <v>www.munzee.com</v>
      </c>
      <c r="L885" s="47" t="str">
        <f>IFERROR(__xludf.DUMMYFUNCTION("""COMPUTED_VALUE"""),"m")</f>
        <v>m</v>
      </c>
      <c r="M885" s="47" t="str">
        <f>IFERROR(__xludf.DUMMYFUNCTION("""COMPUTED_VALUE"""),"raunas")</f>
        <v>raunas</v>
      </c>
    </row>
    <row r="886">
      <c r="A886" s="47" t="str">
        <f>IFERROR(__xludf.DUMMYFUNCTION("""COMPUTED_VALUE"""),"Virtual Brown")</f>
        <v>Virtual Brown</v>
      </c>
      <c r="B886" s="47" t="str">
        <f>IFERROR(__xludf.DUMMYFUNCTION("""COMPUTED_VALUE"""),"sverlaan")</f>
        <v>sverlaan</v>
      </c>
      <c r="C886" s="78" t="str">
        <f>IFERROR(__xludf.DUMMYFUNCTION("""COMPUTED_VALUE"""),"https://www.munzee.com/m/sverlaan/6307/")</f>
        <v>https://www.munzee.com/m/sverlaan/6307/</v>
      </c>
      <c r="D886" s="47"/>
      <c r="E886" s="47" t="b">
        <f>IFERROR(__xludf.DUMMYFUNCTION("""COMPUTED_VALUE"""),TRUE)</f>
        <v>1</v>
      </c>
      <c r="F886" s="47" t="str">
        <f>IFERROR(__xludf.DUMMYFUNCTION("""COMPUTED_VALUE"""),"")</f>
        <v/>
      </c>
      <c r="G886" s="47" t="str">
        <f>IFERROR(__xludf.DUMMYFUNCTION("""COMPUTED_VALUE"""),"")</f>
        <v/>
      </c>
      <c r="H886" s="47"/>
      <c r="I886" s="47">
        <f>IFERROR(__xludf.DUMMYFUNCTION("""COMPUTED_VALUE"""),2.0)</f>
        <v>2</v>
      </c>
      <c r="J886" s="47" t="str">
        <f>IFERROR(__xludf.DUMMYFUNCTION("""COMPUTED_VALUE"""),"https:")</f>
        <v>https:</v>
      </c>
      <c r="K886" s="78" t="str">
        <f>IFERROR(__xludf.DUMMYFUNCTION("""COMPUTED_VALUE"""),"www.munzee.com")</f>
        <v>www.munzee.com</v>
      </c>
      <c r="L886" s="47" t="str">
        <f>IFERROR(__xludf.DUMMYFUNCTION("""COMPUTED_VALUE"""),"m")</f>
        <v>m</v>
      </c>
      <c r="M886" s="47" t="str">
        <f>IFERROR(__xludf.DUMMYFUNCTION("""COMPUTED_VALUE"""),"sverlaan")</f>
        <v>sverlaan</v>
      </c>
    </row>
    <row r="887">
      <c r="A887" s="47" t="str">
        <f>IFERROR(__xludf.DUMMYFUNCTION("""COMPUTED_VALUE"""),"Virtual Raw Sienna")</f>
        <v>Virtual Raw Sienna</v>
      </c>
      <c r="B887" s="47" t="str">
        <f>IFERROR(__xludf.DUMMYFUNCTION("""COMPUTED_VALUE"""),"EmileP68")</f>
        <v>EmileP68</v>
      </c>
      <c r="C887" s="78" t="str">
        <f>IFERROR(__xludf.DUMMYFUNCTION("""COMPUTED_VALUE"""),"https://www.munzee.com/m/EmileP68/5201/")</f>
        <v>https://www.munzee.com/m/EmileP68/5201/</v>
      </c>
      <c r="D887" s="47"/>
      <c r="E887" s="47" t="b">
        <f>IFERROR(__xludf.DUMMYFUNCTION("""COMPUTED_VALUE"""),TRUE)</f>
        <v>1</v>
      </c>
      <c r="F887" s="47" t="str">
        <f>IFERROR(__xludf.DUMMYFUNCTION("""COMPUTED_VALUE"""),"")</f>
        <v/>
      </c>
      <c r="G887" s="47" t="str">
        <f>IFERROR(__xludf.DUMMYFUNCTION("""COMPUTED_VALUE"""),"")</f>
        <v/>
      </c>
      <c r="H887" s="47"/>
      <c r="I887" s="47">
        <f>IFERROR(__xludf.DUMMYFUNCTION("""COMPUTED_VALUE"""),2.0)</f>
        <v>2</v>
      </c>
      <c r="J887" s="47" t="str">
        <f>IFERROR(__xludf.DUMMYFUNCTION("""COMPUTED_VALUE"""),"https:")</f>
        <v>https:</v>
      </c>
      <c r="K887" s="78" t="str">
        <f>IFERROR(__xludf.DUMMYFUNCTION("""COMPUTED_VALUE"""),"www.munzee.com")</f>
        <v>www.munzee.com</v>
      </c>
      <c r="L887" s="47" t="str">
        <f>IFERROR(__xludf.DUMMYFUNCTION("""COMPUTED_VALUE"""),"m")</f>
        <v>m</v>
      </c>
      <c r="M887" s="47" t="str">
        <f>IFERROR(__xludf.DUMMYFUNCTION("""COMPUTED_VALUE"""),"EmileP68")</f>
        <v>EmileP68</v>
      </c>
    </row>
    <row r="888">
      <c r="A888" s="47" t="str">
        <f>IFERROR(__xludf.DUMMYFUNCTION("""COMPUTED_VALUE"""),"Virtual Raw Sienna")</f>
        <v>Virtual Raw Sienna</v>
      </c>
      <c r="B888" s="47" t="str">
        <f>IFERROR(__xludf.DUMMYFUNCTION("""COMPUTED_VALUE"""),"PawpatrolThomas")</f>
        <v>PawpatrolThomas</v>
      </c>
      <c r="C888" s="78" t="str">
        <f>IFERROR(__xludf.DUMMYFUNCTION("""COMPUTED_VALUE"""),"https://www.munzee.com/m/PawPatrolThomas/4324/")</f>
        <v>https://www.munzee.com/m/PawPatrolThomas/4324/</v>
      </c>
      <c r="D888" s="47"/>
      <c r="E888" s="47" t="b">
        <f>IFERROR(__xludf.DUMMYFUNCTION("""COMPUTED_VALUE"""),TRUE)</f>
        <v>1</v>
      </c>
      <c r="F888" s="47" t="str">
        <f>IFERROR(__xludf.DUMMYFUNCTION("""COMPUTED_VALUE"""),"")</f>
        <v/>
      </c>
      <c r="G888" s="47" t="str">
        <f>IFERROR(__xludf.DUMMYFUNCTION("""COMPUTED_VALUE"""),"")</f>
        <v/>
      </c>
      <c r="H888" s="47"/>
      <c r="I888" s="47">
        <f>IFERROR(__xludf.DUMMYFUNCTION("""COMPUTED_VALUE"""),2.0)</f>
        <v>2</v>
      </c>
      <c r="J888" s="47" t="str">
        <f>IFERROR(__xludf.DUMMYFUNCTION("""COMPUTED_VALUE"""),"https:")</f>
        <v>https:</v>
      </c>
      <c r="K888" s="78" t="str">
        <f>IFERROR(__xludf.DUMMYFUNCTION("""COMPUTED_VALUE"""),"www.munzee.com")</f>
        <v>www.munzee.com</v>
      </c>
      <c r="L888" s="47" t="str">
        <f>IFERROR(__xludf.DUMMYFUNCTION("""COMPUTED_VALUE"""),"m")</f>
        <v>m</v>
      </c>
      <c r="M888" s="47" t="str">
        <f>IFERROR(__xludf.DUMMYFUNCTION("""COMPUTED_VALUE"""),"PawPatrolThomas")</f>
        <v>PawPatrolThomas</v>
      </c>
    </row>
    <row r="889">
      <c r="A889" s="47" t="str">
        <f>IFERROR(__xludf.DUMMYFUNCTION("""COMPUTED_VALUE"""),"Virtual Brown")</f>
        <v>Virtual Brown</v>
      </c>
      <c r="B889" s="47" t="str">
        <f>IFERROR(__xludf.DUMMYFUNCTION("""COMPUTED_VALUE"""),"BrotherWilliam")</f>
        <v>BrotherWilliam</v>
      </c>
      <c r="C889" s="78" t="str">
        <f>IFERROR(__xludf.DUMMYFUNCTION("""COMPUTED_VALUE"""),"https://www.munzee.com/m/BrotherWilliam/5257/")</f>
        <v>https://www.munzee.com/m/BrotherWilliam/5257/</v>
      </c>
      <c r="D889" s="47"/>
      <c r="E889" s="47" t="b">
        <f>IFERROR(__xludf.DUMMYFUNCTION("""COMPUTED_VALUE"""),TRUE)</f>
        <v>1</v>
      </c>
      <c r="F889" s="47" t="str">
        <f>IFERROR(__xludf.DUMMYFUNCTION("""COMPUTED_VALUE"""),"")</f>
        <v/>
      </c>
      <c r="G889" s="47" t="str">
        <f>IFERROR(__xludf.DUMMYFUNCTION("""COMPUTED_VALUE"""),"")</f>
        <v/>
      </c>
      <c r="H889" s="47"/>
      <c r="I889" s="47">
        <f>IFERROR(__xludf.DUMMYFUNCTION("""COMPUTED_VALUE"""),2.0)</f>
        <v>2</v>
      </c>
      <c r="J889" s="47" t="str">
        <f>IFERROR(__xludf.DUMMYFUNCTION("""COMPUTED_VALUE"""),"https:")</f>
        <v>https:</v>
      </c>
      <c r="K889" s="78" t="str">
        <f>IFERROR(__xludf.DUMMYFUNCTION("""COMPUTED_VALUE"""),"www.munzee.com")</f>
        <v>www.munzee.com</v>
      </c>
      <c r="L889" s="47" t="str">
        <f>IFERROR(__xludf.DUMMYFUNCTION("""COMPUTED_VALUE"""),"m")</f>
        <v>m</v>
      </c>
      <c r="M889" s="47" t="str">
        <f>IFERROR(__xludf.DUMMYFUNCTION("""COMPUTED_VALUE"""),"BrotherWilliam")</f>
        <v>BrotherWilliam</v>
      </c>
    </row>
    <row r="890">
      <c r="A890" s="47" t="str">
        <f>IFERROR(__xludf.DUMMYFUNCTION("""COMPUTED_VALUE"""),"Virtual Brown")</f>
        <v>Virtual Brown</v>
      </c>
      <c r="B890" s="47" t="str">
        <f>IFERROR(__xludf.DUMMYFUNCTION("""COMPUTED_VALUE"""),"ArtofEco")</f>
        <v>ArtofEco</v>
      </c>
      <c r="C890" s="78" t="str">
        <f>IFERROR(__xludf.DUMMYFUNCTION("""COMPUTED_VALUE"""),"https://www.munzee.com/m/ArtofEco/3564/")</f>
        <v>https://www.munzee.com/m/ArtofEco/3564/</v>
      </c>
      <c r="D890" s="47"/>
      <c r="E890" s="47" t="b">
        <f>IFERROR(__xludf.DUMMYFUNCTION("""COMPUTED_VALUE"""),TRUE)</f>
        <v>1</v>
      </c>
      <c r="F890" s="47" t="str">
        <f>IFERROR(__xludf.DUMMYFUNCTION("""COMPUTED_VALUE"""),"")</f>
        <v/>
      </c>
      <c r="G890" s="47" t="str">
        <f>IFERROR(__xludf.DUMMYFUNCTION("""COMPUTED_VALUE"""),"")</f>
        <v/>
      </c>
      <c r="H890" s="47"/>
      <c r="I890" s="47">
        <f>IFERROR(__xludf.DUMMYFUNCTION("""COMPUTED_VALUE"""),2.0)</f>
        <v>2</v>
      </c>
      <c r="J890" s="47" t="str">
        <f>IFERROR(__xludf.DUMMYFUNCTION("""COMPUTED_VALUE"""),"https:")</f>
        <v>https:</v>
      </c>
      <c r="K890" s="78" t="str">
        <f>IFERROR(__xludf.DUMMYFUNCTION("""COMPUTED_VALUE"""),"www.munzee.com")</f>
        <v>www.munzee.com</v>
      </c>
      <c r="L890" s="47" t="str">
        <f>IFERROR(__xludf.DUMMYFUNCTION("""COMPUTED_VALUE"""),"m")</f>
        <v>m</v>
      </c>
      <c r="M890" s="47" t="str">
        <f>IFERROR(__xludf.DUMMYFUNCTION("""COMPUTED_VALUE"""),"ArtofEco")</f>
        <v>ArtofEco</v>
      </c>
    </row>
    <row r="891">
      <c r="A891" s="47" t="str">
        <f>IFERROR(__xludf.DUMMYFUNCTION("""COMPUTED_VALUE"""),"Virtual Brown")</f>
        <v>Virtual Brown</v>
      </c>
      <c r="B891" s="47" t="str">
        <f>IFERROR(__xludf.DUMMYFUNCTION("""COMPUTED_VALUE"""),"xrayneex")</f>
        <v>xrayneex</v>
      </c>
      <c r="C891" s="78" t="str">
        <f>IFERROR(__xludf.DUMMYFUNCTION("""COMPUTED_VALUE"""),"https://www.munzee.com/m/xrayneex/2794/")</f>
        <v>https://www.munzee.com/m/xrayneex/2794/</v>
      </c>
      <c r="D891" s="47"/>
      <c r="E891" s="47" t="b">
        <f>IFERROR(__xludf.DUMMYFUNCTION("""COMPUTED_VALUE"""),TRUE)</f>
        <v>1</v>
      </c>
      <c r="F891" s="47" t="str">
        <f>IFERROR(__xludf.DUMMYFUNCTION("""COMPUTED_VALUE"""),"")</f>
        <v/>
      </c>
      <c r="G891" s="47" t="str">
        <f>IFERROR(__xludf.DUMMYFUNCTION("""COMPUTED_VALUE"""),"")</f>
        <v/>
      </c>
      <c r="H891" s="47"/>
      <c r="I891" s="47">
        <f>IFERROR(__xludf.DUMMYFUNCTION("""COMPUTED_VALUE"""),2.0)</f>
        <v>2</v>
      </c>
      <c r="J891" s="47" t="str">
        <f>IFERROR(__xludf.DUMMYFUNCTION("""COMPUTED_VALUE"""),"https:")</f>
        <v>https:</v>
      </c>
      <c r="K891" s="78" t="str">
        <f>IFERROR(__xludf.DUMMYFUNCTION("""COMPUTED_VALUE"""),"www.munzee.com")</f>
        <v>www.munzee.com</v>
      </c>
      <c r="L891" s="47" t="str">
        <f>IFERROR(__xludf.DUMMYFUNCTION("""COMPUTED_VALUE"""),"m")</f>
        <v>m</v>
      </c>
      <c r="M891" s="47" t="str">
        <f>IFERROR(__xludf.DUMMYFUNCTION("""COMPUTED_VALUE"""),"xrayneex")</f>
        <v>xrayneex</v>
      </c>
    </row>
    <row r="892">
      <c r="A892" s="47" t="str">
        <f>IFERROR(__xludf.DUMMYFUNCTION("""COMPUTED_VALUE"""),"Virtual Raw Sienna")</f>
        <v>Virtual Raw Sienna</v>
      </c>
      <c r="B892" s="47" t="str">
        <f>IFERROR(__xludf.DUMMYFUNCTION("""COMPUTED_VALUE"""),"Ellesche")</f>
        <v>Ellesche</v>
      </c>
      <c r="C892" s="78" t="str">
        <f>IFERROR(__xludf.DUMMYFUNCTION("""COMPUTED_VALUE"""),"https://www.munzee.com/m/Ellesche/855")</f>
        <v>https://www.munzee.com/m/Ellesche/855</v>
      </c>
      <c r="D892" s="47"/>
      <c r="E892" s="47" t="b">
        <f>IFERROR(__xludf.DUMMYFUNCTION("""COMPUTED_VALUE"""),TRUE)</f>
        <v>1</v>
      </c>
      <c r="F892" s="47" t="str">
        <f>IFERROR(__xludf.DUMMYFUNCTION("""COMPUTED_VALUE"""),"")</f>
        <v/>
      </c>
      <c r="G892" s="47" t="str">
        <f>IFERROR(__xludf.DUMMYFUNCTION("""COMPUTED_VALUE"""),"")</f>
        <v/>
      </c>
      <c r="H892" s="47"/>
      <c r="I892" s="47">
        <f>IFERROR(__xludf.DUMMYFUNCTION("""COMPUTED_VALUE"""),2.0)</f>
        <v>2</v>
      </c>
      <c r="J892" s="47" t="str">
        <f>IFERROR(__xludf.DUMMYFUNCTION("""COMPUTED_VALUE"""),"https:")</f>
        <v>https:</v>
      </c>
      <c r="K892" s="78" t="str">
        <f>IFERROR(__xludf.DUMMYFUNCTION("""COMPUTED_VALUE"""),"www.munzee.com")</f>
        <v>www.munzee.com</v>
      </c>
      <c r="L892" s="47" t="str">
        <f>IFERROR(__xludf.DUMMYFUNCTION("""COMPUTED_VALUE"""),"m")</f>
        <v>m</v>
      </c>
      <c r="M892" s="47" t="str">
        <f>IFERROR(__xludf.DUMMYFUNCTION("""COMPUTED_VALUE"""),"Ellesche")</f>
        <v>Ellesche</v>
      </c>
    </row>
    <row r="893">
      <c r="A893" s="47" t="str">
        <f>IFERROR(__xludf.DUMMYFUNCTION("""COMPUTED_VALUE"""),"Virtual Brown")</f>
        <v>Virtual Brown</v>
      </c>
      <c r="B893" s="47" t="str">
        <f>IFERROR(__xludf.DUMMYFUNCTION("""COMPUTED_VALUE"""),"res2100")</f>
        <v>res2100</v>
      </c>
      <c r="C893" s="78" t="str">
        <f>IFERROR(__xludf.DUMMYFUNCTION("""COMPUTED_VALUE"""),"https://www.munzee.com/m/res2100/894")</f>
        <v>https://www.munzee.com/m/res2100/894</v>
      </c>
      <c r="D893" s="47"/>
      <c r="E893" s="47" t="b">
        <f>IFERROR(__xludf.DUMMYFUNCTION("""COMPUTED_VALUE"""),TRUE)</f>
        <v>1</v>
      </c>
      <c r="F893" s="47" t="str">
        <f>IFERROR(__xludf.DUMMYFUNCTION("""COMPUTED_VALUE"""),"")</f>
        <v/>
      </c>
      <c r="G893" s="47" t="str">
        <f>IFERROR(__xludf.DUMMYFUNCTION("""COMPUTED_VALUE"""),"")</f>
        <v/>
      </c>
      <c r="H893" s="47"/>
      <c r="I893" s="47">
        <f>IFERROR(__xludf.DUMMYFUNCTION("""COMPUTED_VALUE"""),2.0)</f>
        <v>2</v>
      </c>
      <c r="J893" s="47" t="str">
        <f>IFERROR(__xludf.DUMMYFUNCTION("""COMPUTED_VALUE"""),"https:")</f>
        <v>https:</v>
      </c>
      <c r="K893" s="78" t="str">
        <f>IFERROR(__xludf.DUMMYFUNCTION("""COMPUTED_VALUE"""),"www.munzee.com")</f>
        <v>www.munzee.com</v>
      </c>
      <c r="L893" s="47" t="str">
        <f>IFERROR(__xludf.DUMMYFUNCTION("""COMPUTED_VALUE"""),"m")</f>
        <v>m</v>
      </c>
      <c r="M893" s="47" t="str">
        <f>IFERROR(__xludf.DUMMYFUNCTION("""COMPUTED_VALUE"""),"res2100")</f>
        <v>res2100</v>
      </c>
    </row>
    <row r="894">
      <c r="A894" s="47" t="str">
        <f>IFERROR(__xludf.DUMMYFUNCTION("""COMPUTED_VALUE"""),"Virtual Brown")</f>
        <v>Virtual Brown</v>
      </c>
      <c r="B894" s="47" t="str">
        <f>IFERROR(__xludf.DUMMYFUNCTION("""COMPUTED_VALUE"""),"OdinsFiRe")</f>
        <v>OdinsFiRe</v>
      </c>
      <c r="C894" s="78" t="str">
        <f>IFERROR(__xludf.DUMMYFUNCTION("""COMPUTED_VALUE"""),"https://www.munzee.com/m/OdinsFiRe/2013/")</f>
        <v>https://www.munzee.com/m/OdinsFiRe/2013/</v>
      </c>
      <c r="D894" s="47"/>
      <c r="E894" s="47" t="b">
        <f>IFERROR(__xludf.DUMMYFUNCTION("""COMPUTED_VALUE"""),TRUE)</f>
        <v>1</v>
      </c>
      <c r="F894" s="47" t="str">
        <f>IFERROR(__xludf.DUMMYFUNCTION("""COMPUTED_VALUE"""),"")</f>
        <v/>
      </c>
      <c r="G894" s="47" t="str">
        <f>IFERROR(__xludf.DUMMYFUNCTION("""COMPUTED_VALUE"""),"")</f>
        <v/>
      </c>
      <c r="H894" s="47"/>
      <c r="I894" s="47">
        <f>IFERROR(__xludf.DUMMYFUNCTION("""COMPUTED_VALUE"""),2.0)</f>
        <v>2</v>
      </c>
      <c r="J894" s="47" t="str">
        <f>IFERROR(__xludf.DUMMYFUNCTION("""COMPUTED_VALUE"""),"https:")</f>
        <v>https:</v>
      </c>
      <c r="K894" s="78" t="str">
        <f>IFERROR(__xludf.DUMMYFUNCTION("""COMPUTED_VALUE"""),"www.munzee.com")</f>
        <v>www.munzee.com</v>
      </c>
      <c r="L894" s="47" t="str">
        <f>IFERROR(__xludf.DUMMYFUNCTION("""COMPUTED_VALUE"""),"m")</f>
        <v>m</v>
      </c>
      <c r="M894" s="47" t="str">
        <f>IFERROR(__xludf.DUMMYFUNCTION("""COMPUTED_VALUE"""),"OdinsFiRe")</f>
        <v>OdinsFiRe</v>
      </c>
    </row>
    <row r="895">
      <c r="A895" s="47" t="str">
        <f>IFERROR(__xludf.DUMMYFUNCTION("""COMPUTED_VALUE"""),"Virtual Brown")</f>
        <v>Virtual Brown</v>
      </c>
      <c r="B895" s="47" t="str">
        <f>IFERROR(__xludf.DUMMYFUNCTION("""COMPUTED_VALUE"""),"Whatsoverthere")</f>
        <v>Whatsoverthere</v>
      </c>
      <c r="C895" s="78" t="str">
        <f>IFERROR(__xludf.DUMMYFUNCTION("""COMPUTED_VALUE"""),"https://www.munzee.com/m/Whatsoverthere/8942/")</f>
        <v>https://www.munzee.com/m/Whatsoverthere/8942/</v>
      </c>
      <c r="D895" s="47"/>
      <c r="E895" s="47" t="b">
        <f>IFERROR(__xludf.DUMMYFUNCTION("""COMPUTED_VALUE"""),TRUE)</f>
        <v>1</v>
      </c>
      <c r="F895" s="47" t="str">
        <f>IFERROR(__xludf.DUMMYFUNCTION("""COMPUTED_VALUE"""),"")</f>
        <v/>
      </c>
      <c r="G895" s="47" t="str">
        <f>IFERROR(__xludf.DUMMYFUNCTION("""COMPUTED_VALUE"""),"")</f>
        <v/>
      </c>
      <c r="H895" s="47"/>
      <c r="I895" s="47">
        <f>IFERROR(__xludf.DUMMYFUNCTION("""COMPUTED_VALUE"""),2.0)</f>
        <v>2</v>
      </c>
      <c r="J895" s="47" t="str">
        <f>IFERROR(__xludf.DUMMYFUNCTION("""COMPUTED_VALUE"""),"https:")</f>
        <v>https:</v>
      </c>
      <c r="K895" s="78" t="str">
        <f>IFERROR(__xludf.DUMMYFUNCTION("""COMPUTED_VALUE"""),"www.munzee.com")</f>
        <v>www.munzee.com</v>
      </c>
      <c r="L895" s="47" t="str">
        <f>IFERROR(__xludf.DUMMYFUNCTION("""COMPUTED_VALUE"""),"m")</f>
        <v>m</v>
      </c>
      <c r="M895" s="47" t="str">
        <f>IFERROR(__xludf.DUMMYFUNCTION("""COMPUTED_VALUE"""),"Whatsoverthere")</f>
        <v>Whatsoverthere</v>
      </c>
    </row>
    <row r="896">
      <c r="A896" s="47" t="str">
        <f>IFERROR(__xludf.DUMMYFUNCTION("""COMPUTED_VALUE"""),"Virtual Brown")</f>
        <v>Virtual Brown</v>
      </c>
      <c r="B896" s="47" t="str">
        <f>IFERROR(__xludf.DUMMYFUNCTION("""COMPUTED_VALUE"""),"Wangotango")</f>
        <v>Wangotango</v>
      </c>
      <c r="C896" s="78" t="str">
        <f>IFERROR(__xludf.DUMMYFUNCTION("""COMPUTED_VALUE"""),"https://www.munzee.com/m/Wangotango/1376/")</f>
        <v>https://www.munzee.com/m/Wangotango/1376/</v>
      </c>
      <c r="D896" s="47"/>
      <c r="E896" s="47" t="b">
        <f>IFERROR(__xludf.DUMMYFUNCTION("""COMPUTED_VALUE"""),TRUE)</f>
        <v>1</v>
      </c>
      <c r="F896" s="47" t="str">
        <f>IFERROR(__xludf.DUMMYFUNCTION("""COMPUTED_VALUE"""),"")</f>
        <v/>
      </c>
      <c r="G896" s="47" t="str">
        <f>IFERROR(__xludf.DUMMYFUNCTION("""COMPUTED_VALUE"""),"")</f>
        <v/>
      </c>
      <c r="H896" s="47"/>
      <c r="I896" s="47">
        <f>IFERROR(__xludf.DUMMYFUNCTION("""COMPUTED_VALUE"""),2.0)</f>
        <v>2</v>
      </c>
      <c r="J896" s="47" t="str">
        <f>IFERROR(__xludf.DUMMYFUNCTION("""COMPUTED_VALUE"""),"https:")</f>
        <v>https:</v>
      </c>
      <c r="K896" s="78" t="str">
        <f>IFERROR(__xludf.DUMMYFUNCTION("""COMPUTED_VALUE"""),"www.munzee.com")</f>
        <v>www.munzee.com</v>
      </c>
      <c r="L896" s="47" t="str">
        <f>IFERROR(__xludf.DUMMYFUNCTION("""COMPUTED_VALUE"""),"m")</f>
        <v>m</v>
      </c>
      <c r="M896" s="47" t="str">
        <f>IFERROR(__xludf.DUMMYFUNCTION("""COMPUTED_VALUE"""),"Wangotango")</f>
        <v>Wangotango</v>
      </c>
    </row>
    <row r="897">
      <c r="A897" s="47" t="str">
        <f>IFERROR(__xludf.DUMMYFUNCTION("""COMPUTED_VALUE"""),"Virtual Brown")</f>
        <v>Virtual Brown</v>
      </c>
      <c r="B897" s="47" t="str">
        <f>IFERROR(__xludf.DUMMYFUNCTION("""COMPUTED_VALUE"""),"Drazoira")</f>
        <v>Drazoira</v>
      </c>
      <c r="C897" s="78" t="str">
        <f>IFERROR(__xludf.DUMMYFUNCTION("""COMPUTED_VALUE"""),"https://www.munzee.com/m/Drazoria/1675/")</f>
        <v>https://www.munzee.com/m/Drazoria/1675/</v>
      </c>
      <c r="D897" s="47"/>
      <c r="E897" s="47" t="b">
        <f>IFERROR(__xludf.DUMMYFUNCTION("""COMPUTED_VALUE"""),TRUE)</f>
        <v>1</v>
      </c>
      <c r="F897" s="47" t="str">
        <f>IFERROR(__xludf.DUMMYFUNCTION("""COMPUTED_VALUE"""),"")</f>
        <v/>
      </c>
      <c r="G897" s="47" t="str">
        <f>IFERROR(__xludf.DUMMYFUNCTION("""COMPUTED_VALUE"""),"")</f>
        <v/>
      </c>
      <c r="H897" s="47"/>
      <c r="I897" s="47">
        <f>IFERROR(__xludf.DUMMYFUNCTION("""COMPUTED_VALUE"""),2.0)</f>
        <v>2</v>
      </c>
      <c r="J897" s="47" t="str">
        <f>IFERROR(__xludf.DUMMYFUNCTION("""COMPUTED_VALUE"""),"https:")</f>
        <v>https:</v>
      </c>
      <c r="K897" s="78" t="str">
        <f>IFERROR(__xludf.DUMMYFUNCTION("""COMPUTED_VALUE"""),"www.munzee.com")</f>
        <v>www.munzee.com</v>
      </c>
      <c r="L897" s="47" t="str">
        <f>IFERROR(__xludf.DUMMYFUNCTION("""COMPUTED_VALUE"""),"m")</f>
        <v>m</v>
      </c>
      <c r="M897" s="47" t="str">
        <f>IFERROR(__xludf.DUMMYFUNCTION("""COMPUTED_VALUE"""),"Drazoria")</f>
        <v>Drazoria</v>
      </c>
    </row>
    <row r="898">
      <c r="A898" s="47" t="str">
        <f>IFERROR(__xludf.DUMMYFUNCTION("""COMPUTED_VALUE"""),"Virtual Brown")</f>
        <v>Virtual Brown</v>
      </c>
      <c r="B898" s="47" t="str">
        <f>IFERROR(__xludf.DUMMYFUNCTION("""COMPUTED_VALUE"""),"Tinake1309")</f>
        <v>Tinake1309</v>
      </c>
      <c r="C898" s="78" t="str">
        <f>IFERROR(__xludf.DUMMYFUNCTION("""COMPUTED_VALUE"""),"https://www.munzee.com/m/Tinake1309/1600/")</f>
        <v>https://www.munzee.com/m/Tinake1309/1600/</v>
      </c>
      <c r="D898" s="47"/>
      <c r="E898" s="47" t="b">
        <f>IFERROR(__xludf.DUMMYFUNCTION("""COMPUTED_VALUE"""),TRUE)</f>
        <v>1</v>
      </c>
      <c r="F898" s="47" t="str">
        <f>IFERROR(__xludf.DUMMYFUNCTION("""COMPUTED_VALUE"""),"")</f>
        <v/>
      </c>
      <c r="G898" s="47" t="str">
        <f>IFERROR(__xludf.DUMMYFUNCTION("""COMPUTED_VALUE"""),"")</f>
        <v/>
      </c>
      <c r="H898" s="47"/>
      <c r="I898" s="47">
        <f>IFERROR(__xludf.DUMMYFUNCTION("""COMPUTED_VALUE"""),2.0)</f>
        <v>2</v>
      </c>
      <c r="J898" s="47" t="str">
        <f>IFERROR(__xludf.DUMMYFUNCTION("""COMPUTED_VALUE"""),"https:")</f>
        <v>https:</v>
      </c>
      <c r="K898" s="78" t="str">
        <f>IFERROR(__xludf.DUMMYFUNCTION("""COMPUTED_VALUE"""),"www.munzee.com")</f>
        <v>www.munzee.com</v>
      </c>
      <c r="L898" s="47" t="str">
        <f>IFERROR(__xludf.DUMMYFUNCTION("""COMPUTED_VALUE"""),"m")</f>
        <v>m</v>
      </c>
      <c r="M898" s="47" t="str">
        <f>IFERROR(__xludf.DUMMYFUNCTION("""COMPUTED_VALUE"""),"Tinake1309")</f>
        <v>Tinake1309</v>
      </c>
    </row>
    <row r="899">
      <c r="A899" s="47" t="str">
        <f>IFERROR(__xludf.DUMMYFUNCTION("""COMPUTED_VALUE"""),"Virtual Brown")</f>
        <v>Virtual Brown</v>
      </c>
      <c r="B899" s="47" t="str">
        <f>IFERROR(__xludf.DUMMYFUNCTION("""COMPUTED_VALUE"""),"Berg14")</f>
        <v>Berg14</v>
      </c>
      <c r="C899" s="78" t="str">
        <f>IFERROR(__xludf.DUMMYFUNCTION("""COMPUTED_VALUE"""),"https://www.munzee.com/m/Berg14/1521/")</f>
        <v>https://www.munzee.com/m/Berg14/1521/</v>
      </c>
      <c r="D899" s="47"/>
      <c r="E899" s="47" t="b">
        <f>IFERROR(__xludf.DUMMYFUNCTION("""COMPUTED_VALUE"""),TRUE)</f>
        <v>1</v>
      </c>
      <c r="F899" s="47" t="str">
        <f>IFERROR(__xludf.DUMMYFUNCTION("""COMPUTED_VALUE"""),"")</f>
        <v/>
      </c>
      <c r="G899" s="47" t="str">
        <f>IFERROR(__xludf.DUMMYFUNCTION("""COMPUTED_VALUE"""),"")</f>
        <v/>
      </c>
      <c r="H899" s="47"/>
      <c r="I899" s="47">
        <f>IFERROR(__xludf.DUMMYFUNCTION("""COMPUTED_VALUE"""),2.0)</f>
        <v>2</v>
      </c>
      <c r="J899" s="47" t="str">
        <f>IFERROR(__xludf.DUMMYFUNCTION("""COMPUTED_VALUE"""),"https:")</f>
        <v>https:</v>
      </c>
      <c r="K899" s="78" t="str">
        <f>IFERROR(__xludf.DUMMYFUNCTION("""COMPUTED_VALUE"""),"www.munzee.com")</f>
        <v>www.munzee.com</v>
      </c>
      <c r="L899" s="47" t="str">
        <f>IFERROR(__xludf.DUMMYFUNCTION("""COMPUTED_VALUE"""),"m")</f>
        <v>m</v>
      </c>
      <c r="M899" s="47" t="str">
        <f>IFERROR(__xludf.DUMMYFUNCTION("""COMPUTED_VALUE"""),"Berg14")</f>
        <v>Berg14</v>
      </c>
    </row>
    <row r="900">
      <c r="A900" s="47" t="str">
        <f>IFERROR(__xludf.DUMMYFUNCTION("""COMPUTED_VALUE"""),"Virtual Brown")</f>
        <v>Virtual Brown</v>
      </c>
      <c r="B900" s="47" t="str">
        <f>IFERROR(__xludf.DUMMYFUNCTION("""COMPUTED_VALUE"""),"Niks13")</f>
        <v>Niks13</v>
      </c>
      <c r="C900" s="78" t="str">
        <f>IFERROR(__xludf.DUMMYFUNCTION("""COMPUTED_VALUE"""),"https://www.munzee.com/m/Niks13/1483/")</f>
        <v>https://www.munzee.com/m/Niks13/1483/</v>
      </c>
      <c r="D900" s="47"/>
      <c r="E900" s="47" t="b">
        <f>IFERROR(__xludf.DUMMYFUNCTION("""COMPUTED_VALUE"""),TRUE)</f>
        <v>1</v>
      </c>
      <c r="F900" s="47" t="str">
        <f>IFERROR(__xludf.DUMMYFUNCTION("""COMPUTED_VALUE"""),"")</f>
        <v/>
      </c>
      <c r="G900" s="47" t="str">
        <f>IFERROR(__xludf.DUMMYFUNCTION("""COMPUTED_VALUE"""),"")</f>
        <v/>
      </c>
      <c r="H900" s="47"/>
      <c r="I900" s="47">
        <f>IFERROR(__xludf.DUMMYFUNCTION("""COMPUTED_VALUE"""),2.0)</f>
        <v>2</v>
      </c>
      <c r="J900" s="47" t="str">
        <f>IFERROR(__xludf.DUMMYFUNCTION("""COMPUTED_VALUE"""),"https:")</f>
        <v>https:</v>
      </c>
      <c r="K900" s="78" t="str">
        <f>IFERROR(__xludf.DUMMYFUNCTION("""COMPUTED_VALUE"""),"www.munzee.com")</f>
        <v>www.munzee.com</v>
      </c>
      <c r="L900" s="47" t="str">
        <f>IFERROR(__xludf.DUMMYFUNCTION("""COMPUTED_VALUE"""),"m")</f>
        <v>m</v>
      </c>
      <c r="M900" s="47" t="str">
        <f>IFERROR(__xludf.DUMMYFUNCTION("""COMPUTED_VALUE"""),"Niks13")</f>
        <v>Niks13</v>
      </c>
    </row>
    <row r="901">
      <c r="A901" s="47" t="str">
        <f>IFERROR(__xludf.DUMMYFUNCTION("""COMPUTED_VALUE"""),"Virtual Brown")</f>
        <v>Virtual Brown</v>
      </c>
      <c r="B901" s="47" t="str">
        <f>IFERROR(__xludf.DUMMYFUNCTION("""COMPUTED_VALUE"""),"lupo6")</f>
        <v>lupo6</v>
      </c>
      <c r="C901" s="78" t="str">
        <f>IFERROR(__xludf.DUMMYFUNCTION("""COMPUTED_VALUE"""),"https://www.munzee.com/m/lupo6/2727/")</f>
        <v>https://www.munzee.com/m/lupo6/2727/</v>
      </c>
      <c r="D901" s="47"/>
      <c r="E901" s="47" t="b">
        <f>IFERROR(__xludf.DUMMYFUNCTION("""COMPUTED_VALUE"""),TRUE)</f>
        <v>1</v>
      </c>
      <c r="F901" s="47" t="str">
        <f>IFERROR(__xludf.DUMMYFUNCTION("""COMPUTED_VALUE"""),"")</f>
        <v/>
      </c>
      <c r="G901" s="47" t="str">
        <f>IFERROR(__xludf.DUMMYFUNCTION("""COMPUTED_VALUE"""),"")</f>
        <v/>
      </c>
      <c r="H901" s="47"/>
      <c r="I901" s="47">
        <f>IFERROR(__xludf.DUMMYFUNCTION("""COMPUTED_VALUE"""),2.0)</f>
        <v>2</v>
      </c>
      <c r="J901" s="47" t="str">
        <f>IFERROR(__xludf.DUMMYFUNCTION("""COMPUTED_VALUE"""),"https:")</f>
        <v>https:</v>
      </c>
      <c r="K901" s="78" t="str">
        <f>IFERROR(__xludf.DUMMYFUNCTION("""COMPUTED_VALUE"""),"www.munzee.com")</f>
        <v>www.munzee.com</v>
      </c>
      <c r="L901" s="47" t="str">
        <f>IFERROR(__xludf.DUMMYFUNCTION("""COMPUTED_VALUE"""),"m")</f>
        <v>m</v>
      </c>
      <c r="M901" s="47" t="str">
        <f>IFERROR(__xludf.DUMMYFUNCTION("""COMPUTED_VALUE"""),"lupo6")</f>
        <v>lupo6</v>
      </c>
    </row>
    <row r="902">
      <c r="A902" s="47" t="str">
        <f>IFERROR(__xludf.DUMMYFUNCTION("""COMPUTED_VALUE"""),"Virtual Brown")</f>
        <v>Virtual Brown</v>
      </c>
      <c r="B902" s="47" t="str">
        <f>IFERROR(__xludf.DUMMYFUNCTION("""COMPUTED_VALUE"""),"lison55")</f>
        <v>lison55</v>
      </c>
      <c r="C902" s="78" t="str">
        <f>IFERROR(__xludf.DUMMYFUNCTION("""COMPUTED_VALUE"""),"https://www.munzee.com/m/lison55/12385/")</f>
        <v>https://www.munzee.com/m/lison55/12385/</v>
      </c>
      <c r="D902" s="47"/>
      <c r="E902" s="47" t="b">
        <f>IFERROR(__xludf.DUMMYFUNCTION("""COMPUTED_VALUE"""),TRUE)</f>
        <v>1</v>
      </c>
      <c r="F902" s="47" t="str">
        <f>IFERROR(__xludf.DUMMYFUNCTION("""COMPUTED_VALUE"""),"")</f>
        <v/>
      </c>
      <c r="G902" s="47" t="str">
        <f>IFERROR(__xludf.DUMMYFUNCTION("""COMPUTED_VALUE"""),"")</f>
        <v/>
      </c>
      <c r="H902" s="47"/>
      <c r="I902" s="47">
        <f>IFERROR(__xludf.DUMMYFUNCTION("""COMPUTED_VALUE"""),2.0)</f>
        <v>2</v>
      </c>
      <c r="J902" s="47" t="str">
        <f>IFERROR(__xludf.DUMMYFUNCTION("""COMPUTED_VALUE"""),"https:")</f>
        <v>https:</v>
      </c>
      <c r="K902" s="78" t="str">
        <f>IFERROR(__xludf.DUMMYFUNCTION("""COMPUTED_VALUE"""),"www.munzee.com")</f>
        <v>www.munzee.com</v>
      </c>
      <c r="L902" s="47" t="str">
        <f>IFERROR(__xludf.DUMMYFUNCTION("""COMPUTED_VALUE"""),"m")</f>
        <v>m</v>
      </c>
      <c r="M902" s="47" t="str">
        <f>IFERROR(__xludf.DUMMYFUNCTION("""COMPUTED_VALUE"""),"lison55")</f>
        <v>lison55</v>
      </c>
    </row>
    <row r="903">
      <c r="A903" s="47" t="str">
        <f>IFERROR(__xludf.DUMMYFUNCTION("""COMPUTED_VALUE"""),"Virtual Brown")</f>
        <v>Virtual Brown</v>
      </c>
      <c r="B903" s="47" t="str">
        <f>IFERROR(__xludf.DUMMYFUNCTION("""COMPUTED_VALUE"""),"Oppresso1983")</f>
        <v>Oppresso1983</v>
      </c>
      <c r="C903" s="78" t="str">
        <f>IFERROR(__xludf.DUMMYFUNCTION("""COMPUTED_VALUE"""),"https://www.munzee.com/m/Oppresso1983/4634/")</f>
        <v>https://www.munzee.com/m/Oppresso1983/4634/</v>
      </c>
      <c r="D903" s="47"/>
      <c r="E903" s="47" t="b">
        <f>IFERROR(__xludf.DUMMYFUNCTION("""COMPUTED_VALUE"""),TRUE)</f>
        <v>1</v>
      </c>
      <c r="F903" s="47" t="str">
        <f>IFERROR(__xludf.DUMMYFUNCTION("""COMPUTED_VALUE"""),"")</f>
        <v/>
      </c>
      <c r="G903" s="47" t="str">
        <f>IFERROR(__xludf.DUMMYFUNCTION("""COMPUTED_VALUE"""),"")</f>
        <v/>
      </c>
      <c r="H903" s="47"/>
      <c r="I903" s="47">
        <f>IFERROR(__xludf.DUMMYFUNCTION("""COMPUTED_VALUE"""),2.0)</f>
        <v>2</v>
      </c>
      <c r="J903" s="47" t="str">
        <f>IFERROR(__xludf.DUMMYFUNCTION("""COMPUTED_VALUE"""),"https:")</f>
        <v>https:</v>
      </c>
      <c r="K903" s="78" t="str">
        <f>IFERROR(__xludf.DUMMYFUNCTION("""COMPUTED_VALUE"""),"www.munzee.com")</f>
        <v>www.munzee.com</v>
      </c>
      <c r="L903" s="47" t="str">
        <f>IFERROR(__xludf.DUMMYFUNCTION("""COMPUTED_VALUE"""),"m")</f>
        <v>m</v>
      </c>
      <c r="M903" s="47" t="str">
        <f>IFERROR(__xludf.DUMMYFUNCTION("""COMPUTED_VALUE"""),"Oppresso1983")</f>
        <v>Oppresso1983</v>
      </c>
    </row>
    <row r="904">
      <c r="A904" s="47" t="str">
        <f>IFERROR(__xludf.DUMMYFUNCTION("""COMPUTED_VALUE"""),"Virtual Raw Sienna")</f>
        <v>Virtual Raw Sienna</v>
      </c>
      <c r="B904" s="47" t="str">
        <f>IFERROR(__xludf.DUMMYFUNCTION("""COMPUTED_VALUE"""),"crscousins")</f>
        <v>crscousins</v>
      </c>
      <c r="C904" s="78" t="str">
        <f>IFERROR(__xludf.DUMMYFUNCTION("""COMPUTED_VALUE"""),"https://www.munzee.com/m/crscousins/4639/")</f>
        <v>https://www.munzee.com/m/crscousins/4639/</v>
      </c>
      <c r="D904" s="47"/>
      <c r="E904" s="47" t="b">
        <f>IFERROR(__xludf.DUMMYFUNCTION("""COMPUTED_VALUE"""),TRUE)</f>
        <v>1</v>
      </c>
      <c r="F904" s="47" t="str">
        <f>IFERROR(__xludf.DUMMYFUNCTION("""COMPUTED_VALUE"""),"")</f>
        <v/>
      </c>
      <c r="G904" s="47" t="str">
        <f>IFERROR(__xludf.DUMMYFUNCTION("""COMPUTED_VALUE"""),"")</f>
        <v/>
      </c>
      <c r="H904" s="47"/>
      <c r="I904" s="47">
        <f>IFERROR(__xludf.DUMMYFUNCTION("""COMPUTED_VALUE"""),2.0)</f>
        <v>2</v>
      </c>
      <c r="J904" s="47" t="str">
        <f>IFERROR(__xludf.DUMMYFUNCTION("""COMPUTED_VALUE"""),"https:")</f>
        <v>https:</v>
      </c>
      <c r="K904" s="78" t="str">
        <f>IFERROR(__xludf.DUMMYFUNCTION("""COMPUTED_VALUE"""),"www.munzee.com")</f>
        <v>www.munzee.com</v>
      </c>
      <c r="L904" s="47" t="str">
        <f>IFERROR(__xludf.DUMMYFUNCTION("""COMPUTED_VALUE"""),"m")</f>
        <v>m</v>
      </c>
      <c r="M904" s="47" t="str">
        <f>IFERROR(__xludf.DUMMYFUNCTION("""COMPUTED_VALUE"""),"crscousins")</f>
        <v>crscousins</v>
      </c>
    </row>
    <row r="905">
      <c r="A905" s="47" t="str">
        <f>IFERROR(__xludf.DUMMYFUNCTION("""COMPUTED_VALUE"""),"Virtual Brown")</f>
        <v>Virtual Brown</v>
      </c>
      <c r="B905" s="47" t="str">
        <f>IFERROR(__xludf.DUMMYFUNCTION("""COMPUTED_VALUE"""),"Bungle")</f>
        <v>Bungle</v>
      </c>
      <c r="C905" s="78" t="str">
        <f>IFERROR(__xludf.DUMMYFUNCTION("""COMPUTED_VALUE"""),"https://www.munzee.com/m/Bungle/10438")</f>
        <v>https://www.munzee.com/m/Bungle/10438</v>
      </c>
      <c r="D905" s="47"/>
      <c r="E905" s="47" t="b">
        <f>IFERROR(__xludf.DUMMYFUNCTION("""COMPUTED_VALUE"""),TRUE)</f>
        <v>1</v>
      </c>
      <c r="F905" s="47"/>
      <c r="G905" s="47" t="str">
        <f>IFERROR(__xludf.DUMMYFUNCTION("""COMPUTED_VALUE"""),"")</f>
        <v/>
      </c>
      <c r="H905" s="47"/>
      <c r="I905" s="47">
        <f>IFERROR(__xludf.DUMMYFUNCTION("""COMPUTED_VALUE"""),2.0)</f>
        <v>2</v>
      </c>
      <c r="J905" s="47" t="str">
        <f>IFERROR(__xludf.DUMMYFUNCTION("""COMPUTED_VALUE"""),"https:")</f>
        <v>https:</v>
      </c>
      <c r="K905" s="78" t="str">
        <f>IFERROR(__xludf.DUMMYFUNCTION("""COMPUTED_VALUE"""),"www.munzee.com")</f>
        <v>www.munzee.com</v>
      </c>
      <c r="L905" s="47" t="str">
        <f>IFERROR(__xludf.DUMMYFUNCTION("""COMPUTED_VALUE"""),"m")</f>
        <v>m</v>
      </c>
      <c r="M905" s="47" t="str">
        <f>IFERROR(__xludf.DUMMYFUNCTION("""COMPUTED_VALUE"""),"Bungle")</f>
        <v>Bungle</v>
      </c>
    </row>
    <row r="906">
      <c r="A906" s="47" t="str">
        <f>IFERROR(__xludf.DUMMYFUNCTION("""COMPUTED_VALUE"""),"Virtual Brown")</f>
        <v>Virtual Brown</v>
      </c>
      <c r="B906" s="47" t="str">
        <f>IFERROR(__xludf.DUMMYFUNCTION("""COMPUTED_VALUE"""),"fsafranek")</f>
        <v>fsafranek</v>
      </c>
      <c r="C906" s="78" t="str">
        <f>IFERROR(__xludf.DUMMYFUNCTION("""COMPUTED_VALUE"""),"https://www.munzee.com/m/fsafranek/6242/")</f>
        <v>https://www.munzee.com/m/fsafranek/6242/</v>
      </c>
      <c r="D906" s="47"/>
      <c r="E906" s="47" t="b">
        <f>IFERROR(__xludf.DUMMYFUNCTION("""COMPUTED_VALUE"""),TRUE)</f>
        <v>1</v>
      </c>
      <c r="F906" s="47" t="str">
        <f>IFERROR(__xludf.DUMMYFUNCTION("""COMPUTED_VALUE"""),"")</f>
        <v/>
      </c>
      <c r="G906" s="47" t="str">
        <f>IFERROR(__xludf.DUMMYFUNCTION("""COMPUTED_VALUE"""),"")</f>
        <v/>
      </c>
      <c r="H906" s="47"/>
      <c r="I906" s="47">
        <f>IFERROR(__xludf.DUMMYFUNCTION("""COMPUTED_VALUE"""),2.0)</f>
        <v>2</v>
      </c>
      <c r="J906" s="47" t="str">
        <f>IFERROR(__xludf.DUMMYFUNCTION("""COMPUTED_VALUE"""),"https:")</f>
        <v>https:</v>
      </c>
      <c r="K906" s="78" t="str">
        <f>IFERROR(__xludf.DUMMYFUNCTION("""COMPUTED_VALUE"""),"www.munzee.com")</f>
        <v>www.munzee.com</v>
      </c>
      <c r="L906" s="47" t="str">
        <f>IFERROR(__xludf.DUMMYFUNCTION("""COMPUTED_VALUE"""),"m")</f>
        <v>m</v>
      </c>
      <c r="M906" s="47" t="str">
        <f>IFERROR(__xludf.DUMMYFUNCTION("""COMPUTED_VALUE"""),"fsafranek")</f>
        <v>fsafranek</v>
      </c>
    </row>
    <row r="907">
      <c r="A907" s="47" t="str">
        <f>IFERROR(__xludf.DUMMYFUNCTION("""COMPUTED_VALUE"""),"Virtual Brown")</f>
        <v>Virtual Brown</v>
      </c>
      <c r="B907" s="47" t="str">
        <f>IFERROR(__xludf.DUMMYFUNCTION("""COMPUTED_VALUE"""),"rita85gto")</f>
        <v>rita85gto</v>
      </c>
      <c r="C907" s="78" t="str">
        <f>IFERROR(__xludf.DUMMYFUNCTION("""COMPUTED_VALUE"""),"https://www.munzee.com/m/rita85gto/5095/")</f>
        <v>https://www.munzee.com/m/rita85gto/5095/</v>
      </c>
      <c r="D907" s="47" t="str">
        <f>IFERROR(__xludf.DUMMYFUNCTION("""COMPUTED_VALUE"""),"dep. Aug. '22")</f>
        <v>dep. Aug. '22</v>
      </c>
      <c r="E907" s="47" t="b">
        <f>IFERROR(__xludf.DUMMYFUNCTION("""COMPUTED_VALUE"""),TRUE)</f>
        <v>1</v>
      </c>
      <c r="F907" s="47" t="str">
        <f>IFERROR(__xludf.DUMMYFUNCTION("""COMPUTED_VALUE"""),"")</f>
        <v/>
      </c>
      <c r="G907" s="47" t="str">
        <f>IFERROR(__xludf.DUMMYFUNCTION("""COMPUTED_VALUE"""),"")</f>
        <v/>
      </c>
      <c r="H907" s="47"/>
      <c r="I907" s="47">
        <f>IFERROR(__xludf.DUMMYFUNCTION("""COMPUTED_VALUE"""),2.0)</f>
        <v>2</v>
      </c>
      <c r="J907" s="47" t="str">
        <f>IFERROR(__xludf.DUMMYFUNCTION("""COMPUTED_VALUE"""),"https:")</f>
        <v>https:</v>
      </c>
      <c r="K907" s="78" t="str">
        <f>IFERROR(__xludf.DUMMYFUNCTION("""COMPUTED_VALUE"""),"www.munzee.com")</f>
        <v>www.munzee.com</v>
      </c>
      <c r="L907" s="47" t="str">
        <f>IFERROR(__xludf.DUMMYFUNCTION("""COMPUTED_VALUE"""),"m")</f>
        <v>m</v>
      </c>
      <c r="M907" s="47" t="str">
        <f>IFERROR(__xludf.DUMMYFUNCTION("""COMPUTED_VALUE"""),"rita85gto")</f>
        <v>rita85gto</v>
      </c>
    </row>
    <row r="908">
      <c r="A908" s="47" t="str">
        <f>IFERROR(__xludf.DUMMYFUNCTION("""COMPUTED_VALUE"""),"Virtual Raw Sienna")</f>
        <v>Virtual Raw Sienna</v>
      </c>
      <c r="B908" s="47" t="str">
        <f>IFERROR(__xludf.DUMMYFUNCTION("""COMPUTED_VALUE"""),"Aniara")</f>
        <v>Aniara</v>
      </c>
      <c r="C908" s="78" t="str">
        <f>IFERROR(__xludf.DUMMYFUNCTION("""COMPUTED_VALUE"""),"https://www.munzee.com/m/Aniara/17964/")</f>
        <v>https://www.munzee.com/m/Aniara/17964/</v>
      </c>
      <c r="D908" s="47"/>
      <c r="E908" s="47" t="b">
        <f>IFERROR(__xludf.DUMMYFUNCTION("""COMPUTED_VALUE"""),TRUE)</f>
        <v>1</v>
      </c>
      <c r="F908" s="47" t="str">
        <f>IFERROR(__xludf.DUMMYFUNCTION("""COMPUTED_VALUE"""),"")</f>
        <v/>
      </c>
      <c r="G908" s="47" t="str">
        <f>IFERROR(__xludf.DUMMYFUNCTION("""COMPUTED_VALUE"""),"")</f>
        <v/>
      </c>
      <c r="H908" s="47"/>
      <c r="I908" s="47">
        <f>IFERROR(__xludf.DUMMYFUNCTION("""COMPUTED_VALUE"""),2.0)</f>
        <v>2</v>
      </c>
      <c r="J908" s="47" t="str">
        <f>IFERROR(__xludf.DUMMYFUNCTION("""COMPUTED_VALUE"""),"https:")</f>
        <v>https:</v>
      </c>
      <c r="K908" s="78" t="str">
        <f>IFERROR(__xludf.DUMMYFUNCTION("""COMPUTED_VALUE"""),"www.munzee.com")</f>
        <v>www.munzee.com</v>
      </c>
      <c r="L908" s="47" t="str">
        <f>IFERROR(__xludf.DUMMYFUNCTION("""COMPUTED_VALUE"""),"m")</f>
        <v>m</v>
      </c>
      <c r="M908" s="47" t="str">
        <f>IFERROR(__xludf.DUMMYFUNCTION("""COMPUTED_VALUE"""),"Aniara")</f>
        <v>Aniara</v>
      </c>
    </row>
    <row r="909">
      <c r="A909" s="47" t="str">
        <f>IFERROR(__xludf.DUMMYFUNCTION("""COMPUTED_VALUE"""),"Virtual Brown")</f>
        <v>Virtual Brown</v>
      </c>
      <c r="B909" s="47" t="str">
        <f>IFERROR(__xludf.DUMMYFUNCTION("""COMPUTED_VALUE"""),"Fossillady")</f>
        <v>Fossillady</v>
      </c>
      <c r="C909" s="78" t="str">
        <f>IFERROR(__xludf.DUMMYFUNCTION("""COMPUTED_VALUE"""),"https://www.munzee.com/m/Fossillady/5960")</f>
        <v>https://www.munzee.com/m/Fossillady/5960</v>
      </c>
      <c r="D909" s="47"/>
      <c r="E909" s="47" t="b">
        <f>IFERROR(__xludf.DUMMYFUNCTION("""COMPUTED_VALUE"""),FALSE)</f>
        <v>0</v>
      </c>
      <c r="F909" s="47"/>
      <c r="G909" s="47" t="str">
        <f>IFERROR(__xludf.DUMMYFUNCTION("""COMPUTED_VALUE"""),"Deployed")</f>
        <v>Deployed</v>
      </c>
      <c r="H909" s="47"/>
      <c r="I909" s="47">
        <f>IFERROR(__xludf.DUMMYFUNCTION("""COMPUTED_VALUE"""),1.0)</f>
        <v>1</v>
      </c>
      <c r="J909" s="47" t="str">
        <f>IFERROR(__xludf.DUMMYFUNCTION("""COMPUTED_VALUE"""),"https:")</f>
        <v>https:</v>
      </c>
      <c r="K909" s="78" t="str">
        <f>IFERROR(__xludf.DUMMYFUNCTION("""COMPUTED_VALUE"""),"www.munzee.com")</f>
        <v>www.munzee.com</v>
      </c>
      <c r="L909" s="47" t="str">
        <f>IFERROR(__xludf.DUMMYFUNCTION("""COMPUTED_VALUE"""),"m")</f>
        <v>m</v>
      </c>
      <c r="M909" s="47" t="str">
        <f>IFERROR(__xludf.DUMMYFUNCTION("""COMPUTED_VALUE"""),"Fossillady")</f>
        <v>Fossillady</v>
      </c>
    </row>
    <row r="910">
      <c r="A910" s="47" t="str">
        <f>IFERROR(__xludf.DUMMYFUNCTION("""COMPUTED_VALUE"""),"Virtual Brown")</f>
        <v>Virtual Brown</v>
      </c>
      <c r="B910" s="47"/>
      <c r="C910" s="47"/>
      <c r="D910" s="47"/>
      <c r="E910" s="47" t="b">
        <f>IFERROR(__xludf.DUMMYFUNCTION("""COMPUTED_VALUE"""),FALSE)</f>
        <v>0</v>
      </c>
      <c r="F910" s="47"/>
      <c r="G910" s="47" t="str">
        <f>IFERROR(__xludf.DUMMYFUNCTION("""COMPUTED_VALUE"""),"")</f>
        <v/>
      </c>
      <c r="H910" s="47"/>
      <c r="I910" s="47">
        <f>IFERROR(__xludf.DUMMYFUNCTION("""COMPUTED_VALUE"""),0.0)</f>
        <v>0</v>
      </c>
      <c r="J910" s="47" t="str">
        <f>IFERROR(__xludf.DUMMYFUNCTION("""COMPUTED_VALUE"""),"#VALUE!")</f>
        <v>#VALUE!</v>
      </c>
      <c r="K910" s="47"/>
      <c r="L910" s="47"/>
      <c r="M910" s="47"/>
    </row>
    <row r="911">
      <c r="A911" s="47" t="str">
        <f>IFERROR(__xludf.DUMMYFUNCTION("""COMPUTED_VALUE"""),"Virtual Raw Sienna")</f>
        <v>Virtual Raw Sienna</v>
      </c>
      <c r="B911" s="47" t="str">
        <f>IFERROR(__xludf.DUMMYFUNCTION("""COMPUTED_VALUE"""),"hems79")</f>
        <v>hems79</v>
      </c>
      <c r="C911" s="78" t="str">
        <f>IFERROR(__xludf.DUMMYFUNCTION("""COMPUTED_VALUE"""),"https://www.munzee.com/m/hems79/8107/")</f>
        <v>https://www.munzee.com/m/hems79/8107/</v>
      </c>
      <c r="D911" s="47"/>
      <c r="E911" s="47" t="b">
        <f>IFERROR(__xludf.DUMMYFUNCTION("""COMPUTED_VALUE"""),TRUE)</f>
        <v>1</v>
      </c>
      <c r="F911" s="47" t="str">
        <f>IFERROR(__xludf.DUMMYFUNCTION("""COMPUTED_VALUE"""),"")</f>
        <v/>
      </c>
      <c r="G911" s="47" t="str">
        <f>IFERROR(__xludf.DUMMYFUNCTION("""COMPUTED_VALUE"""),"")</f>
        <v/>
      </c>
      <c r="H911" s="47"/>
      <c r="I911" s="47">
        <f>IFERROR(__xludf.DUMMYFUNCTION("""COMPUTED_VALUE"""),2.0)</f>
        <v>2</v>
      </c>
      <c r="J911" s="47" t="str">
        <f>IFERROR(__xludf.DUMMYFUNCTION("""COMPUTED_VALUE"""),"https:")</f>
        <v>https:</v>
      </c>
      <c r="K911" s="78" t="str">
        <f>IFERROR(__xludf.DUMMYFUNCTION("""COMPUTED_VALUE"""),"www.munzee.com")</f>
        <v>www.munzee.com</v>
      </c>
      <c r="L911" s="47" t="str">
        <f>IFERROR(__xludf.DUMMYFUNCTION("""COMPUTED_VALUE"""),"m")</f>
        <v>m</v>
      </c>
      <c r="M911" s="47" t="str">
        <f>IFERROR(__xludf.DUMMYFUNCTION("""COMPUTED_VALUE"""),"hems79")</f>
        <v>hems79</v>
      </c>
    </row>
    <row r="912">
      <c r="A912" s="47" t="str">
        <f>IFERROR(__xludf.DUMMYFUNCTION("""COMPUTED_VALUE"""),"Virtual Brown")</f>
        <v>Virtual Brown</v>
      </c>
      <c r="B912" s="47" t="str">
        <f>IFERROR(__xludf.DUMMYFUNCTION("""COMPUTED_VALUE"""),"cbf600")</f>
        <v>cbf600</v>
      </c>
      <c r="C912" s="78" t="str">
        <f>IFERROR(__xludf.DUMMYFUNCTION("""COMPUTED_VALUE"""),"https://www.munzee.com/m/cbf600/4228/")</f>
        <v>https://www.munzee.com/m/cbf600/4228/</v>
      </c>
      <c r="D912" s="47"/>
      <c r="E912" s="47" t="b">
        <f>IFERROR(__xludf.DUMMYFUNCTION("""COMPUTED_VALUE"""),TRUE)</f>
        <v>1</v>
      </c>
      <c r="F912" s="47" t="str">
        <f>IFERROR(__xludf.DUMMYFUNCTION("""COMPUTED_VALUE"""),"")</f>
        <v/>
      </c>
      <c r="G912" s="47" t="str">
        <f>IFERROR(__xludf.DUMMYFUNCTION("""COMPUTED_VALUE"""),"")</f>
        <v/>
      </c>
      <c r="H912" s="47"/>
      <c r="I912" s="47">
        <f>IFERROR(__xludf.DUMMYFUNCTION("""COMPUTED_VALUE"""),2.0)</f>
        <v>2</v>
      </c>
      <c r="J912" s="47" t="str">
        <f>IFERROR(__xludf.DUMMYFUNCTION("""COMPUTED_VALUE"""),"https:")</f>
        <v>https:</v>
      </c>
      <c r="K912" s="78" t="str">
        <f>IFERROR(__xludf.DUMMYFUNCTION("""COMPUTED_VALUE"""),"www.munzee.com")</f>
        <v>www.munzee.com</v>
      </c>
      <c r="L912" s="47" t="str">
        <f>IFERROR(__xludf.DUMMYFUNCTION("""COMPUTED_VALUE"""),"m")</f>
        <v>m</v>
      </c>
      <c r="M912" s="47" t="str">
        <f>IFERROR(__xludf.DUMMYFUNCTION("""COMPUTED_VALUE"""),"cbf600")</f>
        <v>cbf600</v>
      </c>
    </row>
    <row r="913">
      <c r="A913" s="47" t="str">
        <f>IFERROR(__xludf.DUMMYFUNCTION("""COMPUTED_VALUE"""),"Virtual Raw Sienna")</f>
        <v>Virtual Raw Sienna</v>
      </c>
      <c r="B913" s="47" t="str">
        <f>IFERROR(__xludf.DUMMYFUNCTION("""COMPUTED_VALUE"""),"Anetzet ")</f>
        <v>Anetzet </v>
      </c>
      <c r="C913" s="78" t="str">
        <f>IFERROR(__xludf.DUMMYFUNCTION("""COMPUTED_VALUE"""),"https://www.munzee.com/m/Anetzet/7654/")</f>
        <v>https://www.munzee.com/m/Anetzet/7654/</v>
      </c>
      <c r="D913" s="47"/>
      <c r="E913" s="47" t="b">
        <f>IFERROR(__xludf.DUMMYFUNCTION("""COMPUTED_VALUE"""),TRUE)</f>
        <v>1</v>
      </c>
      <c r="F913" s="47" t="str">
        <f>IFERROR(__xludf.DUMMYFUNCTION("""COMPUTED_VALUE"""),"")</f>
        <v/>
      </c>
      <c r="G913" s="47" t="str">
        <f>IFERROR(__xludf.DUMMYFUNCTION("""COMPUTED_VALUE"""),"")</f>
        <v/>
      </c>
      <c r="H913" s="47"/>
      <c r="I913" s="47">
        <f>IFERROR(__xludf.DUMMYFUNCTION("""COMPUTED_VALUE"""),2.0)</f>
        <v>2</v>
      </c>
      <c r="J913" s="47" t="str">
        <f>IFERROR(__xludf.DUMMYFUNCTION("""COMPUTED_VALUE"""),"https:")</f>
        <v>https:</v>
      </c>
      <c r="K913" s="78" t="str">
        <f>IFERROR(__xludf.DUMMYFUNCTION("""COMPUTED_VALUE"""),"www.munzee.com")</f>
        <v>www.munzee.com</v>
      </c>
      <c r="L913" s="47" t="str">
        <f>IFERROR(__xludf.DUMMYFUNCTION("""COMPUTED_VALUE"""),"m")</f>
        <v>m</v>
      </c>
      <c r="M913" s="47" t="str">
        <f>IFERROR(__xludf.DUMMYFUNCTION("""COMPUTED_VALUE"""),"Anetzet")</f>
        <v>Anetzet</v>
      </c>
    </row>
    <row r="914">
      <c r="A914" s="47" t="str">
        <f>IFERROR(__xludf.DUMMYFUNCTION("""COMPUTED_VALUE"""),"Virtual Brown")</f>
        <v>Virtual Brown</v>
      </c>
      <c r="B914" s="47"/>
      <c r="C914" s="47"/>
      <c r="D914" s="47"/>
      <c r="E914" s="47" t="b">
        <f>IFERROR(__xludf.DUMMYFUNCTION("""COMPUTED_VALUE"""),FALSE)</f>
        <v>0</v>
      </c>
      <c r="F914" s="47"/>
      <c r="G914" s="47" t="str">
        <f>IFERROR(__xludf.DUMMYFUNCTION("""COMPUTED_VALUE"""),"")</f>
        <v/>
      </c>
      <c r="H914" s="47"/>
      <c r="I914" s="47">
        <f>IFERROR(__xludf.DUMMYFUNCTION("""COMPUTED_VALUE"""),0.0)</f>
        <v>0</v>
      </c>
      <c r="J914" s="47" t="str">
        <f>IFERROR(__xludf.DUMMYFUNCTION("""COMPUTED_VALUE"""),"#VALUE!")</f>
        <v>#VALUE!</v>
      </c>
      <c r="K914" s="47"/>
      <c r="L914" s="47"/>
      <c r="M914" s="47"/>
    </row>
    <row r="915">
      <c r="A915" s="47" t="str">
        <f>IFERROR(__xludf.DUMMYFUNCTION("""COMPUTED_VALUE"""),"Virtual Brown")</f>
        <v>Virtual Brown</v>
      </c>
      <c r="B915" s="47" t="str">
        <f>IFERROR(__xludf.DUMMYFUNCTION("""COMPUTED_VALUE"""),"CzPeet")</f>
        <v>CzPeet</v>
      </c>
      <c r="C915" s="78" t="str">
        <f>IFERROR(__xludf.DUMMYFUNCTION("""COMPUTED_VALUE"""),"https://www.munzee.com/m/CzPeet/6763/")</f>
        <v>https://www.munzee.com/m/CzPeet/6763/</v>
      </c>
      <c r="D915" s="47"/>
      <c r="E915" s="47" t="b">
        <f>IFERROR(__xludf.DUMMYFUNCTION("""COMPUTED_VALUE"""),TRUE)</f>
        <v>1</v>
      </c>
      <c r="F915" s="47" t="str">
        <f>IFERROR(__xludf.DUMMYFUNCTION("""COMPUTED_VALUE"""),"")</f>
        <v/>
      </c>
      <c r="G915" s="47" t="str">
        <f>IFERROR(__xludf.DUMMYFUNCTION("""COMPUTED_VALUE"""),"")</f>
        <v/>
      </c>
      <c r="H915" s="47"/>
      <c r="I915" s="47">
        <f>IFERROR(__xludf.DUMMYFUNCTION("""COMPUTED_VALUE"""),2.0)</f>
        <v>2</v>
      </c>
      <c r="J915" s="47" t="str">
        <f>IFERROR(__xludf.DUMMYFUNCTION("""COMPUTED_VALUE"""),"https:")</f>
        <v>https:</v>
      </c>
      <c r="K915" s="78" t="str">
        <f>IFERROR(__xludf.DUMMYFUNCTION("""COMPUTED_VALUE"""),"www.munzee.com")</f>
        <v>www.munzee.com</v>
      </c>
      <c r="L915" s="47" t="str">
        <f>IFERROR(__xludf.DUMMYFUNCTION("""COMPUTED_VALUE"""),"m")</f>
        <v>m</v>
      </c>
      <c r="M915" s="47" t="str">
        <f>IFERROR(__xludf.DUMMYFUNCTION("""COMPUTED_VALUE"""),"CzPeet")</f>
        <v>CzPeet</v>
      </c>
    </row>
    <row r="916">
      <c r="A916" s="47" t="str">
        <f>IFERROR(__xludf.DUMMYFUNCTION("""COMPUTED_VALUE"""),"Virtual Brown")</f>
        <v>Virtual Brown</v>
      </c>
      <c r="B916" s="47" t="str">
        <f>IFERROR(__xludf.DUMMYFUNCTION("""COMPUTED_VALUE""")," CarlisleCachers")</f>
        <v> CarlisleCachers</v>
      </c>
      <c r="C916" s="78" t="str">
        <f>IFERROR(__xludf.DUMMYFUNCTION("""COMPUTED_VALUE"""),"https://www.munzee.com/m/CarlisleCachers/12535/")</f>
        <v>https://www.munzee.com/m/CarlisleCachers/12535/</v>
      </c>
      <c r="D916" s="47"/>
      <c r="E916" s="47" t="b">
        <f>IFERROR(__xludf.DUMMYFUNCTION("""COMPUTED_VALUE"""),TRUE)</f>
        <v>1</v>
      </c>
      <c r="F916" s="47"/>
      <c r="G916" s="47" t="str">
        <f>IFERROR(__xludf.DUMMYFUNCTION("""COMPUTED_VALUE"""),"")</f>
        <v/>
      </c>
      <c r="H916" s="47"/>
      <c r="I916" s="47">
        <f>IFERROR(__xludf.DUMMYFUNCTION("""COMPUTED_VALUE"""),2.0)</f>
        <v>2</v>
      </c>
      <c r="J916" s="47" t="str">
        <f>IFERROR(__xludf.DUMMYFUNCTION("""COMPUTED_VALUE"""),"https:")</f>
        <v>https:</v>
      </c>
      <c r="K916" s="78" t="str">
        <f>IFERROR(__xludf.DUMMYFUNCTION("""COMPUTED_VALUE"""),"www.munzee.com")</f>
        <v>www.munzee.com</v>
      </c>
      <c r="L916" s="47" t="str">
        <f>IFERROR(__xludf.DUMMYFUNCTION("""COMPUTED_VALUE"""),"m")</f>
        <v>m</v>
      </c>
      <c r="M916" s="47" t="str">
        <f>IFERROR(__xludf.DUMMYFUNCTION("""COMPUTED_VALUE"""),"CarlisleCachers")</f>
        <v>CarlisleCachers</v>
      </c>
    </row>
    <row r="917">
      <c r="A917" s="47" t="str">
        <f>IFERROR(__xludf.DUMMYFUNCTION("""COMPUTED_VALUE"""),"Virtual Brown")</f>
        <v>Virtual Brown</v>
      </c>
      <c r="B917" s="47"/>
      <c r="C917" s="47"/>
      <c r="D917" s="47"/>
      <c r="E917" s="47" t="b">
        <f>IFERROR(__xludf.DUMMYFUNCTION("""COMPUTED_VALUE"""),FALSE)</f>
        <v>0</v>
      </c>
      <c r="F917" s="47"/>
      <c r="G917" s="47" t="str">
        <f>IFERROR(__xludf.DUMMYFUNCTION("""COMPUTED_VALUE"""),"")</f>
        <v/>
      </c>
      <c r="H917" s="47"/>
      <c r="I917" s="47">
        <f>IFERROR(__xludf.DUMMYFUNCTION("""COMPUTED_VALUE"""),0.0)</f>
        <v>0</v>
      </c>
      <c r="J917" s="47" t="str">
        <f>IFERROR(__xludf.DUMMYFUNCTION("""COMPUTED_VALUE"""),"#VALUE!")</f>
        <v>#VALUE!</v>
      </c>
      <c r="K917" s="47"/>
      <c r="L917" s="47"/>
      <c r="M917" s="47"/>
    </row>
    <row r="918">
      <c r="A918" s="47" t="str">
        <f>IFERROR(__xludf.DUMMYFUNCTION("""COMPUTED_VALUE"""),"Virtual Brown")</f>
        <v>Virtual Brown</v>
      </c>
      <c r="B918" s="47"/>
      <c r="C918" s="47"/>
      <c r="D918" s="47"/>
      <c r="E918" s="47" t="b">
        <f>IFERROR(__xludf.DUMMYFUNCTION("""COMPUTED_VALUE"""),FALSE)</f>
        <v>0</v>
      </c>
      <c r="F918" s="47"/>
      <c r="G918" s="47" t="str">
        <f>IFERROR(__xludf.DUMMYFUNCTION("""COMPUTED_VALUE"""),"")</f>
        <v/>
      </c>
      <c r="H918" s="47"/>
      <c r="I918" s="47">
        <f>IFERROR(__xludf.DUMMYFUNCTION("""COMPUTED_VALUE"""),0.0)</f>
        <v>0</v>
      </c>
      <c r="J918" s="47" t="str">
        <f>IFERROR(__xludf.DUMMYFUNCTION("""COMPUTED_VALUE"""),"#VALUE!")</f>
        <v>#VALUE!</v>
      </c>
      <c r="K918" s="47"/>
      <c r="L918" s="47"/>
      <c r="M918" s="47"/>
    </row>
    <row r="919">
      <c r="A919" s="47" t="str">
        <f>IFERROR(__xludf.DUMMYFUNCTION("""COMPUTED_VALUE"""),"Virtual Brown")</f>
        <v>Virtual Brown</v>
      </c>
      <c r="B919" s="47" t="str">
        <f>IFERROR(__xludf.DUMMYFUNCTION("""COMPUTED_VALUE"""),"Bisquick2")</f>
        <v>Bisquick2</v>
      </c>
      <c r="C919" s="78" t="str">
        <f>IFERROR(__xludf.DUMMYFUNCTION("""COMPUTED_VALUE"""),"https://www.munzee.com/m/Bisquick2/7510/")</f>
        <v>https://www.munzee.com/m/Bisquick2/7510/</v>
      </c>
      <c r="D919" s="47"/>
      <c r="E919" s="47" t="b">
        <f>IFERROR(__xludf.DUMMYFUNCTION("""COMPUTED_VALUE"""),TRUE)</f>
        <v>1</v>
      </c>
      <c r="F919" s="47" t="str">
        <f>IFERROR(__xludf.DUMMYFUNCTION("""COMPUTED_VALUE"""),"")</f>
        <v/>
      </c>
      <c r="G919" s="47" t="str">
        <f>IFERROR(__xludf.DUMMYFUNCTION("""COMPUTED_VALUE"""),"")</f>
        <v/>
      </c>
      <c r="H919" s="47"/>
      <c r="I919" s="47">
        <f>IFERROR(__xludf.DUMMYFUNCTION("""COMPUTED_VALUE"""),2.0)</f>
        <v>2</v>
      </c>
      <c r="J919" s="47" t="str">
        <f>IFERROR(__xludf.DUMMYFUNCTION("""COMPUTED_VALUE"""),"https:")</f>
        <v>https:</v>
      </c>
      <c r="K919" s="78" t="str">
        <f>IFERROR(__xludf.DUMMYFUNCTION("""COMPUTED_VALUE"""),"www.munzee.com")</f>
        <v>www.munzee.com</v>
      </c>
      <c r="L919" s="47" t="str">
        <f>IFERROR(__xludf.DUMMYFUNCTION("""COMPUTED_VALUE"""),"m")</f>
        <v>m</v>
      </c>
      <c r="M919" s="47" t="str">
        <f>IFERROR(__xludf.DUMMYFUNCTION("""COMPUTED_VALUE"""),"Bisquick2")</f>
        <v>Bisquick2</v>
      </c>
    </row>
    <row r="920">
      <c r="A920" s="47" t="str">
        <f>IFERROR(__xludf.DUMMYFUNCTION("""COMPUTED_VALUE"""),"Virtual Brown")</f>
        <v>Virtual Brown</v>
      </c>
      <c r="B920" s="47" t="str">
        <f>IFERROR(__xludf.DUMMYFUNCTION("""COMPUTED_VALUE"""),"wally62")</f>
        <v>wally62</v>
      </c>
      <c r="C920" s="78" t="str">
        <f>IFERROR(__xludf.DUMMYFUNCTION("""COMPUTED_VALUE"""),"https://www.munzee.com/m/wally62/5752/")</f>
        <v>https://www.munzee.com/m/wally62/5752/</v>
      </c>
      <c r="D920" s="47"/>
      <c r="E920" s="47" t="b">
        <f>IFERROR(__xludf.DUMMYFUNCTION("""COMPUTED_VALUE"""),TRUE)</f>
        <v>1</v>
      </c>
      <c r="F920" s="47" t="str">
        <f>IFERROR(__xludf.DUMMYFUNCTION("""COMPUTED_VALUE"""),"")</f>
        <v/>
      </c>
      <c r="G920" s="47" t="str">
        <f>IFERROR(__xludf.DUMMYFUNCTION("""COMPUTED_VALUE"""),"")</f>
        <v/>
      </c>
      <c r="H920" s="47"/>
      <c r="I920" s="47">
        <f>IFERROR(__xludf.DUMMYFUNCTION("""COMPUTED_VALUE"""),2.0)</f>
        <v>2</v>
      </c>
      <c r="J920" s="47" t="str">
        <f>IFERROR(__xludf.DUMMYFUNCTION("""COMPUTED_VALUE"""),"https:")</f>
        <v>https:</v>
      </c>
      <c r="K920" s="78" t="str">
        <f>IFERROR(__xludf.DUMMYFUNCTION("""COMPUTED_VALUE"""),"www.munzee.com")</f>
        <v>www.munzee.com</v>
      </c>
      <c r="L920" s="47" t="str">
        <f>IFERROR(__xludf.DUMMYFUNCTION("""COMPUTED_VALUE"""),"m")</f>
        <v>m</v>
      </c>
      <c r="M920" s="47" t="str">
        <f>IFERROR(__xludf.DUMMYFUNCTION("""COMPUTED_VALUE"""),"wally62")</f>
        <v>wally62</v>
      </c>
    </row>
    <row r="921">
      <c r="A921" s="47" t="str">
        <f>IFERROR(__xludf.DUMMYFUNCTION("""COMPUTED_VALUE"""),"Virtual Raw Sienna")</f>
        <v>Virtual Raw Sienna</v>
      </c>
      <c r="B921" s="47"/>
      <c r="C921" s="47"/>
      <c r="D921" s="47"/>
      <c r="E921" s="47" t="b">
        <f>IFERROR(__xludf.DUMMYFUNCTION("""COMPUTED_VALUE"""),FALSE)</f>
        <v>0</v>
      </c>
      <c r="F921" s="47"/>
      <c r="G921" s="47" t="str">
        <f>IFERROR(__xludf.DUMMYFUNCTION("""COMPUTED_VALUE"""),"")</f>
        <v/>
      </c>
      <c r="H921" s="47"/>
      <c r="I921" s="47">
        <f>IFERROR(__xludf.DUMMYFUNCTION("""COMPUTED_VALUE"""),0.0)</f>
        <v>0</v>
      </c>
      <c r="J921" s="47" t="str">
        <f>IFERROR(__xludf.DUMMYFUNCTION("""COMPUTED_VALUE"""),"#VALUE!")</f>
        <v>#VALUE!</v>
      </c>
      <c r="K921" s="47"/>
      <c r="L921" s="47"/>
      <c r="M921" s="47"/>
    </row>
    <row r="922">
      <c r="A922" s="47" t="str">
        <f>IFERROR(__xludf.DUMMYFUNCTION("""COMPUTED_VALUE"""),"Virtual Brown")</f>
        <v>Virtual Brown</v>
      </c>
      <c r="B922" s="47"/>
      <c r="C922" s="47"/>
      <c r="D922" s="47"/>
      <c r="E922" s="47" t="b">
        <f>IFERROR(__xludf.DUMMYFUNCTION("""COMPUTED_VALUE"""),FALSE)</f>
        <v>0</v>
      </c>
      <c r="F922" s="47"/>
      <c r="G922" s="47" t="str">
        <f>IFERROR(__xludf.DUMMYFUNCTION("""COMPUTED_VALUE"""),"")</f>
        <v/>
      </c>
      <c r="H922" s="47"/>
      <c r="I922" s="47">
        <f>IFERROR(__xludf.DUMMYFUNCTION("""COMPUTED_VALUE"""),0.0)</f>
        <v>0</v>
      </c>
      <c r="J922" s="47" t="str">
        <f>IFERROR(__xludf.DUMMYFUNCTION("""COMPUTED_VALUE"""),"#VALUE!")</f>
        <v>#VALUE!</v>
      </c>
      <c r="K922" s="47"/>
      <c r="L922" s="47"/>
      <c r="M922" s="47"/>
    </row>
    <row r="923">
      <c r="A923" s="47" t="str">
        <f>IFERROR(__xludf.DUMMYFUNCTION("""COMPUTED_VALUE"""),"Virtual Brown")</f>
        <v>Virtual Brown</v>
      </c>
      <c r="B923" s="47"/>
      <c r="C923" s="47"/>
      <c r="D923" s="47"/>
      <c r="E923" s="47" t="b">
        <f>IFERROR(__xludf.DUMMYFUNCTION("""COMPUTED_VALUE"""),FALSE)</f>
        <v>0</v>
      </c>
      <c r="F923" s="47"/>
      <c r="G923" s="47" t="str">
        <f>IFERROR(__xludf.DUMMYFUNCTION("""COMPUTED_VALUE"""),"")</f>
        <v/>
      </c>
      <c r="H923" s="47"/>
      <c r="I923" s="47">
        <f>IFERROR(__xludf.DUMMYFUNCTION("""COMPUTED_VALUE"""),0.0)</f>
        <v>0</v>
      </c>
      <c r="J923" s="47" t="str">
        <f>IFERROR(__xludf.DUMMYFUNCTION("""COMPUTED_VALUE"""),"#VALUE!")</f>
        <v>#VALUE!</v>
      </c>
      <c r="K923" s="47"/>
      <c r="L923" s="47"/>
      <c r="M923" s="47"/>
    </row>
    <row r="924">
      <c r="A924" s="47" t="str">
        <f>IFERROR(__xludf.DUMMYFUNCTION("""COMPUTED_VALUE"""),"Virtual Raw Sienna")</f>
        <v>Virtual Raw Sienna</v>
      </c>
      <c r="B924" s="47"/>
      <c r="C924" s="47"/>
      <c r="D924" s="47"/>
      <c r="E924" s="47" t="b">
        <f>IFERROR(__xludf.DUMMYFUNCTION("""COMPUTED_VALUE"""),FALSE)</f>
        <v>0</v>
      </c>
      <c r="F924" s="47"/>
      <c r="G924" s="47" t="str">
        <f>IFERROR(__xludf.DUMMYFUNCTION("""COMPUTED_VALUE"""),"")</f>
        <v/>
      </c>
      <c r="H924" s="47"/>
      <c r="I924" s="47">
        <f>IFERROR(__xludf.DUMMYFUNCTION("""COMPUTED_VALUE"""),0.0)</f>
        <v>0</v>
      </c>
      <c r="J924" s="47" t="str">
        <f>IFERROR(__xludf.DUMMYFUNCTION("""COMPUTED_VALUE"""),"#VALUE!")</f>
        <v>#VALUE!</v>
      </c>
      <c r="K924" s="47"/>
      <c r="L924" s="47"/>
      <c r="M924" s="47"/>
    </row>
    <row r="925">
      <c r="A925" s="47" t="str">
        <f>IFERROR(__xludf.DUMMYFUNCTION("""COMPUTED_VALUE"""),"Virtual Brown")</f>
        <v>Virtual Brown</v>
      </c>
      <c r="B925" s="47" t="str">
        <f>IFERROR(__xludf.DUMMYFUNCTION("""COMPUTED_VALUE"""),"TheFrog")</f>
        <v>TheFrog</v>
      </c>
      <c r="C925" s="78" t="str">
        <f>IFERROR(__xludf.DUMMYFUNCTION("""COMPUTED_VALUE"""),"https://www.munzee.com/m/TheFrog/5975/")</f>
        <v>https://www.munzee.com/m/TheFrog/5975/</v>
      </c>
      <c r="D925" s="47"/>
      <c r="E925" s="47" t="b">
        <f>IFERROR(__xludf.DUMMYFUNCTION("""COMPUTED_VALUE"""),TRUE)</f>
        <v>1</v>
      </c>
      <c r="F925" s="47" t="str">
        <f>IFERROR(__xludf.DUMMYFUNCTION("""COMPUTED_VALUE"""),"")</f>
        <v/>
      </c>
      <c r="G925" s="47" t="str">
        <f>IFERROR(__xludf.DUMMYFUNCTION("""COMPUTED_VALUE"""),"")</f>
        <v/>
      </c>
      <c r="H925" s="47"/>
      <c r="I925" s="47">
        <f>IFERROR(__xludf.DUMMYFUNCTION("""COMPUTED_VALUE"""),2.0)</f>
        <v>2</v>
      </c>
      <c r="J925" s="47" t="str">
        <f>IFERROR(__xludf.DUMMYFUNCTION("""COMPUTED_VALUE"""),"https:")</f>
        <v>https:</v>
      </c>
      <c r="K925" s="78" t="str">
        <f>IFERROR(__xludf.DUMMYFUNCTION("""COMPUTED_VALUE"""),"www.munzee.com")</f>
        <v>www.munzee.com</v>
      </c>
      <c r="L925" s="47" t="str">
        <f>IFERROR(__xludf.DUMMYFUNCTION("""COMPUTED_VALUE"""),"m")</f>
        <v>m</v>
      </c>
      <c r="M925" s="47" t="str">
        <f>IFERROR(__xludf.DUMMYFUNCTION("""COMPUTED_VALUE"""),"TheFrog")</f>
        <v>TheFrog</v>
      </c>
    </row>
    <row r="926">
      <c r="A926" s="47" t="str">
        <f>IFERROR(__xludf.DUMMYFUNCTION("""COMPUTED_VALUE"""),"Virtual Brown")</f>
        <v>Virtual Brown</v>
      </c>
      <c r="B926" s="47" t="str">
        <f>IFERROR(__xludf.DUMMYFUNCTION("""COMPUTED_VALUE"""),"123xilef")</f>
        <v>123xilef</v>
      </c>
      <c r="C926" s="78" t="str">
        <f>IFERROR(__xludf.DUMMYFUNCTION("""COMPUTED_VALUE"""),"https://www.munzee.com/m/123xilef/24444/")</f>
        <v>https://www.munzee.com/m/123xilef/24444/</v>
      </c>
      <c r="D926" s="47"/>
      <c r="E926" s="47" t="b">
        <f>IFERROR(__xludf.DUMMYFUNCTION("""COMPUTED_VALUE"""),TRUE)</f>
        <v>1</v>
      </c>
      <c r="F926" s="47" t="str">
        <f>IFERROR(__xludf.DUMMYFUNCTION("""COMPUTED_VALUE"""),"")</f>
        <v/>
      </c>
      <c r="G926" s="47" t="str">
        <f>IFERROR(__xludf.DUMMYFUNCTION("""COMPUTED_VALUE"""),"")</f>
        <v/>
      </c>
      <c r="H926" s="47"/>
      <c r="I926" s="47">
        <f>IFERROR(__xludf.DUMMYFUNCTION("""COMPUTED_VALUE"""),2.0)</f>
        <v>2</v>
      </c>
      <c r="J926" s="47" t="str">
        <f>IFERROR(__xludf.DUMMYFUNCTION("""COMPUTED_VALUE"""),"https:")</f>
        <v>https:</v>
      </c>
      <c r="K926" s="78" t="str">
        <f>IFERROR(__xludf.DUMMYFUNCTION("""COMPUTED_VALUE"""),"www.munzee.com")</f>
        <v>www.munzee.com</v>
      </c>
      <c r="L926" s="47" t="str">
        <f>IFERROR(__xludf.DUMMYFUNCTION("""COMPUTED_VALUE"""),"m")</f>
        <v>m</v>
      </c>
      <c r="M926" s="47" t="str">
        <f>IFERROR(__xludf.DUMMYFUNCTION("""COMPUTED_VALUE"""),"123xilef")</f>
        <v>123xilef</v>
      </c>
    </row>
    <row r="927">
      <c r="A927" s="47" t="str">
        <f>IFERROR(__xludf.DUMMYFUNCTION("""COMPUTED_VALUE"""),"Virtual Raw Sienna")</f>
        <v>Virtual Raw Sienna</v>
      </c>
      <c r="B927" s="47" t="str">
        <f>IFERROR(__xludf.DUMMYFUNCTION("""COMPUTED_VALUE"""),"Whatsoverthere")</f>
        <v>Whatsoverthere</v>
      </c>
      <c r="C927" s="78" t="str">
        <f>IFERROR(__xludf.DUMMYFUNCTION("""COMPUTED_VALUE"""),"https://www.munzee.com/m/Whatsoverthere/8941/")</f>
        <v>https://www.munzee.com/m/Whatsoverthere/8941/</v>
      </c>
      <c r="D927" s="47"/>
      <c r="E927" s="47" t="b">
        <f>IFERROR(__xludf.DUMMYFUNCTION("""COMPUTED_VALUE"""),TRUE)</f>
        <v>1</v>
      </c>
      <c r="F927" s="47" t="str">
        <f>IFERROR(__xludf.DUMMYFUNCTION("""COMPUTED_VALUE"""),"")</f>
        <v/>
      </c>
      <c r="G927" s="47" t="str">
        <f>IFERROR(__xludf.DUMMYFUNCTION("""COMPUTED_VALUE"""),"")</f>
        <v/>
      </c>
      <c r="H927" s="47"/>
      <c r="I927" s="47">
        <f>IFERROR(__xludf.DUMMYFUNCTION("""COMPUTED_VALUE"""),2.0)</f>
        <v>2</v>
      </c>
      <c r="J927" s="47" t="str">
        <f>IFERROR(__xludf.DUMMYFUNCTION("""COMPUTED_VALUE"""),"https:")</f>
        <v>https:</v>
      </c>
      <c r="K927" s="78" t="str">
        <f>IFERROR(__xludf.DUMMYFUNCTION("""COMPUTED_VALUE"""),"www.munzee.com")</f>
        <v>www.munzee.com</v>
      </c>
      <c r="L927" s="47" t="str">
        <f>IFERROR(__xludf.DUMMYFUNCTION("""COMPUTED_VALUE"""),"m")</f>
        <v>m</v>
      </c>
      <c r="M927" s="47" t="str">
        <f>IFERROR(__xludf.DUMMYFUNCTION("""COMPUTED_VALUE"""),"Whatsoverthere")</f>
        <v>Whatsoverthere</v>
      </c>
    </row>
    <row r="928">
      <c r="A928" s="47" t="str">
        <f>IFERROR(__xludf.DUMMYFUNCTION("""COMPUTED_VALUE"""),"Virtual Brown")</f>
        <v>Virtual Brown</v>
      </c>
      <c r="B928" s="47"/>
      <c r="C928" s="47"/>
      <c r="D928" s="47"/>
      <c r="E928" s="47" t="b">
        <f>IFERROR(__xludf.DUMMYFUNCTION("""COMPUTED_VALUE"""),FALSE)</f>
        <v>0</v>
      </c>
      <c r="F928" s="47"/>
      <c r="G928" s="47" t="str">
        <f>IFERROR(__xludf.DUMMYFUNCTION("""COMPUTED_VALUE"""),"")</f>
        <v/>
      </c>
      <c r="H928" s="47"/>
      <c r="I928" s="47">
        <f>IFERROR(__xludf.DUMMYFUNCTION("""COMPUTED_VALUE"""),0.0)</f>
        <v>0</v>
      </c>
      <c r="J928" s="47" t="str">
        <f>IFERROR(__xludf.DUMMYFUNCTION("""COMPUTED_VALUE"""),"#VALUE!")</f>
        <v>#VALUE!</v>
      </c>
      <c r="K928" s="47"/>
      <c r="L928" s="47"/>
      <c r="M928" s="47"/>
    </row>
    <row r="929">
      <c r="A929" s="47" t="str">
        <f>IFERROR(__xludf.DUMMYFUNCTION("""COMPUTED_VALUE"""),"Virtual Brown")</f>
        <v>Virtual Brown</v>
      </c>
      <c r="B929" s="47"/>
      <c r="C929" s="47"/>
      <c r="D929" s="47"/>
      <c r="E929" s="47" t="b">
        <f>IFERROR(__xludf.DUMMYFUNCTION("""COMPUTED_VALUE"""),FALSE)</f>
        <v>0</v>
      </c>
      <c r="F929" s="47"/>
      <c r="G929" s="47" t="str">
        <f>IFERROR(__xludf.DUMMYFUNCTION("""COMPUTED_VALUE"""),"")</f>
        <v/>
      </c>
      <c r="H929" s="47"/>
      <c r="I929" s="47">
        <f>IFERROR(__xludf.DUMMYFUNCTION("""COMPUTED_VALUE"""),0.0)</f>
        <v>0</v>
      </c>
      <c r="J929" s="47" t="str">
        <f>IFERROR(__xludf.DUMMYFUNCTION("""COMPUTED_VALUE"""),"#VALUE!")</f>
        <v>#VALUE!</v>
      </c>
      <c r="K929" s="47"/>
      <c r="L929" s="47"/>
      <c r="M929" s="47"/>
    </row>
    <row r="930">
      <c r="A930" s="47" t="str">
        <f>IFERROR(__xludf.DUMMYFUNCTION("""COMPUTED_VALUE"""),"Virtual Brown")</f>
        <v>Virtual Brown</v>
      </c>
      <c r="B930" s="47"/>
      <c r="C930" s="47"/>
      <c r="D930" s="47"/>
      <c r="E930" s="47" t="b">
        <f>IFERROR(__xludf.DUMMYFUNCTION("""COMPUTED_VALUE"""),FALSE)</f>
        <v>0</v>
      </c>
      <c r="F930" s="47"/>
      <c r="G930" s="47" t="str">
        <f>IFERROR(__xludf.DUMMYFUNCTION("""COMPUTED_VALUE"""),"")</f>
        <v/>
      </c>
      <c r="H930" s="47"/>
      <c r="I930" s="47">
        <f>IFERROR(__xludf.DUMMYFUNCTION("""COMPUTED_VALUE"""),0.0)</f>
        <v>0</v>
      </c>
      <c r="J930" s="47" t="str">
        <f>IFERROR(__xludf.DUMMYFUNCTION("""COMPUTED_VALUE"""),"#VALUE!")</f>
        <v>#VALUE!</v>
      </c>
      <c r="K930" s="47"/>
      <c r="L930" s="47"/>
      <c r="M930" s="47"/>
    </row>
    <row r="931">
      <c r="A931" s="47" t="str">
        <f>IFERROR(__xludf.DUMMYFUNCTION("""COMPUTED_VALUE"""),"Virtual Brown")</f>
        <v>Virtual Brown</v>
      </c>
      <c r="B931" s="47"/>
      <c r="C931" s="47"/>
      <c r="D931" s="47"/>
      <c r="E931" s="47" t="b">
        <f>IFERROR(__xludf.DUMMYFUNCTION("""COMPUTED_VALUE"""),FALSE)</f>
        <v>0</v>
      </c>
      <c r="F931" s="47"/>
      <c r="G931" s="47" t="str">
        <f>IFERROR(__xludf.DUMMYFUNCTION("""COMPUTED_VALUE"""),"")</f>
        <v/>
      </c>
      <c r="H931" s="47"/>
      <c r="I931" s="47">
        <f>IFERROR(__xludf.DUMMYFUNCTION("""COMPUTED_VALUE"""),0.0)</f>
        <v>0</v>
      </c>
      <c r="J931" s="47" t="str">
        <f>IFERROR(__xludf.DUMMYFUNCTION("""COMPUTED_VALUE"""),"#VALUE!")</f>
        <v>#VALUE!</v>
      </c>
      <c r="K931" s="47"/>
      <c r="L931" s="47"/>
      <c r="M931" s="47"/>
    </row>
    <row r="932">
      <c r="A932" s="47" t="str">
        <f>IFERROR(__xludf.DUMMYFUNCTION("""COMPUTED_VALUE"""),"Virtual Brown")</f>
        <v>Virtual Brown</v>
      </c>
      <c r="B932" s="47" t="str">
        <f>IFERROR(__xludf.DUMMYFUNCTION("""COMPUTED_VALUE"""),"mortonfox")</f>
        <v>mortonfox</v>
      </c>
      <c r="C932" s="78" t="str">
        <f>IFERROR(__xludf.DUMMYFUNCTION("""COMPUTED_VALUE"""),"https://www.munzee.com/m/mortonfox/22769/")</f>
        <v>https://www.munzee.com/m/mortonfox/22769/</v>
      </c>
      <c r="D932" s="47"/>
      <c r="E932" s="47" t="b">
        <f>IFERROR(__xludf.DUMMYFUNCTION("""COMPUTED_VALUE"""),TRUE)</f>
        <v>1</v>
      </c>
      <c r="F932" s="47" t="str">
        <f>IFERROR(__xludf.DUMMYFUNCTION("""COMPUTED_VALUE"""),"")</f>
        <v/>
      </c>
      <c r="G932" s="47" t="str">
        <f>IFERROR(__xludf.DUMMYFUNCTION("""COMPUTED_VALUE"""),"")</f>
        <v/>
      </c>
      <c r="H932" s="47"/>
      <c r="I932" s="47">
        <f>IFERROR(__xludf.DUMMYFUNCTION("""COMPUTED_VALUE"""),2.0)</f>
        <v>2</v>
      </c>
      <c r="J932" s="47" t="str">
        <f>IFERROR(__xludf.DUMMYFUNCTION("""COMPUTED_VALUE"""),"https:")</f>
        <v>https:</v>
      </c>
      <c r="K932" s="78" t="str">
        <f>IFERROR(__xludf.DUMMYFUNCTION("""COMPUTED_VALUE"""),"www.munzee.com")</f>
        <v>www.munzee.com</v>
      </c>
      <c r="L932" s="47" t="str">
        <f>IFERROR(__xludf.DUMMYFUNCTION("""COMPUTED_VALUE"""),"m")</f>
        <v>m</v>
      </c>
      <c r="M932" s="47" t="str">
        <f>IFERROR(__xludf.DUMMYFUNCTION("""COMPUTED_VALUE"""),"mortonfox")</f>
        <v>mortonfox</v>
      </c>
    </row>
    <row r="933">
      <c r="A933" s="47" t="str">
        <f>IFERROR(__xludf.DUMMYFUNCTION("""COMPUTED_VALUE"""),"Virtual Brown")</f>
        <v>Virtual Brown</v>
      </c>
      <c r="B933" s="47"/>
      <c r="C933" s="47"/>
      <c r="D933" s="47"/>
      <c r="E933" s="47" t="b">
        <f>IFERROR(__xludf.DUMMYFUNCTION("""COMPUTED_VALUE"""),FALSE)</f>
        <v>0</v>
      </c>
      <c r="F933" s="47"/>
      <c r="G933" s="47" t="str">
        <f>IFERROR(__xludf.DUMMYFUNCTION("""COMPUTED_VALUE"""),"")</f>
        <v/>
      </c>
      <c r="H933" s="47"/>
      <c r="I933" s="47">
        <f>IFERROR(__xludf.DUMMYFUNCTION("""COMPUTED_VALUE"""),0.0)</f>
        <v>0</v>
      </c>
      <c r="J933" s="47" t="str">
        <f>IFERROR(__xludf.DUMMYFUNCTION("""COMPUTED_VALUE"""),"#VALUE!")</f>
        <v>#VALUE!</v>
      </c>
      <c r="K933" s="47"/>
      <c r="L933" s="47"/>
      <c r="M933" s="47"/>
    </row>
    <row r="934">
      <c r="A934" s="47" t="str">
        <f>IFERROR(__xludf.DUMMYFUNCTION("""COMPUTED_VALUE"""),"Virtual Raw Sienna")</f>
        <v>Virtual Raw Sienna</v>
      </c>
      <c r="B934" s="47"/>
      <c r="C934" s="47"/>
      <c r="D934" s="47"/>
      <c r="E934" s="47" t="b">
        <f>IFERROR(__xludf.DUMMYFUNCTION("""COMPUTED_VALUE"""),FALSE)</f>
        <v>0</v>
      </c>
      <c r="F934" s="47"/>
      <c r="G934" s="47" t="str">
        <f>IFERROR(__xludf.DUMMYFUNCTION("""COMPUTED_VALUE"""),"")</f>
        <v/>
      </c>
      <c r="H934" s="47"/>
      <c r="I934" s="47">
        <f>IFERROR(__xludf.DUMMYFUNCTION("""COMPUTED_VALUE"""),0.0)</f>
        <v>0</v>
      </c>
      <c r="J934" s="47" t="str">
        <f>IFERROR(__xludf.DUMMYFUNCTION("""COMPUTED_VALUE"""),"#VALUE!")</f>
        <v>#VALUE!</v>
      </c>
      <c r="K934" s="47"/>
      <c r="L934" s="47"/>
      <c r="M934" s="47"/>
    </row>
    <row r="935">
      <c r="A935" s="47" t="str">
        <f>IFERROR(__xludf.DUMMYFUNCTION("""COMPUTED_VALUE"""),"Virtual Raw Sienna")</f>
        <v>Virtual Raw Sienna</v>
      </c>
      <c r="B935" s="47"/>
      <c r="C935" s="47"/>
      <c r="D935" s="47"/>
      <c r="E935" s="47" t="b">
        <f>IFERROR(__xludf.DUMMYFUNCTION("""COMPUTED_VALUE"""),FALSE)</f>
        <v>0</v>
      </c>
      <c r="F935" s="47"/>
      <c r="G935" s="47" t="str">
        <f>IFERROR(__xludf.DUMMYFUNCTION("""COMPUTED_VALUE"""),"")</f>
        <v/>
      </c>
      <c r="H935" s="47"/>
      <c r="I935" s="47">
        <f>IFERROR(__xludf.DUMMYFUNCTION("""COMPUTED_VALUE"""),0.0)</f>
        <v>0</v>
      </c>
      <c r="J935" s="47" t="str">
        <f>IFERROR(__xludf.DUMMYFUNCTION("""COMPUTED_VALUE"""),"#VALUE!")</f>
        <v>#VALUE!</v>
      </c>
      <c r="K935" s="47"/>
      <c r="L935" s="47"/>
      <c r="M935" s="47"/>
    </row>
    <row r="936">
      <c r="A936" s="47" t="str">
        <f>IFERROR(__xludf.DUMMYFUNCTION("""COMPUTED_VALUE"""),"Virtual Brown")</f>
        <v>Virtual Brown</v>
      </c>
      <c r="B936" s="47"/>
      <c r="C936" s="47"/>
      <c r="D936" s="47"/>
      <c r="E936" s="47" t="b">
        <f>IFERROR(__xludf.DUMMYFUNCTION("""COMPUTED_VALUE"""),FALSE)</f>
        <v>0</v>
      </c>
      <c r="F936" s="47"/>
      <c r="G936" s="47" t="str">
        <f>IFERROR(__xludf.DUMMYFUNCTION("""COMPUTED_VALUE"""),"")</f>
        <v/>
      </c>
      <c r="H936" s="47"/>
      <c r="I936" s="47">
        <f>IFERROR(__xludf.DUMMYFUNCTION("""COMPUTED_VALUE"""),0.0)</f>
        <v>0</v>
      </c>
      <c r="J936" s="47" t="str">
        <f>IFERROR(__xludf.DUMMYFUNCTION("""COMPUTED_VALUE"""),"#VALUE!")</f>
        <v>#VALUE!</v>
      </c>
      <c r="K936" s="47"/>
      <c r="L936" s="47"/>
      <c r="M936" s="47"/>
    </row>
    <row r="937">
      <c r="A937" s="47" t="str">
        <f>IFERROR(__xludf.DUMMYFUNCTION("""COMPUTED_VALUE"""),"Virtual Brown")</f>
        <v>Virtual Brown</v>
      </c>
      <c r="B937" s="47" t="str">
        <f>IFERROR(__xludf.DUMMYFUNCTION("""COMPUTED_VALUE"""),"belladivadee")</f>
        <v>belladivadee</v>
      </c>
      <c r="C937" s="78" t="str">
        <f>IFERROR(__xludf.DUMMYFUNCTION("""COMPUTED_VALUE"""),"https://www.munzee.com/m/Belladivadee/3548")</f>
        <v>https://www.munzee.com/m/Belladivadee/3548</v>
      </c>
      <c r="D937" s="47"/>
      <c r="E937" s="47" t="b">
        <f>IFERROR(__xludf.DUMMYFUNCTION("""COMPUTED_VALUE"""),TRUE)</f>
        <v>1</v>
      </c>
      <c r="F937" s="47" t="str">
        <f>IFERROR(__xludf.DUMMYFUNCTION("""COMPUTED_VALUE"""),"")</f>
        <v/>
      </c>
      <c r="G937" s="47" t="str">
        <f>IFERROR(__xludf.DUMMYFUNCTION("""COMPUTED_VALUE"""),"")</f>
        <v/>
      </c>
      <c r="H937" s="47"/>
      <c r="I937" s="47">
        <f>IFERROR(__xludf.DUMMYFUNCTION("""COMPUTED_VALUE"""),2.0)</f>
        <v>2</v>
      </c>
      <c r="J937" s="47" t="str">
        <f>IFERROR(__xludf.DUMMYFUNCTION("""COMPUTED_VALUE"""),"https:")</f>
        <v>https:</v>
      </c>
      <c r="K937" s="78" t="str">
        <f>IFERROR(__xludf.DUMMYFUNCTION("""COMPUTED_VALUE"""),"www.munzee.com")</f>
        <v>www.munzee.com</v>
      </c>
      <c r="L937" s="47" t="str">
        <f>IFERROR(__xludf.DUMMYFUNCTION("""COMPUTED_VALUE"""),"m")</f>
        <v>m</v>
      </c>
      <c r="M937" s="47" t="str">
        <f>IFERROR(__xludf.DUMMYFUNCTION("""COMPUTED_VALUE"""),"Belladivadee")</f>
        <v>Belladivadee</v>
      </c>
    </row>
    <row r="938">
      <c r="A938" s="47" t="str">
        <f>IFERROR(__xludf.DUMMYFUNCTION("""COMPUTED_VALUE"""),"Virtual Brown")</f>
        <v>Virtual Brown</v>
      </c>
      <c r="B938" s="47" t="str">
        <f>IFERROR(__xludf.DUMMYFUNCTION("""COMPUTED_VALUE"""),"sverlaan")</f>
        <v>sverlaan</v>
      </c>
      <c r="C938" s="78" t="str">
        <f>IFERROR(__xludf.DUMMYFUNCTION("""COMPUTED_VALUE"""),"https://www.munzee.com/m/sverlaan/5173/")</f>
        <v>https://www.munzee.com/m/sverlaan/5173/</v>
      </c>
      <c r="D938" s="47"/>
      <c r="E938" s="47" t="b">
        <f>IFERROR(__xludf.DUMMYFUNCTION("""COMPUTED_VALUE"""),TRUE)</f>
        <v>1</v>
      </c>
      <c r="F938" s="47" t="str">
        <f>IFERROR(__xludf.DUMMYFUNCTION("""COMPUTED_VALUE"""),"")</f>
        <v/>
      </c>
      <c r="G938" s="47" t="str">
        <f>IFERROR(__xludf.DUMMYFUNCTION("""COMPUTED_VALUE"""),"")</f>
        <v/>
      </c>
      <c r="H938" s="47"/>
      <c r="I938" s="47">
        <f>IFERROR(__xludf.DUMMYFUNCTION("""COMPUTED_VALUE"""),2.0)</f>
        <v>2</v>
      </c>
      <c r="J938" s="47" t="str">
        <f>IFERROR(__xludf.DUMMYFUNCTION("""COMPUTED_VALUE"""),"https:")</f>
        <v>https:</v>
      </c>
      <c r="K938" s="78" t="str">
        <f>IFERROR(__xludf.DUMMYFUNCTION("""COMPUTED_VALUE"""),"www.munzee.com")</f>
        <v>www.munzee.com</v>
      </c>
      <c r="L938" s="47" t="str">
        <f>IFERROR(__xludf.DUMMYFUNCTION("""COMPUTED_VALUE"""),"m")</f>
        <v>m</v>
      </c>
      <c r="M938" s="47" t="str">
        <f>IFERROR(__xludf.DUMMYFUNCTION("""COMPUTED_VALUE"""),"sverlaan")</f>
        <v>sverlaan</v>
      </c>
    </row>
    <row r="939">
      <c r="A939" s="47" t="str">
        <f>IFERROR(__xludf.DUMMYFUNCTION("""COMPUTED_VALUE"""),"Virtual Raw Sienna")</f>
        <v>Virtual Raw Sienna</v>
      </c>
      <c r="B939" s="47" t="str">
        <f>IFERROR(__xludf.DUMMYFUNCTION("""COMPUTED_VALUE"""),"emilep68")</f>
        <v>emilep68</v>
      </c>
      <c r="C939" s="78" t="str">
        <f>IFERROR(__xludf.DUMMYFUNCTION("""COMPUTED_VALUE"""),"https://www.munzee.com/m/EmileP68/2783/")</f>
        <v>https://www.munzee.com/m/EmileP68/2783/</v>
      </c>
      <c r="D939" s="47"/>
      <c r="E939" s="47" t="b">
        <f>IFERROR(__xludf.DUMMYFUNCTION("""COMPUTED_VALUE"""),TRUE)</f>
        <v>1</v>
      </c>
      <c r="F939" s="47" t="str">
        <f>IFERROR(__xludf.DUMMYFUNCTION("""COMPUTED_VALUE"""),"")</f>
        <v/>
      </c>
      <c r="G939" s="47" t="str">
        <f>IFERROR(__xludf.DUMMYFUNCTION("""COMPUTED_VALUE"""),"")</f>
        <v/>
      </c>
      <c r="H939" s="47"/>
      <c r="I939" s="47">
        <f>IFERROR(__xludf.DUMMYFUNCTION("""COMPUTED_VALUE"""),2.0)</f>
        <v>2</v>
      </c>
      <c r="J939" s="47" t="str">
        <f>IFERROR(__xludf.DUMMYFUNCTION("""COMPUTED_VALUE"""),"https:")</f>
        <v>https:</v>
      </c>
      <c r="K939" s="78" t="str">
        <f>IFERROR(__xludf.DUMMYFUNCTION("""COMPUTED_VALUE"""),"www.munzee.com")</f>
        <v>www.munzee.com</v>
      </c>
      <c r="L939" s="47" t="str">
        <f>IFERROR(__xludf.DUMMYFUNCTION("""COMPUTED_VALUE"""),"m")</f>
        <v>m</v>
      </c>
      <c r="M939" s="47" t="str">
        <f>IFERROR(__xludf.DUMMYFUNCTION("""COMPUTED_VALUE"""),"EmileP68")</f>
        <v>EmileP68</v>
      </c>
    </row>
    <row r="940">
      <c r="A940" s="47" t="str">
        <f>IFERROR(__xludf.DUMMYFUNCTION("""COMPUTED_VALUE"""),"Virtual Raw Sienna")</f>
        <v>Virtual Raw Sienna</v>
      </c>
      <c r="B940" s="47" t="str">
        <f>IFERROR(__xludf.DUMMYFUNCTION("""COMPUTED_VALUE"""),"pawpatrolthomas")</f>
        <v>pawpatrolthomas</v>
      </c>
      <c r="C940" s="78" t="str">
        <f>IFERROR(__xludf.DUMMYFUNCTION("""COMPUTED_VALUE"""),"https://www.munzee.com/m/PawPatrolThomas/3130/")</f>
        <v>https://www.munzee.com/m/PawPatrolThomas/3130/</v>
      </c>
      <c r="D940" s="47"/>
      <c r="E940" s="47" t="b">
        <f>IFERROR(__xludf.DUMMYFUNCTION("""COMPUTED_VALUE"""),TRUE)</f>
        <v>1</v>
      </c>
      <c r="F940" s="47" t="str">
        <f>IFERROR(__xludf.DUMMYFUNCTION("""COMPUTED_VALUE"""),"")</f>
        <v/>
      </c>
      <c r="G940" s="47" t="str">
        <f>IFERROR(__xludf.DUMMYFUNCTION("""COMPUTED_VALUE"""),"")</f>
        <v/>
      </c>
      <c r="H940" s="47"/>
      <c r="I940" s="47">
        <f>IFERROR(__xludf.DUMMYFUNCTION("""COMPUTED_VALUE"""),2.0)</f>
        <v>2</v>
      </c>
      <c r="J940" s="47" t="str">
        <f>IFERROR(__xludf.DUMMYFUNCTION("""COMPUTED_VALUE"""),"https:")</f>
        <v>https:</v>
      </c>
      <c r="K940" s="78" t="str">
        <f>IFERROR(__xludf.DUMMYFUNCTION("""COMPUTED_VALUE"""),"www.munzee.com")</f>
        <v>www.munzee.com</v>
      </c>
      <c r="L940" s="47" t="str">
        <f>IFERROR(__xludf.DUMMYFUNCTION("""COMPUTED_VALUE"""),"m")</f>
        <v>m</v>
      </c>
      <c r="M940" s="47" t="str">
        <f>IFERROR(__xludf.DUMMYFUNCTION("""COMPUTED_VALUE"""),"PawPatrolThomas")</f>
        <v>PawPatrolThomas</v>
      </c>
    </row>
    <row r="941">
      <c r="A941" s="47" t="str">
        <f>IFERROR(__xludf.DUMMYFUNCTION("""COMPUTED_VALUE"""),"Virtual Brown")</f>
        <v>Virtual Brown</v>
      </c>
      <c r="B941" s="47" t="str">
        <f>IFERROR(__xludf.DUMMYFUNCTION("""COMPUTED_VALUE"""),"all0123")</f>
        <v>all0123</v>
      </c>
      <c r="C941" s="78" t="str">
        <f>IFERROR(__xludf.DUMMYFUNCTION("""COMPUTED_VALUE"""),"https://www.munzee.com/m/all0123/4644/")</f>
        <v>https://www.munzee.com/m/all0123/4644/</v>
      </c>
      <c r="D941" s="47"/>
      <c r="E941" s="47" t="b">
        <f>IFERROR(__xludf.DUMMYFUNCTION("""COMPUTED_VALUE"""),TRUE)</f>
        <v>1</v>
      </c>
      <c r="F941" s="47" t="str">
        <f>IFERROR(__xludf.DUMMYFUNCTION("""COMPUTED_VALUE"""),"")</f>
        <v/>
      </c>
      <c r="G941" s="47" t="str">
        <f>IFERROR(__xludf.DUMMYFUNCTION("""COMPUTED_VALUE"""),"")</f>
        <v/>
      </c>
      <c r="H941" s="47"/>
      <c r="I941" s="47">
        <f>IFERROR(__xludf.DUMMYFUNCTION("""COMPUTED_VALUE"""),2.0)</f>
        <v>2</v>
      </c>
      <c r="J941" s="47" t="str">
        <f>IFERROR(__xludf.DUMMYFUNCTION("""COMPUTED_VALUE"""),"https:")</f>
        <v>https:</v>
      </c>
      <c r="K941" s="78" t="str">
        <f>IFERROR(__xludf.DUMMYFUNCTION("""COMPUTED_VALUE"""),"www.munzee.com")</f>
        <v>www.munzee.com</v>
      </c>
      <c r="L941" s="47" t="str">
        <f>IFERROR(__xludf.DUMMYFUNCTION("""COMPUTED_VALUE"""),"m")</f>
        <v>m</v>
      </c>
      <c r="M941" s="47" t="str">
        <f>IFERROR(__xludf.DUMMYFUNCTION("""COMPUTED_VALUE"""),"all0123")</f>
        <v>all0123</v>
      </c>
    </row>
    <row r="942">
      <c r="A942" s="47" t="str">
        <f>IFERROR(__xludf.DUMMYFUNCTION("""COMPUTED_VALUE"""),"Virtual Brown")</f>
        <v>Virtual Brown</v>
      </c>
      <c r="B942" s="47" t="str">
        <f>IFERROR(__xludf.DUMMYFUNCTION("""COMPUTED_VALUE"""),"J1Huisman")</f>
        <v>J1Huisman</v>
      </c>
      <c r="C942" s="78" t="str">
        <f>IFERROR(__xludf.DUMMYFUNCTION("""COMPUTED_VALUE"""),"https://www.munzee.com/m/J1Huisman/12541/")</f>
        <v>https://www.munzee.com/m/J1Huisman/12541/</v>
      </c>
      <c r="D942" s="47"/>
      <c r="E942" s="47" t="b">
        <f>IFERROR(__xludf.DUMMYFUNCTION("""COMPUTED_VALUE"""),TRUE)</f>
        <v>1</v>
      </c>
      <c r="F942" s="47" t="str">
        <f>IFERROR(__xludf.DUMMYFUNCTION("""COMPUTED_VALUE"""),"")</f>
        <v/>
      </c>
      <c r="G942" s="47" t="str">
        <f>IFERROR(__xludf.DUMMYFUNCTION("""COMPUTED_VALUE"""),"")</f>
        <v/>
      </c>
      <c r="H942" s="47"/>
      <c r="I942" s="47">
        <f>IFERROR(__xludf.DUMMYFUNCTION("""COMPUTED_VALUE"""),2.0)</f>
        <v>2</v>
      </c>
      <c r="J942" s="47" t="str">
        <f>IFERROR(__xludf.DUMMYFUNCTION("""COMPUTED_VALUE"""),"https:")</f>
        <v>https:</v>
      </c>
      <c r="K942" s="78" t="str">
        <f>IFERROR(__xludf.DUMMYFUNCTION("""COMPUTED_VALUE"""),"www.munzee.com")</f>
        <v>www.munzee.com</v>
      </c>
      <c r="L942" s="47" t="str">
        <f>IFERROR(__xludf.DUMMYFUNCTION("""COMPUTED_VALUE"""),"m")</f>
        <v>m</v>
      </c>
      <c r="M942" s="47" t="str">
        <f>IFERROR(__xludf.DUMMYFUNCTION("""COMPUTED_VALUE"""),"J1Huisman")</f>
        <v>J1Huisman</v>
      </c>
    </row>
    <row r="943">
      <c r="A943" s="47" t="str">
        <f>IFERROR(__xludf.DUMMYFUNCTION("""COMPUTED_VALUE"""),"Virtual Brown")</f>
        <v>Virtual Brown</v>
      </c>
      <c r="B943" s="47" t="str">
        <f>IFERROR(__xludf.DUMMYFUNCTION("""COMPUTED_VALUE"""),"Pinkeltje")</f>
        <v>Pinkeltje</v>
      </c>
      <c r="C943" s="78" t="str">
        <f>IFERROR(__xludf.DUMMYFUNCTION("""COMPUTED_VALUE"""),"https://www.munzee.com/m/Pinkeltje/1957/")</f>
        <v>https://www.munzee.com/m/Pinkeltje/1957/</v>
      </c>
      <c r="D943" s="47"/>
      <c r="E943" s="47" t="b">
        <f>IFERROR(__xludf.DUMMYFUNCTION("""COMPUTED_VALUE"""),TRUE)</f>
        <v>1</v>
      </c>
      <c r="F943" s="47" t="str">
        <f>IFERROR(__xludf.DUMMYFUNCTION("""COMPUTED_VALUE"""),"")</f>
        <v/>
      </c>
      <c r="G943" s="47" t="str">
        <f>IFERROR(__xludf.DUMMYFUNCTION("""COMPUTED_VALUE"""),"")</f>
        <v/>
      </c>
      <c r="H943" s="47"/>
      <c r="I943" s="47">
        <f>IFERROR(__xludf.DUMMYFUNCTION("""COMPUTED_VALUE"""),2.0)</f>
        <v>2</v>
      </c>
      <c r="J943" s="47" t="str">
        <f>IFERROR(__xludf.DUMMYFUNCTION("""COMPUTED_VALUE"""),"https:")</f>
        <v>https:</v>
      </c>
      <c r="K943" s="78" t="str">
        <f>IFERROR(__xludf.DUMMYFUNCTION("""COMPUTED_VALUE"""),"www.munzee.com")</f>
        <v>www.munzee.com</v>
      </c>
      <c r="L943" s="47" t="str">
        <f>IFERROR(__xludf.DUMMYFUNCTION("""COMPUTED_VALUE"""),"m")</f>
        <v>m</v>
      </c>
      <c r="M943" s="47" t="str">
        <f>IFERROR(__xludf.DUMMYFUNCTION("""COMPUTED_VALUE"""),"Pinkeltje")</f>
        <v>Pinkeltje</v>
      </c>
    </row>
    <row r="944">
      <c r="A944" s="47" t="str">
        <f>IFERROR(__xludf.DUMMYFUNCTION("""COMPUTED_VALUE"""),"Virtual Raw Sienna")</f>
        <v>Virtual Raw Sienna</v>
      </c>
      <c r="B944" s="47" t="str">
        <f>IFERROR(__xludf.DUMMYFUNCTION("""COMPUTED_VALUE"""),"xrayneex")</f>
        <v>xrayneex</v>
      </c>
      <c r="C944" s="78" t="str">
        <f>IFERROR(__xludf.DUMMYFUNCTION("""COMPUTED_VALUE"""),"https://www.munzee.com/m/xrayneex/2139/")</f>
        <v>https://www.munzee.com/m/xrayneex/2139/</v>
      </c>
      <c r="D944" s="47"/>
      <c r="E944" s="47" t="b">
        <f>IFERROR(__xludf.DUMMYFUNCTION("""COMPUTED_VALUE"""),TRUE)</f>
        <v>1</v>
      </c>
      <c r="F944" s="47" t="str">
        <f>IFERROR(__xludf.DUMMYFUNCTION("""COMPUTED_VALUE"""),"")</f>
        <v/>
      </c>
      <c r="G944" s="47" t="str">
        <f>IFERROR(__xludf.DUMMYFUNCTION("""COMPUTED_VALUE"""),"")</f>
        <v/>
      </c>
      <c r="H944" s="47"/>
      <c r="I944" s="47">
        <f>IFERROR(__xludf.DUMMYFUNCTION("""COMPUTED_VALUE"""),2.0)</f>
        <v>2</v>
      </c>
      <c r="J944" s="47" t="str">
        <f>IFERROR(__xludf.DUMMYFUNCTION("""COMPUTED_VALUE"""),"https:")</f>
        <v>https:</v>
      </c>
      <c r="K944" s="78" t="str">
        <f>IFERROR(__xludf.DUMMYFUNCTION("""COMPUTED_VALUE"""),"www.munzee.com")</f>
        <v>www.munzee.com</v>
      </c>
      <c r="L944" s="47" t="str">
        <f>IFERROR(__xludf.DUMMYFUNCTION("""COMPUTED_VALUE"""),"m")</f>
        <v>m</v>
      </c>
      <c r="M944" s="47" t="str">
        <f>IFERROR(__xludf.DUMMYFUNCTION("""COMPUTED_VALUE"""),"xrayneex")</f>
        <v>xrayneex</v>
      </c>
    </row>
    <row r="945">
      <c r="A945" s="47" t="str">
        <f>IFERROR(__xludf.DUMMYFUNCTION("""COMPUTED_VALUE"""),"Virtual Brown")</f>
        <v>Virtual Brown</v>
      </c>
      <c r="B945" s="47" t="str">
        <f>IFERROR(__xludf.DUMMYFUNCTION("""COMPUTED_VALUE"""),"ArtofEco")</f>
        <v>ArtofEco</v>
      </c>
      <c r="C945" s="78" t="str">
        <f>IFERROR(__xludf.DUMMYFUNCTION("""COMPUTED_VALUE"""),"https://www.munzee.com/m/ArtofEco/3294/")</f>
        <v>https://www.munzee.com/m/ArtofEco/3294/</v>
      </c>
      <c r="D945" s="47"/>
      <c r="E945" s="47" t="b">
        <f>IFERROR(__xludf.DUMMYFUNCTION("""COMPUTED_VALUE"""),TRUE)</f>
        <v>1</v>
      </c>
      <c r="F945" s="47" t="str">
        <f>IFERROR(__xludf.DUMMYFUNCTION("""COMPUTED_VALUE"""),"")</f>
        <v/>
      </c>
      <c r="G945" s="47" t="str">
        <f>IFERROR(__xludf.DUMMYFUNCTION("""COMPUTED_VALUE"""),"")</f>
        <v/>
      </c>
      <c r="H945" s="47"/>
      <c r="I945" s="47">
        <f>IFERROR(__xludf.DUMMYFUNCTION("""COMPUTED_VALUE"""),2.0)</f>
        <v>2</v>
      </c>
      <c r="J945" s="47" t="str">
        <f>IFERROR(__xludf.DUMMYFUNCTION("""COMPUTED_VALUE"""),"https:")</f>
        <v>https:</v>
      </c>
      <c r="K945" s="78" t="str">
        <f>IFERROR(__xludf.DUMMYFUNCTION("""COMPUTED_VALUE"""),"www.munzee.com")</f>
        <v>www.munzee.com</v>
      </c>
      <c r="L945" s="47" t="str">
        <f>IFERROR(__xludf.DUMMYFUNCTION("""COMPUTED_VALUE"""),"m")</f>
        <v>m</v>
      </c>
      <c r="M945" s="47" t="str">
        <f>IFERROR(__xludf.DUMMYFUNCTION("""COMPUTED_VALUE"""),"ArtofEco")</f>
        <v>ArtofEco</v>
      </c>
    </row>
    <row r="946">
      <c r="A946" s="47" t="str">
        <f>IFERROR(__xludf.DUMMYFUNCTION("""COMPUTED_VALUE"""),"Virtual Brown")</f>
        <v>Virtual Brown</v>
      </c>
      <c r="B946" s="47" t="str">
        <f>IFERROR(__xludf.DUMMYFUNCTION("""COMPUTED_VALUE"""),"BrotherWilliam")</f>
        <v>BrotherWilliam</v>
      </c>
      <c r="C946" s="78" t="str">
        <f>IFERROR(__xludf.DUMMYFUNCTION("""COMPUTED_VALUE"""),"https://www.munzee.com/m/BrotherWilliam/4477/")</f>
        <v>https://www.munzee.com/m/BrotherWilliam/4477/</v>
      </c>
      <c r="D946" s="47"/>
      <c r="E946" s="47" t="b">
        <f>IFERROR(__xludf.DUMMYFUNCTION("""COMPUTED_VALUE"""),TRUE)</f>
        <v>1</v>
      </c>
      <c r="F946" s="47" t="str">
        <f>IFERROR(__xludf.DUMMYFUNCTION("""COMPUTED_VALUE"""),"")</f>
        <v/>
      </c>
      <c r="G946" s="47" t="str">
        <f>IFERROR(__xludf.DUMMYFUNCTION("""COMPUTED_VALUE"""),"")</f>
        <v/>
      </c>
      <c r="H946" s="47"/>
      <c r="I946" s="47">
        <f>IFERROR(__xludf.DUMMYFUNCTION("""COMPUTED_VALUE"""),2.0)</f>
        <v>2</v>
      </c>
      <c r="J946" s="47" t="str">
        <f>IFERROR(__xludf.DUMMYFUNCTION("""COMPUTED_VALUE"""),"https:")</f>
        <v>https:</v>
      </c>
      <c r="K946" s="78" t="str">
        <f>IFERROR(__xludf.DUMMYFUNCTION("""COMPUTED_VALUE"""),"www.munzee.com")</f>
        <v>www.munzee.com</v>
      </c>
      <c r="L946" s="47" t="str">
        <f>IFERROR(__xludf.DUMMYFUNCTION("""COMPUTED_VALUE"""),"m")</f>
        <v>m</v>
      </c>
      <c r="M946" s="47" t="str">
        <f>IFERROR(__xludf.DUMMYFUNCTION("""COMPUTED_VALUE"""),"BrotherWilliam")</f>
        <v>BrotherWilliam</v>
      </c>
    </row>
    <row r="947">
      <c r="A947" s="47" t="str">
        <f>IFERROR(__xludf.DUMMYFUNCTION("""COMPUTED_VALUE"""),"Virtual Brown")</f>
        <v>Virtual Brown</v>
      </c>
      <c r="B947" s="47" t="str">
        <f>IFERROR(__xludf.DUMMYFUNCTION("""COMPUTED_VALUE"""),"Drazoria")</f>
        <v>Drazoria</v>
      </c>
      <c r="C947" s="78" t="str">
        <f>IFERROR(__xludf.DUMMYFUNCTION("""COMPUTED_VALUE"""),"https://www.munzee.com/m/Drazoria/1530/")</f>
        <v>https://www.munzee.com/m/Drazoria/1530/</v>
      </c>
      <c r="D947" s="47"/>
      <c r="E947" s="47" t="b">
        <f>IFERROR(__xludf.DUMMYFUNCTION("""COMPUTED_VALUE"""),TRUE)</f>
        <v>1</v>
      </c>
      <c r="F947" s="47" t="str">
        <f>IFERROR(__xludf.DUMMYFUNCTION("""COMPUTED_VALUE"""),"")</f>
        <v/>
      </c>
      <c r="G947" s="47" t="str">
        <f>IFERROR(__xludf.DUMMYFUNCTION("""COMPUTED_VALUE"""),"")</f>
        <v/>
      </c>
      <c r="H947" s="47"/>
      <c r="I947" s="47">
        <f>IFERROR(__xludf.DUMMYFUNCTION("""COMPUTED_VALUE"""),2.0)</f>
        <v>2</v>
      </c>
      <c r="J947" s="47" t="str">
        <f>IFERROR(__xludf.DUMMYFUNCTION("""COMPUTED_VALUE"""),"https:")</f>
        <v>https:</v>
      </c>
      <c r="K947" s="78" t="str">
        <f>IFERROR(__xludf.DUMMYFUNCTION("""COMPUTED_VALUE"""),"www.munzee.com")</f>
        <v>www.munzee.com</v>
      </c>
      <c r="L947" s="47" t="str">
        <f>IFERROR(__xludf.DUMMYFUNCTION("""COMPUTED_VALUE"""),"m")</f>
        <v>m</v>
      </c>
      <c r="M947" s="47" t="str">
        <f>IFERROR(__xludf.DUMMYFUNCTION("""COMPUTED_VALUE"""),"Drazoria")</f>
        <v>Drazoria</v>
      </c>
    </row>
    <row r="948">
      <c r="A948" s="47" t="str">
        <f>IFERROR(__xludf.DUMMYFUNCTION("""COMPUTED_VALUE"""),"Virtual Brown")</f>
        <v>Virtual Brown</v>
      </c>
      <c r="B948" s="47" t="str">
        <f>IFERROR(__xludf.DUMMYFUNCTION("""COMPUTED_VALUE"""),"Tinake1309")</f>
        <v>Tinake1309</v>
      </c>
      <c r="C948" s="78" t="str">
        <f>IFERROR(__xludf.DUMMYFUNCTION("""COMPUTED_VALUE"""),"https://www.munzee.com/m/Tinake1309/1539/")</f>
        <v>https://www.munzee.com/m/Tinake1309/1539/</v>
      </c>
      <c r="D948" s="47"/>
      <c r="E948" s="47" t="b">
        <f>IFERROR(__xludf.DUMMYFUNCTION("""COMPUTED_VALUE"""),TRUE)</f>
        <v>1</v>
      </c>
      <c r="F948" s="47" t="str">
        <f>IFERROR(__xludf.DUMMYFUNCTION("""COMPUTED_VALUE"""),"")</f>
        <v/>
      </c>
      <c r="G948" s="47" t="str">
        <f>IFERROR(__xludf.DUMMYFUNCTION("""COMPUTED_VALUE"""),"")</f>
        <v/>
      </c>
      <c r="H948" s="47"/>
      <c r="I948" s="47">
        <f>IFERROR(__xludf.DUMMYFUNCTION("""COMPUTED_VALUE"""),2.0)</f>
        <v>2</v>
      </c>
      <c r="J948" s="47" t="str">
        <f>IFERROR(__xludf.DUMMYFUNCTION("""COMPUTED_VALUE"""),"https:")</f>
        <v>https:</v>
      </c>
      <c r="K948" s="78" t="str">
        <f>IFERROR(__xludf.DUMMYFUNCTION("""COMPUTED_VALUE"""),"www.munzee.com")</f>
        <v>www.munzee.com</v>
      </c>
      <c r="L948" s="47" t="str">
        <f>IFERROR(__xludf.DUMMYFUNCTION("""COMPUTED_VALUE"""),"m")</f>
        <v>m</v>
      </c>
      <c r="M948" s="47" t="str">
        <f>IFERROR(__xludf.DUMMYFUNCTION("""COMPUTED_VALUE"""),"Tinake1309")</f>
        <v>Tinake1309</v>
      </c>
    </row>
    <row r="949">
      <c r="A949" s="47" t="str">
        <f>IFERROR(__xludf.DUMMYFUNCTION("""COMPUTED_VALUE"""),"Virtual Brown")</f>
        <v>Virtual Brown</v>
      </c>
      <c r="B949" s="47" t="str">
        <f>IFERROR(__xludf.DUMMYFUNCTION("""COMPUTED_VALUE"""),"Berg14")</f>
        <v>Berg14</v>
      </c>
      <c r="C949" s="78" t="str">
        <f>IFERROR(__xludf.DUMMYFUNCTION("""COMPUTED_VALUE"""),"https://www.munzee.com/m/Berg14/1314/")</f>
        <v>https://www.munzee.com/m/Berg14/1314/</v>
      </c>
      <c r="D949" s="47"/>
      <c r="E949" s="47" t="b">
        <f>IFERROR(__xludf.DUMMYFUNCTION("""COMPUTED_VALUE"""),TRUE)</f>
        <v>1</v>
      </c>
      <c r="F949" s="47" t="str">
        <f>IFERROR(__xludf.DUMMYFUNCTION("""COMPUTED_VALUE"""),"")</f>
        <v/>
      </c>
      <c r="G949" s="47" t="str">
        <f>IFERROR(__xludf.DUMMYFUNCTION("""COMPUTED_VALUE"""),"")</f>
        <v/>
      </c>
      <c r="H949" s="47"/>
      <c r="I949" s="47">
        <f>IFERROR(__xludf.DUMMYFUNCTION("""COMPUTED_VALUE"""),2.0)</f>
        <v>2</v>
      </c>
      <c r="J949" s="47" t="str">
        <f>IFERROR(__xludf.DUMMYFUNCTION("""COMPUTED_VALUE"""),"https:")</f>
        <v>https:</v>
      </c>
      <c r="K949" s="78" t="str">
        <f>IFERROR(__xludf.DUMMYFUNCTION("""COMPUTED_VALUE"""),"www.munzee.com")</f>
        <v>www.munzee.com</v>
      </c>
      <c r="L949" s="47" t="str">
        <f>IFERROR(__xludf.DUMMYFUNCTION("""COMPUTED_VALUE"""),"m")</f>
        <v>m</v>
      </c>
      <c r="M949" s="47" t="str">
        <f>IFERROR(__xludf.DUMMYFUNCTION("""COMPUTED_VALUE"""),"Berg14")</f>
        <v>Berg14</v>
      </c>
    </row>
    <row r="950">
      <c r="A950" s="47" t="str">
        <f>IFERROR(__xludf.DUMMYFUNCTION("""COMPUTED_VALUE"""),"Virtual Brown")</f>
        <v>Virtual Brown</v>
      </c>
      <c r="B950" s="47" t="str">
        <f>IFERROR(__xludf.DUMMYFUNCTION("""COMPUTED_VALUE"""),"Niks13")</f>
        <v>Niks13</v>
      </c>
      <c r="C950" s="78" t="str">
        <f>IFERROR(__xludf.DUMMYFUNCTION("""COMPUTED_VALUE"""),"https://www.munzee.com/m/Niks13/1309/")</f>
        <v>https://www.munzee.com/m/Niks13/1309/</v>
      </c>
      <c r="D950" s="47"/>
      <c r="E950" s="47" t="b">
        <f>IFERROR(__xludf.DUMMYFUNCTION("""COMPUTED_VALUE"""),TRUE)</f>
        <v>1</v>
      </c>
      <c r="F950" s="47" t="str">
        <f>IFERROR(__xludf.DUMMYFUNCTION("""COMPUTED_VALUE"""),"")</f>
        <v/>
      </c>
      <c r="G950" s="47" t="str">
        <f>IFERROR(__xludf.DUMMYFUNCTION("""COMPUTED_VALUE"""),"")</f>
        <v/>
      </c>
      <c r="H950" s="47"/>
      <c r="I950" s="47">
        <f>IFERROR(__xludf.DUMMYFUNCTION("""COMPUTED_VALUE"""),2.0)</f>
        <v>2</v>
      </c>
      <c r="J950" s="47" t="str">
        <f>IFERROR(__xludf.DUMMYFUNCTION("""COMPUTED_VALUE"""),"https:")</f>
        <v>https:</v>
      </c>
      <c r="K950" s="78" t="str">
        <f>IFERROR(__xludf.DUMMYFUNCTION("""COMPUTED_VALUE"""),"www.munzee.com")</f>
        <v>www.munzee.com</v>
      </c>
      <c r="L950" s="47" t="str">
        <f>IFERROR(__xludf.DUMMYFUNCTION("""COMPUTED_VALUE"""),"m")</f>
        <v>m</v>
      </c>
      <c r="M950" s="47" t="str">
        <f>IFERROR(__xludf.DUMMYFUNCTION("""COMPUTED_VALUE"""),"Niks13")</f>
        <v>Niks13</v>
      </c>
    </row>
    <row r="951">
      <c r="A951" s="47" t="str">
        <f>IFERROR(__xludf.DUMMYFUNCTION("""COMPUTED_VALUE"""),"Virtual Brown")</f>
        <v>Virtual Brown</v>
      </c>
      <c r="B951" s="47" t="str">
        <f>IFERROR(__xludf.DUMMYFUNCTION("""COMPUTED_VALUE"""),"lison55")</f>
        <v>lison55</v>
      </c>
      <c r="C951" s="78" t="str">
        <f>IFERROR(__xludf.DUMMYFUNCTION("""COMPUTED_VALUE"""),"https://www.munzee.com/m/lison55/6319")</f>
        <v>https://www.munzee.com/m/lison55/6319</v>
      </c>
      <c r="D951" s="47"/>
      <c r="E951" s="47" t="b">
        <f>IFERROR(__xludf.DUMMYFUNCTION("""COMPUTED_VALUE"""),TRUE)</f>
        <v>1</v>
      </c>
      <c r="F951" s="47" t="str">
        <f>IFERROR(__xludf.DUMMYFUNCTION("""COMPUTED_VALUE"""),"")</f>
        <v/>
      </c>
      <c r="G951" s="47" t="str">
        <f>IFERROR(__xludf.DUMMYFUNCTION("""COMPUTED_VALUE"""),"")</f>
        <v/>
      </c>
      <c r="H951" s="47"/>
      <c r="I951" s="47">
        <f>IFERROR(__xludf.DUMMYFUNCTION("""COMPUTED_VALUE"""),2.0)</f>
        <v>2</v>
      </c>
      <c r="J951" s="47" t="str">
        <f>IFERROR(__xludf.DUMMYFUNCTION("""COMPUTED_VALUE"""),"https:")</f>
        <v>https:</v>
      </c>
      <c r="K951" s="78" t="str">
        <f>IFERROR(__xludf.DUMMYFUNCTION("""COMPUTED_VALUE"""),"www.munzee.com")</f>
        <v>www.munzee.com</v>
      </c>
      <c r="L951" s="47" t="str">
        <f>IFERROR(__xludf.DUMMYFUNCTION("""COMPUTED_VALUE"""),"m")</f>
        <v>m</v>
      </c>
      <c r="M951" s="47" t="str">
        <f>IFERROR(__xludf.DUMMYFUNCTION("""COMPUTED_VALUE"""),"lison55")</f>
        <v>lison55</v>
      </c>
    </row>
    <row r="952">
      <c r="A952" s="47" t="str">
        <f>IFERROR(__xludf.DUMMYFUNCTION("""COMPUTED_VALUE"""),"Virtual Brown")</f>
        <v>Virtual Brown</v>
      </c>
      <c r="B952" s="47" t="str">
        <f>IFERROR(__xludf.DUMMYFUNCTION("""COMPUTED_VALUE"""),"fsafranek")</f>
        <v>fsafranek</v>
      </c>
      <c r="C952" s="78" t="str">
        <f>IFERROR(__xludf.DUMMYFUNCTION("""COMPUTED_VALUE"""),"https://www.munzee.com/m/fsafranek/5160/")</f>
        <v>https://www.munzee.com/m/fsafranek/5160/</v>
      </c>
      <c r="D952" s="47"/>
      <c r="E952" s="47" t="b">
        <f>IFERROR(__xludf.DUMMYFUNCTION("""COMPUTED_VALUE"""),TRUE)</f>
        <v>1</v>
      </c>
      <c r="F952" s="47" t="str">
        <f>IFERROR(__xludf.DUMMYFUNCTION("""COMPUTED_VALUE"""),"")</f>
        <v/>
      </c>
      <c r="G952" s="47" t="str">
        <f>IFERROR(__xludf.DUMMYFUNCTION("""COMPUTED_VALUE"""),"")</f>
        <v/>
      </c>
      <c r="H952" s="47"/>
      <c r="I952" s="47">
        <f>IFERROR(__xludf.DUMMYFUNCTION("""COMPUTED_VALUE"""),2.0)</f>
        <v>2</v>
      </c>
      <c r="J952" s="47" t="str">
        <f>IFERROR(__xludf.DUMMYFUNCTION("""COMPUTED_VALUE"""),"https:")</f>
        <v>https:</v>
      </c>
      <c r="K952" s="78" t="str">
        <f>IFERROR(__xludf.DUMMYFUNCTION("""COMPUTED_VALUE"""),"www.munzee.com")</f>
        <v>www.munzee.com</v>
      </c>
      <c r="L952" s="47" t="str">
        <f>IFERROR(__xludf.DUMMYFUNCTION("""COMPUTED_VALUE"""),"m")</f>
        <v>m</v>
      </c>
      <c r="M952" s="47" t="str">
        <f>IFERROR(__xludf.DUMMYFUNCTION("""COMPUTED_VALUE"""),"fsafranek")</f>
        <v>fsafranek</v>
      </c>
    </row>
    <row r="953">
      <c r="A953" s="47" t="str">
        <f>IFERROR(__xludf.DUMMYFUNCTION("""COMPUTED_VALUE"""),"Virtual Brown")</f>
        <v>Virtual Brown</v>
      </c>
      <c r="B953" s="47" t="str">
        <f>IFERROR(__xludf.DUMMYFUNCTION("""COMPUTED_VALUE"""),"barefootguru")</f>
        <v>barefootguru</v>
      </c>
      <c r="C953" s="78" t="str">
        <f>IFERROR(__xludf.DUMMYFUNCTION("""COMPUTED_VALUE"""),"https://www.munzee.com/m/barefootguru/3318/")</f>
        <v>https://www.munzee.com/m/barefootguru/3318/</v>
      </c>
      <c r="D953" s="47"/>
      <c r="E953" s="47" t="b">
        <f>IFERROR(__xludf.DUMMYFUNCTION("""COMPUTED_VALUE"""),TRUE)</f>
        <v>1</v>
      </c>
      <c r="F953" s="47" t="str">
        <f>IFERROR(__xludf.DUMMYFUNCTION("""COMPUTED_VALUE"""),"")</f>
        <v/>
      </c>
      <c r="G953" s="47" t="str">
        <f>IFERROR(__xludf.DUMMYFUNCTION("""COMPUTED_VALUE"""),"")</f>
        <v/>
      </c>
      <c r="H953" s="47"/>
      <c r="I953" s="47">
        <f>IFERROR(__xludf.DUMMYFUNCTION("""COMPUTED_VALUE"""),2.0)</f>
        <v>2</v>
      </c>
      <c r="J953" s="47" t="str">
        <f>IFERROR(__xludf.DUMMYFUNCTION("""COMPUTED_VALUE"""),"https:")</f>
        <v>https:</v>
      </c>
      <c r="K953" s="78" t="str">
        <f>IFERROR(__xludf.DUMMYFUNCTION("""COMPUTED_VALUE"""),"www.munzee.com")</f>
        <v>www.munzee.com</v>
      </c>
      <c r="L953" s="47" t="str">
        <f>IFERROR(__xludf.DUMMYFUNCTION("""COMPUTED_VALUE"""),"m")</f>
        <v>m</v>
      </c>
      <c r="M953" s="47" t="str">
        <f>IFERROR(__xludf.DUMMYFUNCTION("""COMPUTED_VALUE"""),"barefootguru")</f>
        <v>barefootguru</v>
      </c>
    </row>
    <row r="954">
      <c r="A954" s="47" t="str">
        <f>IFERROR(__xludf.DUMMYFUNCTION("""COMPUTED_VALUE"""),"Virtual Brown")</f>
        <v>Virtual Brown</v>
      </c>
      <c r="B954" s="47" t="str">
        <f>IFERROR(__xludf.DUMMYFUNCTION("""COMPUTED_VALUE"""),"TheFatCats")</f>
        <v>TheFatCats</v>
      </c>
      <c r="C954" s="78" t="str">
        <f>IFERROR(__xludf.DUMMYFUNCTION("""COMPUTED_VALUE"""),"https://www.munzee.com/m/TheFatCats/4809/")</f>
        <v>https://www.munzee.com/m/TheFatCats/4809/</v>
      </c>
      <c r="D954" s="47"/>
      <c r="E954" s="47" t="b">
        <f>IFERROR(__xludf.DUMMYFUNCTION("""COMPUTED_VALUE"""),TRUE)</f>
        <v>1</v>
      </c>
      <c r="F954" s="47" t="str">
        <f>IFERROR(__xludf.DUMMYFUNCTION("""COMPUTED_VALUE"""),"")</f>
        <v/>
      </c>
      <c r="G954" s="47" t="str">
        <f>IFERROR(__xludf.DUMMYFUNCTION("""COMPUTED_VALUE"""),"")</f>
        <v/>
      </c>
      <c r="H954" s="47"/>
      <c r="I954" s="47">
        <f>IFERROR(__xludf.DUMMYFUNCTION("""COMPUTED_VALUE"""),2.0)</f>
        <v>2</v>
      </c>
      <c r="J954" s="47" t="str">
        <f>IFERROR(__xludf.DUMMYFUNCTION("""COMPUTED_VALUE"""),"https:")</f>
        <v>https:</v>
      </c>
      <c r="K954" s="78" t="str">
        <f>IFERROR(__xludf.DUMMYFUNCTION("""COMPUTED_VALUE"""),"www.munzee.com")</f>
        <v>www.munzee.com</v>
      </c>
      <c r="L954" s="47" t="str">
        <f>IFERROR(__xludf.DUMMYFUNCTION("""COMPUTED_VALUE"""),"m")</f>
        <v>m</v>
      </c>
      <c r="M954" s="47" t="str">
        <f>IFERROR(__xludf.DUMMYFUNCTION("""COMPUTED_VALUE"""),"TheFatCats")</f>
        <v>TheFatCats</v>
      </c>
    </row>
    <row r="955">
      <c r="A955" s="47" t="str">
        <f>IFERROR(__xludf.DUMMYFUNCTION("""COMPUTED_VALUE"""),"Virtual Brown")</f>
        <v>Virtual Brown</v>
      </c>
      <c r="B955" s="47" t="str">
        <f>IFERROR(__xludf.DUMMYFUNCTION("""COMPUTED_VALUE"""),"jennbaby82")</f>
        <v>jennbaby82</v>
      </c>
      <c r="C955" s="78" t="str">
        <f>IFERROR(__xludf.DUMMYFUNCTION("""COMPUTED_VALUE"""),"https://www.munzee.com/m/Jennbaby82/6437")</f>
        <v>https://www.munzee.com/m/Jennbaby82/6437</v>
      </c>
      <c r="D955" s="47"/>
      <c r="E955" s="47" t="b">
        <f>IFERROR(__xludf.DUMMYFUNCTION("""COMPUTED_VALUE"""),TRUE)</f>
        <v>1</v>
      </c>
      <c r="F955" s="47" t="str">
        <f>IFERROR(__xludf.DUMMYFUNCTION("""COMPUTED_VALUE"""),"")</f>
        <v/>
      </c>
      <c r="G955" s="47" t="str">
        <f>IFERROR(__xludf.DUMMYFUNCTION("""COMPUTED_VALUE"""),"")</f>
        <v/>
      </c>
      <c r="H955" s="47"/>
      <c r="I955" s="47">
        <f>IFERROR(__xludf.DUMMYFUNCTION("""COMPUTED_VALUE"""),2.0)</f>
        <v>2</v>
      </c>
      <c r="J955" s="47" t="str">
        <f>IFERROR(__xludf.DUMMYFUNCTION("""COMPUTED_VALUE"""),"https:")</f>
        <v>https:</v>
      </c>
      <c r="K955" s="78" t="str">
        <f>IFERROR(__xludf.DUMMYFUNCTION("""COMPUTED_VALUE"""),"www.munzee.com")</f>
        <v>www.munzee.com</v>
      </c>
      <c r="L955" s="47" t="str">
        <f>IFERROR(__xludf.DUMMYFUNCTION("""COMPUTED_VALUE"""),"m")</f>
        <v>m</v>
      </c>
      <c r="M955" s="47" t="str">
        <f>IFERROR(__xludf.DUMMYFUNCTION("""COMPUTED_VALUE"""),"Jennbaby82")</f>
        <v>Jennbaby82</v>
      </c>
    </row>
    <row r="956">
      <c r="A956" s="47" t="str">
        <f>IFERROR(__xludf.DUMMYFUNCTION("""COMPUTED_VALUE"""),"Virtual Raw Sienna")</f>
        <v>Virtual Raw Sienna</v>
      </c>
      <c r="B956" s="47" t="str">
        <f>IFERROR(__xludf.DUMMYFUNCTION("""COMPUTED_VALUE"""),"res2100")</f>
        <v>res2100</v>
      </c>
      <c r="C956" s="78" t="str">
        <f>IFERROR(__xludf.DUMMYFUNCTION("""COMPUTED_VALUE"""),"https://www.munzee.com/m/res2100/833")</f>
        <v>https://www.munzee.com/m/res2100/833</v>
      </c>
      <c r="D956" s="47"/>
      <c r="E956" s="47" t="b">
        <f>IFERROR(__xludf.DUMMYFUNCTION("""COMPUTED_VALUE"""),TRUE)</f>
        <v>1</v>
      </c>
      <c r="F956" s="47" t="str">
        <f>IFERROR(__xludf.DUMMYFUNCTION("""COMPUTED_VALUE"""),"")</f>
        <v/>
      </c>
      <c r="G956" s="47" t="str">
        <f>IFERROR(__xludf.DUMMYFUNCTION("""COMPUTED_VALUE"""),"")</f>
        <v/>
      </c>
      <c r="H956" s="47"/>
      <c r="I956" s="47">
        <f>IFERROR(__xludf.DUMMYFUNCTION("""COMPUTED_VALUE"""),2.0)</f>
        <v>2</v>
      </c>
      <c r="J956" s="47" t="str">
        <f>IFERROR(__xludf.DUMMYFUNCTION("""COMPUTED_VALUE"""),"https:")</f>
        <v>https:</v>
      </c>
      <c r="K956" s="78" t="str">
        <f>IFERROR(__xludf.DUMMYFUNCTION("""COMPUTED_VALUE"""),"www.munzee.com")</f>
        <v>www.munzee.com</v>
      </c>
      <c r="L956" s="47" t="str">
        <f>IFERROR(__xludf.DUMMYFUNCTION("""COMPUTED_VALUE"""),"m")</f>
        <v>m</v>
      </c>
      <c r="M956" s="47" t="str">
        <f>IFERROR(__xludf.DUMMYFUNCTION("""COMPUTED_VALUE"""),"res2100")</f>
        <v>res2100</v>
      </c>
    </row>
    <row r="957">
      <c r="A957" s="47" t="str">
        <f>IFERROR(__xludf.DUMMYFUNCTION("""COMPUTED_VALUE"""),"Virtual Brown")</f>
        <v>Virtual Brown</v>
      </c>
      <c r="B957" s="47" t="str">
        <f>IFERROR(__xludf.DUMMYFUNCTION("""COMPUTED_VALUE"""),"lupo6")</f>
        <v>lupo6</v>
      </c>
      <c r="C957" s="78" t="str">
        <f>IFERROR(__xludf.DUMMYFUNCTION("""COMPUTED_VALUE"""),"https://www.munzee.com/m/lupo6/6969")</f>
        <v>https://www.munzee.com/m/lupo6/6969</v>
      </c>
      <c r="D957" s="47"/>
      <c r="E957" s="47" t="b">
        <f>IFERROR(__xludf.DUMMYFUNCTION("""COMPUTED_VALUE"""),TRUE)</f>
        <v>1</v>
      </c>
      <c r="F957" s="47" t="str">
        <f>IFERROR(__xludf.DUMMYFUNCTION("""COMPUTED_VALUE"""),"")</f>
        <v/>
      </c>
      <c r="G957" s="47" t="str">
        <f>IFERROR(__xludf.DUMMYFUNCTION("""COMPUTED_VALUE"""),"")</f>
        <v/>
      </c>
      <c r="H957" s="47"/>
      <c r="I957" s="47">
        <f>IFERROR(__xludf.DUMMYFUNCTION("""COMPUTED_VALUE"""),2.0)</f>
        <v>2</v>
      </c>
      <c r="J957" s="47" t="str">
        <f>IFERROR(__xludf.DUMMYFUNCTION("""COMPUTED_VALUE"""),"https:")</f>
        <v>https:</v>
      </c>
      <c r="K957" s="78" t="str">
        <f>IFERROR(__xludf.DUMMYFUNCTION("""COMPUTED_VALUE"""),"www.munzee.com")</f>
        <v>www.munzee.com</v>
      </c>
      <c r="L957" s="47" t="str">
        <f>IFERROR(__xludf.DUMMYFUNCTION("""COMPUTED_VALUE"""),"m")</f>
        <v>m</v>
      </c>
      <c r="M957" s="47" t="str">
        <f>IFERROR(__xludf.DUMMYFUNCTION("""COMPUTED_VALUE"""),"lupo6")</f>
        <v>lupo6</v>
      </c>
    </row>
    <row r="958">
      <c r="A958" s="47" t="str">
        <f>IFERROR(__xludf.DUMMYFUNCTION("""COMPUTED_VALUE"""),"Virtual Brown")</f>
        <v>Virtual Brown</v>
      </c>
      <c r="B958" s="47" t="str">
        <f>IFERROR(__xludf.DUMMYFUNCTION("""COMPUTED_VALUE"""),"Anetzet")</f>
        <v>Anetzet</v>
      </c>
      <c r="C958" s="78" t="str">
        <f>IFERROR(__xludf.DUMMYFUNCTION("""COMPUTED_VALUE"""),"https://www.munzee.com/m/Anetzet/3883/")</f>
        <v>https://www.munzee.com/m/Anetzet/3883/</v>
      </c>
      <c r="D958" s="47"/>
      <c r="E958" s="47" t="b">
        <f>IFERROR(__xludf.DUMMYFUNCTION("""COMPUTED_VALUE"""),TRUE)</f>
        <v>1</v>
      </c>
      <c r="F958" s="47" t="str">
        <f>IFERROR(__xludf.DUMMYFUNCTION("""COMPUTED_VALUE"""),"")</f>
        <v/>
      </c>
      <c r="G958" s="47" t="str">
        <f>IFERROR(__xludf.DUMMYFUNCTION("""COMPUTED_VALUE"""),"")</f>
        <v/>
      </c>
      <c r="H958" s="47"/>
      <c r="I958" s="47">
        <f>IFERROR(__xludf.DUMMYFUNCTION("""COMPUTED_VALUE"""),2.0)</f>
        <v>2</v>
      </c>
      <c r="J958" s="47" t="str">
        <f>IFERROR(__xludf.DUMMYFUNCTION("""COMPUTED_VALUE"""),"https:")</f>
        <v>https:</v>
      </c>
      <c r="K958" s="78" t="str">
        <f>IFERROR(__xludf.DUMMYFUNCTION("""COMPUTED_VALUE"""),"www.munzee.com")</f>
        <v>www.munzee.com</v>
      </c>
      <c r="L958" s="47" t="str">
        <f>IFERROR(__xludf.DUMMYFUNCTION("""COMPUTED_VALUE"""),"m")</f>
        <v>m</v>
      </c>
      <c r="M958" s="47" t="str">
        <f>IFERROR(__xludf.DUMMYFUNCTION("""COMPUTED_VALUE"""),"Anetzet")</f>
        <v>Anetzet</v>
      </c>
    </row>
    <row r="959">
      <c r="A959" s="47" t="str">
        <f>IFERROR(__xludf.DUMMYFUNCTION("""COMPUTED_VALUE"""),"Virtual Brown")</f>
        <v>Virtual Brown</v>
      </c>
      <c r="B959" s="47" t="str">
        <f>IFERROR(__xludf.DUMMYFUNCTION("""COMPUTED_VALUE"""),"GroteSufferd")</f>
        <v>GroteSufferd</v>
      </c>
      <c r="C959" s="78" t="str">
        <f>IFERROR(__xludf.DUMMYFUNCTION("""COMPUTED_VALUE"""),"https://www.munzee.com/m/GroteSufferd/545/")</f>
        <v>https://www.munzee.com/m/GroteSufferd/545/</v>
      </c>
      <c r="D959" s="47"/>
      <c r="E959" s="47" t="b">
        <f>IFERROR(__xludf.DUMMYFUNCTION("""COMPUTED_VALUE"""),TRUE)</f>
        <v>1</v>
      </c>
      <c r="F959" s="47" t="str">
        <f>IFERROR(__xludf.DUMMYFUNCTION("""COMPUTED_VALUE"""),"")</f>
        <v/>
      </c>
      <c r="G959" s="47" t="str">
        <f>IFERROR(__xludf.DUMMYFUNCTION("""COMPUTED_VALUE"""),"")</f>
        <v/>
      </c>
      <c r="H959" s="47"/>
      <c r="I959" s="47">
        <f>IFERROR(__xludf.DUMMYFUNCTION("""COMPUTED_VALUE"""),2.0)</f>
        <v>2</v>
      </c>
      <c r="J959" s="47" t="str">
        <f>IFERROR(__xludf.DUMMYFUNCTION("""COMPUTED_VALUE"""),"https:")</f>
        <v>https:</v>
      </c>
      <c r="K959" s="78" t="str">
        <f>IFERROR(__xludf.DUMMYFUNCTION("""COMPUTED_VALUE"""),"www.munzee.com")</f>
        <v>www.munzee.com</v>
      </c>
      <c r="L959" s="47" t="str">
        <f>IFERROR(__xludf.DUMMYFUNCTION("""COMPUTED_VALUE"""),"m")</f>
        <v>m</v>
      </c>
      <c r="M959" s="47" t="str">
        <f>IFERROR(__xludf.DUMMYFUNCTION("""COMPUTED_VALUE"""),"GroteSufferd")</f>
        <v>GroteSufferd</v>
      </c>
    </row>
    <row r="960">
      <c r="A960" s="47" t="str">
        <f>IFERROR(__xludf.DUMMYFUNCTION("""COMPUTED_VALUE"""),"Virtual Raw Sienna")</f>
        <v>Virtual Raw Sienna</v>
      </c>
      <c r="B960" s="47" t="str">
        <f>IFERROR(__xludf.DUMMYFUNCTION("""COMPUTED_VALUE"""),"Ellesche")</f>
        <v>Ellesche</v>
      </c>
      <c r="C960" s="78" t="str">
        <f>IFERROR(__xludf.DUMMYFUNCTION("""COMPUTED_VALUE"""),"https://www.munzee.com/m/Ellesche/794")</f>
        <v>https://www.munzee.com/m/Ellesche/794</v>
      </c>
      <c r="D960" s="47"/>
      <c r="E960" s="47" t="b">
        <f>IFERROR(__xludf.DUMMYFUNCTION("""COMPUTED_VALUE"""),TRUE)</f>
        <v>1</v>
      </c>
      <c r="F960" s="47" t="str">
        <f>IFERROR(__xludf.DUMMYFUNCTION("""COMPUTED_VALUE"""),"")</f>
        <v/>
      </c>
      <c r="G960" s="47" t="str">
        <f>IFERROR(__xludf.DUMMYFUNCTION("""COMPUTED_VALUE"""),"")</f>
        <v/>
      </c>
      <c r="H960" s="47"/>
      <c r="I960" s="47">
        <f>IFERROR(__xludf.DUMMYFUNCTION("""COMPUTED_VALUE"""),2.0)</f>
        <v>2</v>
      </c>
      <c r="J960" s="47" t="str">
        <f>IFERROR(__xludf.DUMMYFUNCTION("""COMPUTED_VALUE"""),"https:")</f>
        <v>https:</v>
      </c>
      <c r="K960" s="78" t="str">
        <f>IFERROR(__xludf.DUMMYFUNCTION("""COMPUTED_VALUE"""),"www.munzee.com")</f>
        <v>www.munzee.com</v>
      </c>
      <c r="L960" s="47" t="str">
        <f>IFERROR(__xludf.DUMMYFUNCTION("""COMPUTED_VALUE"""),"m")</f>
        <v>m</v>
      </c>
      <c r="M960" s="47" t="str">
        <f>IFERROR(__xludf.DUMMYFUNCTION("""COMPUTED_VALUE"""),"Ellesche")</f>
        <v>Ellesche</v>
      </c>
    </row>
    <row r="961">
      <c r="A961" s="47" t="str">
        <f>IFERROR(__xludf.DUMMYFUNCTION("""COMPUTED_VALUE"""),"Virtual Brown")</f>
        <v>Virtual Brown</v>
      </c>
      <c r="B961" s="47" t="str">
        <f>IFERROR(__xludf.DUMMYFUNCTION("""COMPUTED_VALUE"""),"OdinsFire")</f>
        <v>OdinsFire</v>
      </c>
      <c r="C961" s="78" t="str">
        <f>IFERROR(__xludf.DUMMYFUNCTION("""COMPUTED_VALUE"""),"https://www.munzee.com/m/OdinsFiRe/1982/")</f>
        <v>https://www.munzee.com/m/OdinsFiRe/1982/</v>
      </c>
      <c r="D961" s="47"/>
      <c r="E961" s="47" t="b">
        <f>IFERROR(__xludf.DUMMYFUNCTION("""COMPUTED_VALUE"""),TRUE)</f>
        <v>1</v>
      </c>
      <c r="F961" s="47" t="str">
        <f>IFERROR(__xludf.DUMMYFUNCTION("""COMPUTED_VALUE"""),"")</f>
        <v/>
      </c>
      <c r="G961" s="47" t="str">
        <f>IFERROR(__xludf.DUMMYFUNCTION("""COMPUTED_VALUE"""),"")</f>
        <v/>
      </c>
      <c r="H961" s="47"/>
      <c r="I961" s="47">
        <f>IFERROR(__xludf.DUMMYFUNCTION("""COMPUTED_VALUE"""),2.0)</f>
        <v>2</v>
      </c>
      <c r="J961" s="47" t="str">
        <f>IFERROR(__xludf.DUMMYFUNCTION("""COMPUTED_VALUE"""),"https:")</f>
        <v>https:</v>
      </c>
      <c r="K961" s="78" t="str">
        <f>IFERROR(__xludf.DUMMYFUNCTION("""COMPUTED_VALUE"""),"www.munzee.com")</f>
        <v>www.munzee.com</v>
      </c>
      <c r="L961" s="47" t="str">
        <f>IFERROR(__xludf.DUMMYFUNCTION("""COMPUTED_VALUE"""),"m")</f>
        <v>m</v>
      </c>
      <c r="M961" s="47" t="str">
        <f>IFERROR(__xludf.DUMMYFUNCTION("""COMPUTED_VALUE"""),"OdinsFiRe")</f>
        <v>OdinsFiRe</v>
      </c>
    </row>
    <row r="962">
      <c r="A962" s="47" t="str">
        <f>IFERROR(__xludf.DUMMYFUNCTION("""COMPUTED_VALUE"""),"Virtual Brown")</f>
        <v>Virtual Brown</v>
      </c>
      <c r="B962" s="47" t="str">
        <f>IFERROR(__xludf.DUMMYFUNCTION("""COMPUTED_VALUE"""),"crscousins")</f>
        <v>crscousins</v>
      </c>
      <c r="C962" s="78" t="str">
        <f>IFERROR(__xludf.DUMMYFUNCTION("""COMPUTED_VALUE"""),"https://www.munzee.com/m/crscousins/4107/")</f>
        <v>https://www.munzee.com/m/crscousins/4107/</v>
      </c>
      <c r="D962" s="47"/>
      <c r="E962" s="47" t="b">
        <f>IFERROR(__xludf.DUMMYFUNCTION("""COMPUTED_VALUE"""),TRUE)</f>
        <v>1</v>
      </c>
      <c r="F962" s="47" t="str">
        <f>IFERROR(__xludf.DUMMYFUNCTION("""COMPUTED_VALUE"""),"")</f>
        <v/>
      </c>
      <c r="G962" s="47" t="str">
        <f>IFERROR(__xludf.DUMMYFUNCTION("""COMPUTED_VALUE"""),"")</f>
        <v/>
      </c>
      <c r="H962" s="47"/>
      <c r="I962" s="47">
        <f>IFERROR(__xludf.DUMMYFUNCTION("""COMPUTED_VALUE"""),2.0)</f>
        <v>2</v>
      </c>
      <c r="J962" s="47" t="str">
        <f>IFERROR(__xludf.DUMMYFUNCTION("""COMPUTED_VALUE"""),"https:")</f>
        <v>https:</v>
      </c>
      <c r="K962" s="78" t="str">
        <f>IFERROR(__xludf.DUMMYFUNCTION("""COMPUTED_VALUE"""),"www.munzee.com")</f>
        <v>www.munzee.com</v>
      </c>
      <c r="L962" s="47" t="str">
        <f>IFERROR(__xludf.DUMMYFUNCTION("""COMPUTED_VALUE"""),"m")</f>
        <v>m</v>
      </c>
      <c r="M962" s="47" t="str">
        <f>IFERROR(__xludf.DUMMYFUNCTION("""COMPUTED_VALUE"""),"crscousins")</f>
        <v>crscousins</v>
      </c>
    </row>
    <row r="963">
      <c r="A963" s="47" t="str">
        <f>IFERROR(__xludf.DUMMYFUNCTION("""COMPUTED_VALUE"""),"Virtual Raw Sienna")</f>
        <v>Virtual Raw Sienna</v>
      </c>
      <c r="B963" s="47" t="str">
        <f>IFERROR(__xludf.DUMMYFUNCTION("""COMPUTED_VALUE"""),"TheFatCats")</f>
        <v>TheFatCats</v>
      </c>
      <c r="C963" s="78" t="str">
        <f>IFERROR(__xludf.DUMMYFUNCTION("""COMPUTED_VALUE"""),"https://www.munzee.com/m/TheFatCats/4812/")</f>
        <v>https://www.munzee.com/m/TheFatCats/4812/</v>
      </c>
      <c r="D963" s="47"/>
      <c r="E963" s="47" t="b">
        <f>IFERROR(__xludf.DUMMYFUNCTION("""COMPUTED_VALUE"""),TRUE)</f>
        <v>1</v>
      </c>
      <c r="F963" s="47" t="str">
        <f>IFERROR(__xludf.DUMMYFUNCTION("""COMPUTED_VALUE"""),"")</f>
        <v/>
      </c>
      <c r="G963" s="47" t="str">
        <f>IFERROR(__xludf.DUMMYFUNCTION("""COMPUTED_VALUE"""),"")</f>
        <v/>
      </c>
      <c r="H963" s="47"/>
      <c r="I963" s="47">
        <f>IFERROR(__xludf.DUMMYFUNCTION("""COMPUTED_VALUE"""),2.0)</f>
        <v>2</v>
      </c>
      <c r="J963" s="47" t="str">
        <f>IFERROR(__xludf.DUMMYFUNCTION("""COMPUTED_VALUE"""),"https:")</f>
        <v>https:</v>
      </c>
      <c r="K963" s="78" t="str">
        <f>IFERROR(__xludf.DUMMYFUNCTION("""COMPUTED_VALUE"""),"www.munzee.com")</f>
        <v>www.munzee.com</v>
      </c>
      <c r="L963" s="47" t="str">
        <f>IFERROR(__xludf.DUMMYFUNCTION("""COMPUTED_VALUE"""),"m")</f>
        <v>m</v>
      </c>
      <c r="M963" s="47" t="str">
        <f>IFERROR(__xludf.DUMMYFUNCTION("""COMPUTED_VALUE"""),"TheFatCats")</f>
        <v>TheFatCats</v>
      </c>
    </row>
    <row r="964">
      <c r="A964" s="47" t="str">
        <f>IFERROR(__xludf.DUMMYFUNCTION("""COMPUTED_VALUE"""),"Virtual Brown")</f>
        <v>Virtual Brown</v>
      </c>
      <c r="B964" s="47" t="str">
        <f>IFERROR(__xludf.DUMMYFUNCTION("""COMPUTED_VALUE"""),"cbf600")</f>
        <v>cbf600</v>
      </c>
      <c r="C964" s="78" t="str">
        <f>IFERROR(__xludf.DUMMYFUNCTION("""COMPUTED_VALUE"""),"https://www.munzee.com/m/cbf600/2791/")</f>
        <v>https://www.munzee.com/m/cbf600/2791/</v>
      </c>
      <c r="D964" s="47"/>
      <c r="E964" s="47" t="b">
        <f>IFERROR(__xludf.DUMMYFUNCTION("""COMPUTED_VALUE"""),TRUE)</f>
        <v>1</v>
      </c>
      <c r="F964" s="47" t="str">
        <f>IFERROR(__xludf.DUMMYFUNCTION("""COMPUTED_VALUE"""),"")</f>
        <v/>
      </c>
      <c r="G964" s="47" t="str">
        <f>IFERROR(__xludf.DUMMYFUNCTION("""COMPUTED_VALUE"""),"")</f>
        <v/>
      </c>
      <c r="H964" s="47"/>
      <c r="I964" s="47">
        <f>IFERROR(__xludf.DUMMYFUNCTION("""COMPUTED_VALUE"""),2.0)</f>
        <v>2</v>
      </c>
      <c r="J964" s="47" t="str">
        <f>IFERROR(__xludf.DUMMYFUNCTION("""COMPUTED_VALUE"""),"https:")</f>
        <v>https:</v>
      </c>
      <c r="K964" s="78" t="str">
        <f>IFERROR(__xludf.DUMMYFUNCTION("""COMPUTED_VALUE"""),"www.munzee.com")</f>
        <v>www.munzee.com</v>
      </c>
      <c r="L964" s="47" t="str">
        <f>IFERROR(__xludf.DUMMYFUNCTION("""COMPUTED_VALUE"""),"m")</f>
        <v>m</v>
      </c>
      <c r="M964" s="47" t="str">
        <f>IFERROR(__xludf.DUMMYFUNCTION("""COMPUTED_VALUE"""),"cbf600")</f>
        <v>cbf600</v>
      </c>
    </row>
    <row r="965">
      <c r="A965" s="47" t="str">
        <f>IFERROR(__xludf.DUMMYFUNCTION("""COMPUTED_VALUE"""),"Virtual Raw Sienna")</f>
        <v>Virtual Raw Sienna</v>
      </c>
      <c r="B965" s="47" t="str">
        <f>IFERROR(__xludf.DUMMYFUNCTION("""COMPUTED_VALUE"""),"raunas")</f>
        <v>raunas</v>
      </c>
      <c r="C965" s="78" t="str">
        <f>IFERROR(__xludf.DUMMYFUNCTION("""COMPUTED_VALUE"""),"https://www.munzee.com/m/raunas/12872")</f>
        <v>https://www.munzee.com/m/raunas/12872</v>
      </c>
      <c r="D965" s="47"/>
      <c r="E965" s="47" t="b">
        <f>IFERROR(__xludf.DUMMYFUNCTION("""COMPUTED_VALUE"""),TRUE)</f>
        <v>1</v>
      </c>
      <c r="F965" s="47"/>
      <c r="G965" s="47" t="str">
        <f>IFERROR(__xludf.DUMMYFUNCTION("""COMPUTED_VALUE"""),"")</f>
        <v/>
      </c>
      <c r="H965" s="47"/>
      <c r="I965" s="47">
        <f>IFERROR(__xludf.DUMMYFUNCTION("""COMPUTED_VALUE"""),2.0)</f>
        <v>2</v>
      </c>
      <c r="J965" s="47" t="str">
        <f>IFERROR(__xludf.DUMMYFUNCTION("""COMPUTED_VALUE"""),"https:")</f>
        <v>https:</v>
      </c>
      <c r="K965" s="78" t="str">
        <f>IFERROR(__xludf.DUMMYFUNCTION("""COMPUTED_VALUE"""),"www.munzee.com")</f>
        <v>www.munzee.com</v>
      </c>
      <c r="L965" s="47" t="str">
        <f>IFERROR(__xludf.DUMMYFUNCTION("""COMPUTED_VALUE"""),"m")</f>
        <v>m</v>
      </c>
      <c r="M965" s="47" t="str">
        <f>IFERROR(__xludf.DUMMYFUNCTION("""COMPUTED_VALUE"""),"raunas")</f>
        <v>raunas</v>
      </c>
    </row>
    <row r="966">
      <c r="A966" s="47" t="str">
        <f>IFERROR(__xludf.DUMMYFUNCTION("""COMPUTED_VALUE"""),"Virtual Brown")</f>
        <v>Virtual Brown</v>
      </c>
      <c r="B966" s="47" t="str">
        <f>IFERROR(__xludf.DUMMYFUNCTION("""COMPUTED_VALUE"""),"TheFatCats")</f>
        <v>TheFatCats</v>
      </c>
      <c r="C966" s="78" t="str">
        <f>IFERROR(__xludf.DUMMYFUNCTION("""COMPUTED_VALUE"""),"https://www.munzee.com/m/TheFatCats/4850/")</f>
        <v>https://www.munzee.com/m/TheFatCats/4850/</v>
      </c>
      <c r="D966" s="47"/>
      <c r="E966" s="47" t="b">
        <f>IFERROR(__xludf.DUMMYFUNCTION("""COMPUTED_VALUE"""),TRUE)</f>
        <v>1</v>
      </c>
      <c r="F966" s="47" t="str">
        <f>IFERROR(__xludf.DUMMYFUNCTION("""COMPUTED_VALUE"""),"")</f>
        <v/>
      </c>
      <c r="G966" s="47" t="str">
        <f>IFERROR(__xludf.DUMMYFUNCTION("""COMPUTED_VALUE"""),"")</f>
        <v/>
      </c>
      <c r="H966" s="47"/>
      <c r="I966" s="47">
        <f>IFERROR(__xludf.DUMMYFUNCTION("""COMPUTED_VALUE"""),2.0)</f>
        <v>2</v>
      </c>
      <c r="J966" s="47" t="str">
        <f>IFERROR(__xludf.DUMMYFUNCTION("""COMPUTED_VALUE"""),"https:")</f>
        <v>https:</v>
      </c>
      <c r="K966" s="78" t="str">
        <f>IFERROR(__xludf.DUMMYFUNCTION("""COMPUTED_VALUE"""),"www.munzee.com")</f>
        <v>www.munzee.com</v>
      </c>
      <c r="L966" s="47" t="str">
        <f>IFERROR(__xludf.DUMMYFUNCTION("""COMPUTED_VALUE"""),"m")</f>
        <v>m</v>
      </c>
      <c r="M966" s="47" t="str">
        <f>IFERROR(__xludf.DUMMYFUNCTION("""COMPUTED_VALUE"""),"TheFatCats")</f>
        <v>TheFatCats</v>
      </c>
    </row>
    <row r="967">
      <c r="A967" s="47" t="str">
        <f>IFERROR(__xludf.DUMMYFUNCTION("""COMPUTED_VALUE"""),"Virtual Brown")</f>
        <v>Virtual Brown</v>
      </c>
      <c r="B967" s="47" t="str">
        <f>IFERROR(__xludf.DUMMYFUNCTION("""COMPUTED_VALUE"""),"CzPeet")</f>
        <v>CzPeet</v>
      </c>
      <c r="C967" s="78" t="str">
        <f>IFERROR(__xludf.DUMMYFUNCTION("""COMPUTED_VALUE"""),"https://www.munzee.com/m/CzPeet/6726/")</f>
        <v>https://www.munzee.com/m/CzPeet/6726/</v>
      </c>
      <c r="D967" s="47"/>
      <c r="E967" s="47" t="b">
        <f>IFERROR(__xludf.DUMMYFUNCTION("""COMPUTED_VALUE"""),TRUE)</f>
        <v>1</v>
      </c>
      <c r="F967" s="47" t="str">
        <f>IFERROR(__xludf.DUMMYFUNCTION("""COMPUTED_VALUE"""),"")</f>
        <v/>
      </c>
      <c r="G967" s="47" t="str">
        <f>IFERROR(__xludf.DUMMYFUNCTION("""COMPUTED_VALUE"""),"")</f>
        <v/>
      </c>
      <c r="H967" s="47"/>
      <c r="I967" s="47">
        <f>IFERROR(__xludf.DUMMYFUNCTION("""COMPUTED_VALUE"""),2.0)</f>
        <v>2</v>
      </c>
      <c r="J967" s="47" t="str">
        <f>IFERROR(__xludf.DUMMYFUNCTION("""COMPUTED_VALUE"""),"https:")</f>
        <v>https:</v>
      </c>
      <c r="K967" s="78" t="str">
        <f>IFERROR(__xludf.DUMMYFUNCTION("""COMPUTED_VALUE"""),"www.munzee.com")</f>
        <v>www.munzee.com</v>
      </c>
      <c r="L967" s="47" t="str">
        <f>IFERROR(__xludf.DUMMYFUNCTION("""COMPUTED_VALUE"""),"m")</f>
        <v>m</v>
      </c>
      <c r="M967" s="47" t="str">
        <f>IFERROR(__xludf.DUMMYFUNCTION("""COMPUTED_VALUE"""),"CzPeet")</f>
        <v>CzPeet</v>
      </c>
    </row>
    <row r="968">
      <c r="A968" s="47" t="str">
        <f>IFERROR(__xludf.DUMMYFUNCTION("""COMPUTED_VALUE"""),"Virtual Brown")</f>
        <v>Virtual Brown</v>
      </c>
      <c r="B968" s="47" t="str">
        <f>IFERROR(__xludf.DUMMYFUNCTION("""COMPUTED_VALUE"""),"Bungle")</f>
        <v>Bungle</v>
      </c>
      <c r="C968" s="78" t="str">
        <f>IFERROR(__xludf.DUMMYFUNCTION("""COMPUTED_VALUE"""),"https://www.munzee.com/m/Bungle/10439")</f>
        <v>https://www.munzee.com/m/Bungle/10439</v>
      </c>
      <c r="D968" s="47"/>
      <c r="E968" s="47" t="b">
        <f>IFERROR(__xludf.DUMMYFUNCTION("""COMPUTED_VALUE"""),TRUE)</f>
        <v>1</v>
      </c>
      <c r="F968" s="47"/>
      <c r="G968" s="47" t="str">
        <f>IFERROR(__xludf.DUMMYFUNCTION("""COMPUTED_VALUE"""),"")</f>
        <v/>
      </c>
      <c r="H968" s="47"/>
      <c r="I968" s="47">
        <f>IFERROR(__xludf.DUMMYFUNCTION("""COMPUTED_VALUE"""),2.0)</f>
        <v>2</v>
      </c>
      <c r="J968" s="47" t="str">
        <f>IFERROR(__xludf.DUMMYFUNCTION("""COMPUTED_VALUE"""),"https:")</f>
        <v>https:</v>
      </c>
      <c r="K968" s="78" t="str">
        <f>IFERROR(__xludf.DUMMYFUNCTION("""COMPUTED_VALUE"""),"www.munzee.com")</f>
        <v>www.munzee.com</v>
      </c>
      <c r="L968" s="47" t="str">
        <f>IFERROR(__xludf.DUMMYFUNCTION("""COMPUTED_VALUE"""),"m")</f>
        <v>m</v>
      </c>
      <c r="M968" s="47" t="str">
        <f>IFERROR(__xludf.DUMMYFUNCTION("""COMPUTED_VALUE"""),"Bungle")</f>
        <v>Bungle</v>
      </c>
    </row>
    <row r="969">
      <c r="A969" s="47" t="str">
        <f>IFERROR(__xludf.DUMMYFUNCTION("""COMPUTED_VALUE"""),"Virtual Brown")</f>
        <v>Virtual Brown</v>
      </c>
      <c r="B969" s="47" t="str">
        <f>IFERROR(__xludf.DUMMYFUNCTION("""COMPUTED_VALUE"""),"rita85gto")</f>
        <v>rita85gto</v>
      </c>
      <c r="C969" s="78" t="str">
        <f>IFERROR(__xludf.DUMMYFUNCTION("""COMPUTED_VALUE"""),"https://www.munzee.com/m/rita85gto/5091/")</f>
        <v>https://www.munzee.com/m/rita85gto/5091/</v>
      </c>
      <c r="D969" s="47" t="str">
        <f>IFERROR(__xludf.DUMMYFUNCTION("""COMPUTED_VALUE"""),"dep. Aug. '22")</f>
        <v>dep. Aug. '22</v>
      </c>
      <c r="E969" s="47" t="b">
        <f>IFERROR(__xludf.DUMMYFUNCTION("""COMPUTED_VALUE"""),TRUE)</f>
        <v>1</v>
      </c>
      <c r="F969" s="47" t="str">
        <f>IFERROR(__xludf.DUMMYFUNCTION("""COMPUTED_VALUE"""),"")</f>
        <v/>
      </c>
      <c r="G969" s="47" t="str">
        <f>IFERROR(__xludf.DUMMYFUNCTION("""COMPUTED_VALUE"""),"")</f>
        <v/>
      </c>
      <c r="H969" s="47"/>
      <c r="I969" s="47">
        <f>IFERROR(__xludf.DUMMYFUNCTION("""COMPUTED_VALUE"""),2.0)</f>
        <v>2</v>
      </c>
      <c r="J969" s="47" t="str">
        <f>IFERROR(__xludf.DUMMYFUNCTION("""COMPUTED_VALUE"""),"https:")</f>
        <v>https:</v>
      </c>
      <c r="K969" s="78" t="str">
        <f>IFERROR(__xludf.DUMMYFUNCTION("""COMPUTED_VALUE"""),"www.munzee.com")</f>
        <v>www.munzee.com</v>
      </c>
      <c r="L969" s="47" t="str">
        <f>IFERROR(__xludf.DUMMYFUNCTION("""COMPUTED_VALUE"""),"m")</f>
        <v>m</v>
      </c>
      <c r="M969" s="47" t="str">
        <f>IFERROR(__xludf.DUMMYFUNCTION("""COMPUTED_VALUE"""),"rita85gto")</f>
        <v>rita85gto</v>
      </c>
    </row>
    <row r="970">
      <c r="A970" s="47" t="str">
        <f>IFERROR(__xludf.DUMMYFUNCTION("""COMPUTED_VALUE"""),"Virtual Brown")</f>
        <v>Virtual Brown</v>
      </c>
      <c r="B970" s="47"/>
      <c r="C970" s="47"/>
      <c r="D970" s="47"/>
      <c r="E970" s="47" t="b">
        <f>IFERROR(__xludf.DUMMYFUNCTION("""COMPUTED_VALUE"""),FALSE)</f>
        <v>0</v>
      </c>
      <c r="F970" s="47"/>
      <c r="G970" s="47" t="str">
        <f>IFERROR(__xludf.DUMMYFUNCTION("""COMPUTED_VALUE"""),"")</f>
        <v/>
      </c>
      <c r="H970" s="47"/>
      <c r="I970" s="47">
        <f>IFERROR(__xludf.DUMMYFUNCTION("""COMPUTED_VALUE"""),0.0)</f>
        <v>0</v>
      </c>
      <c r="J970" s="47" t="str">
        <f>IFERROR(__xludf.DUMMYFUNCTION("""COMPUTED_VALUE"""),"#VALUE!")</f>
        <v>#VALUE!</v>
      </c>
      <c r="K970" s="47"/>
      <c r="L970" s="47"/>
      <c r="M970" s="47"/>
    </row>
    <row r="971">
      <c r="A971" s="47" t="str">
        <f>IFERROR(__xludf.DUMMYFUNCTION("""COMPUTED_VALUE"""),"Virtual Brown")</f>
        <v>Virtual Brown</v>
      </c>
      <c r="B971" s="47" t="str">
        <f>IFERROR(__xludf.DUMMYFUNCTION("""COMPUTED_VALUE"""),"Bisquick2")</f>
        <v>Bisquick2</v>
      </c>
      <c r="C971" s="78" t="str">
        <f>IFERROR(__xludf.DUMMYFUNCTION("""COMPUTED_VALUE"""),"https://www.munzee.com/m/Bisquick2/5195/")</f>
        <v>https://www.munzee.com/m/Bisquick2/5195/</v>
      </c>
      <c r="D971" s="87"/>
      <c r="E971" s="47" t="b">
        <f>IFERROR(__xludf.DUMMYFUNCTION("""COMPUTED_VALUE"""),TRUE)</f>
        <v>1</v>
      </c>
      <c r="F971" s="47" t="str">
        <f>IFERROR(__xludf.DUMMYFUNCTION("""COMPUTED_VALUE"""),"")</f>
        <v/>
      </c>
      <c r="G971" s="47" t="str">
        <f>IFERROR(__xludf.DUMMYFUNCTION("""COMPUTED_VALUE"""),"")</f>
        <v/>
      </c>
      <c r="H971" s="47"/>
      <c r="I971" s="47">
        <f>IFERROR(__xludf.DUMMYFUNCTION("""COMPUTED_VALUE"""),2.0)</f>
        <v>2</v>
      </c>
      <c r="J971" s="47" t="str">
        <f>IFERROR(__xludf.DUMMYFUNCTION("""COMPUTED_VALUE"""),"https:")</f>
        <v>https:</v>
      </c>
      <c r="K971" s="78" t="str">
        <f>IFERROR(__xludf.DUMMYFUNCTION("""COMPUTED_VALUE"""),"www.munzee.com")</f>
        <v>www.munzee.com</v>
      </c>
      <c r="L971" s="47" t="str">
        <f>IFERROR(__xludf.DUMMYFUNCTION("""COMPUTED_VALUE"""),"m")</f>
        <v>m</v>
      </c>
      <c r="M971" s="47" t="str">
        <f>IFERROR(__xludf.DUMMYFUNCTION("""COMPUTED_VALUE"""),"Bisquick2")</f>
        <v>Bisquick2</v>
      </c>
    </row>
    <row r="972">
      <c r="A972" s="47" t="str">
        <f>IFERROR(__xludf.DUMMYFUNCTION("""COMPUTED_VALUE"""),"Virtual Brown")</f>
        <v>Virtual Brown</v>
      </c>
      <c r="B972" s="47"/>
      <c r="C972" s="47"/>
      <c r="D972" s="47"/>
      <c r="E972" s="47" t="b">
        <f>IFERROR(__xludf.DUMMYFUNCTION("""COMPUTED_VALUE"""),FALSE)</f>
        <v>0</v>
      </c>
      <c r="F972" s="47"/>
      <c r="G972" s="47" t="str">
        <f>IFERROR(__xludf.DUMMYFUNCTION("""COMPUTED_VALUE"""),"")</f>
        <v/>
      </c>
      <c r="H972" s="47"/>
      <c r="I972" s="47">
        <f>IFERROR(__xludf.DUMMYFUNCTION("""COMPUTED_VALUE"""),0.0)</f>
        <v>0</v>
      </c>
      <c r="J972" s="47" t="str">
        <f>IFERROR(__xludf.DUMMYFUNCTION("""COMPUTED_VALUE"""),"#VALUE!")</f>
        <v>#VALUE!</v>
      </c>
      <c r="K972" s="47"/>
      <c r="L972" s="47"/>
      <c r="M972" s="47"/>
    </row>
    <row r="973">
      <c r="A973" s="47" t="str">
        <f>IFERROR(__xludf.DUMMYFUNCTION("""COMPUTED_VALUE"""),"Virtual Raw Sienna")</f>
        <v>Virtual Raw Sienna</v>
      </c>
      <c r="B973" s="47"/>
      <c r="C973" s="47"/>
      <c r="D973" s="47"/>
      <c r="E973" s="47" t="b">
        <f>IFERROR(__xludf.DUMMYFUNCTION("""COMPUTED_VALUE"""),FALSE)</f>
        <v>0</v>
      </c>
      <c r="F973" s="47"/>
      <c r="G973" s="47" t="str">
        <f>IFERROR(__xludf.DUMMYFUNCTION("""COMPUTED_VALUE"""),"")</f>
        <v/>
      </c>
      <c r="H973" s="47"/>
      <c r="I973" s="47">
        <f>IFERROR(__xludf.DUMMYFUNCTION("""COMPUTED_VALUE"""),0.0)</f>
        <v>0</v>
      </c>
      <c r="J973" s="47" t="str">
        <f>IFERROR(__xludf.DUMMYFUNCTION("""COMPUTED_VALUE"""),"#VALUE!")</f>
        <v>#VALUE!</v>
      </c>
      <c r="K973" s="47"/>
      <c r="L973" s="47"/>
      <c r="M973" s="47"/>
    </row>
    <row r="974">
      <c r="A974" s="47" t="str">
        <f>IFERROR(__xludf.DUMMYFUNCTION("""COMPUTED_VALUE"""),"Virtual Brown")</f>
        <v>Virtual Brown</v>
      </c>
      <c r="B974" s="47"/>
      <c r="C974" s="47"/>
      <c r="D974" s="47"/>
      <c r="E974" s="47" t="b">
        <f>IFERROR(__xludf.DUMMYFUNCTION("""COMPUTED_VALUE"""),FALSE)</f>
        <v>0</v>
      </c>
      <c r="F974" s="47"/>
      <c r="G974" s="47" t="str">
        <f>IFERROR(__xludf.DUMMYFUNCTION("""COMPUTED_VALUE"""),"")</f>
        <v/>
      </c>
      <c r="H974" s="47"/>
      <c r="I974" s="47">
        <f>IFERROR(__xludf.DUMMYFUNCTION("""COMPUTED_VALUE"""),0.0)</f>
        <v>0</v>
      </c>
      <c r="J974" s="47" t="str">
        <f>IFERROR(__xludf.DUMMYFUNCTION("""COMPUTED_VALUE"""),"#VALUE!")</f>
        <v>#VALUE!</v>
      </c>
      <c r="K974" s="47"/>
      <c r="L974" s="47"/>
      <c r="M974" s="47"/>
    </row>
    <row r="975">
      <c r="A975" s="47" t="str">
        <f>IFERROR(__xludf.DUMMYFUNCTION("""COMPUTED_VALUE"""),"Virtual Brown")</f>
        <v>Virtual Brown</v>
      </c>
      <c r="B975" s="47"/>
      <c r="C975" s="47"/>
      <c r="D975" s="47"/>
      <c r="E975" s="47" t="b">
        <f>IFERROR(__xludf.DUMMYFUNCTION("""COMPUTED_VALUE"""),FALSE)</f>
        <v>0</v>
      </c>
      <c r="F975" s="47"/>
      <c r="G975" s="47" t="str">
        <f>IFERROR(__xludf.DUMMYFUNCTION("""COMPUTED_VALUE"""),"")</f>
        <v/>
      </c>
      <c r="H975" s="47"/>
      <c r="I975" s="47">
        <f>IFERROR(__xludf.DUMMYFUNCTION("""COMPUTED_VALUE"""),0.0)</f>
        <v>0</v>
      </c>
      <c r="J975" s="47" t="str">
        <f>IFERROR(__xludf.DUMMYFUNCTION("""COMPUTED_VALUE"""),"#VALUE!")</f>
        <v>#VALUE!</v>
      </c>
      <c r="K975" s="47"/>
      <c r="L975" s="47"/>
      <c r="M975" s="47"/>
    </row>
    <row r="976">
      <c r="A976" s="47" t="str">
        <f>IFERROR(__xludf.DUMMYFUNCTION("""COMPUTED_VALUE"""),"Virtual Raw Sienna")</f>
        <v>Virtual Raw Sienna</v>
      </c>
      <c r="B976" s="47"/>
      <c r="C976" s="47"/>
      <c r="D976" s="47"/>
      <c r="E976" s="47" t="b">
        <f>IFERROR(__xludf.DUMMYFUNCTION("""COMPUTED_VALUE"""),FALSE)</f>
        <v>0</v>
      </c>
      <c r="F976" s="47"/>
      <c r="G976" s="47" t="str">
        <f>IFERROR(__xludf.DUMMYFUNCTION("""COMPUTED_VALUE"""),"")</f>
        <v/>
      </c>
      <c r="H976" s="47"/>
      <c r="I976" s="47">
        <f>IFERROR(__xludf.DUMMYFUNCTION("""COMPUTED_VALUE"""),0.0)</f>
        <v>0</v>
      </c>
      <c r="J976" s="47" t="str">
        <f>IFERROR(__xludf.DUMMYFUNCTION("""COMPUTED_VALUE"""),"#VALUE!")</f>
        <v>#VALUE!</v>
      </c>
      <c r="K976" s="47"/>
      <c r="L976" s="47"/>
      <c r="M976" s="47"/>
    </row>
    <row r="977">
      <c r="A977" s="47" t="str">
        <f>IFERROR(__xludf.DUMMYFUNCTION("""COMPUTED_VALUE"""),"Virtual Brown")</f>
        <v>Virtual Brown</v>
      </c>
      <c r="B977" s="47" t="str">
        <f>IFERROR(__xludf.DUMMYFUNCTION("""COMPUTED_VALUE"""),"TheFrog")</f>
        <v>TheFrog</v>
      </c>
      <c r="C977" s="78" t="str">
        <f>IFERROR(__xludf.DUMMYFUNCTION("""COMPUTED_VALUE"""),"https://www.munzee.com/m/TheFrog/5201/")</f>
        <v>https://www.munzee.com/m/TheFrog/5201/</v>
      </c>
      <c r="D977" s="47"/>
      <c r="E977" s="47" t="b">
        <f>IFERROR(__xludf.DUMMYFUNCTION("""COMPUTED_VALUE"""),TRUE)</f>
        <v>1</v>
      </c>
      <c r="F977" s="47" t="str">
        <f>IFERROR(__xludf.DUMMYFUNCTION("""COMPUTED_VALUE"""),"")</f>
        <v/>
      </c>
      <c r="G977" s="47" t="str">
        <f>IFERROR(__xludf.DUMMYFUNCTION("""COMPUTED_VALUE"""),"")</f>
        <v/>
      </c>
      <c r="H977" s="47"/>
      <c r="I977" s="47">
        <f>IFERROR(__xludf.DUMMYFUNCTION("""COMPUTED_VALUE"""),2.0)</f>
        <v>2</v>
      </c>
      <c r="J977" s="47" t="str">
        <f>IFERROR(__xludf.DUMMYFUNCTION("""COMPUTED_VALUE"""),"https:")</f>
        <v>https:</v>
      </c>
      <c r="K977" s="78" t="str">
        <f>IFERROR(__xludf.DUMMYFUNCTION("""COMPUTED_VALUE"""),"www.munzee.com")</f>
        <v>www.munzee.com</v>
      </c>
      <c r="L977" s="47" t="str">
        <f>IFERROR(__xludf.DUMMYFUNCTION("""COMPUTED_VALUE"""),"m")</f>
        <v>m</v>
      </c>
      <c r="M977" s="47" t="str">
        <f>IFERROR(__xludf.DUMMYFUNCTION("""COMPUTED_VALUE"""),"TheFrog")</f>
        <v>TheFrog</v>
      </c>
    </row>
    <row r="978">
      <c r="A978" s="47" t="str">
        <f>IFERROR(__xludf.DUMMYFUNCTION("""COMPUTED_VALUE"""),"Virtual Brown")</f>
        <v>Virtual Brown</v>
      </c>
      <c r="B978" s="47" t="str">
        <f>IFERROR(__xludf.DUMMYFUNCTION("""COMPUTED_VALUE"""),"123xilef")</f>
        <v>123xilef</v>
      </c>
      <c r="C978" s="78" t="str">
        <f>IFERROR(__xludf.DUMMYFUNCTION("""COMPUTED_VALUE"""),"https://www.munzee.com/m/123xilef/9358/")</f>
        <v>https://www.munzee.com/m/123xilef/9358/</v>
      </c>
      <c r="D978" s="47"/>
      <c r="E978" s="47" t="b">
        <f>IFERROR(__xludf.DUMMYFUNCTION("""COMPUTED_VALUE"""),TRUE)</f>
        <v>1</v>
      </c>
      <c r="F978" s="47" t="str">
        <f>IFERROR(__xludf.DUMMYFUNCTION("""COMPUTED_VALUE"""),"")</f>
        <v/>
      </c>
      <c r="G978" s="47" t="str">
        <f>IFERROR(__xludf.DUMMYFUNCTION("""COMPUTED_VALUE"""),"")</f>
        <v/>
      </c>
      <c r="H978" s="47"/>
      <c r="I978" s="47">
        <f>IFERROR(__xludf.DUMMYFUNCTION("""COMPUTED_VALUE"""),2.0)</f>
        <v>2</v>
      </c>
      <c r="J978" s="47" t="str">
        <f>IFERROR(__xludf.DUMMYFUNCTION("""COMPUTED_VALUE"""),"https:")</f>
        <v>https:</v>
      </c>
      <c r="K978" s="78" t="str">
        <f>IFERROR(__xludf.DUMMYFUNCTION("""COMPUTED_VALUE"""),"www.munzee.com")</f>
        <v>www.munzee.com</v>
      </c>
      <c r="L978" s="47" t="str">
        <f>IFERROR(__xludf.DUMMYFUNCTION("""COMPUTED_VALUE"""),"m")</f>
        <v>m</v>
      </c>
      <c r="M978" s="47" t="str">
        <f>IFERROR(__xludf.DUMMYFUNCTION("""COMPUTED_VALUE"""),"123xilef")</f>
        <v>123xilef</v>
      </c>
    </row>
    <row r="979">
      <c r="A979" s="47" t="str">
        <f>IFERROR(__xludf.DUMMYFUNCTION("""COMPUTED_VALUE"""),"Virtual Raw Sienna")</f>
        <v>Virtual Raw Sienna</v>
      </c>
      <c r="B979" s="47" t="str">
        <f>IFERROR(__xludf.DUMMYFUNCTION("""COMPUTED_VALUE"""),"5star")</f>
        <v>5star</v>
      </c>
      <c r="C979" s="78" t="str">
        <f>IFERROR(__xludf.DUMMYFUNCTION("""COMPUTED_VALUE"""),"https://www.munzee.com/m/5Star/6589/")</f>
        <v>https://www.munzee.com/m/5Star/6589/</v>
      </c>
      <c r="D979" s="47"/>
      <c r="E979" s="47" t="b">
        <f>IFERROR(__xludf.DUMMYFUNCTION("""COMPUTED_VALUE"""),TRUE)</f>
        <v>1</v>
      </c>
      <c r="F979" s="47" t="str">
        <f>IFERROR(__xludf.DUMMYFUNCTION("""COMPUTED_VALUE"""),"")</f>
        <v/>
      </c>
      <c r="G979" s="47" t="str">
        <f>IFERROR(__xludf.DUMMYFUNCTION("""COMPUTED_VALUE"""),"")</f>
        <v/>
      </c>
      <c r="H979" s="47"/>
      <c r="I979" s="47">
        <f>IFERROR(__xludf.DUMMYFUNCTION("""COMPUTED_VALUE"""),2.0)</f>
        <v>2</v>
      </c>
      <c r="J979" s="47" t="str">
        <f>IFERROR(__xludf.DUMMYFUNCTION("""COMPUTED_VALUE"""),"https:")</f>
        <v>https:</v>
      </c>
      <c r="K979" s="78" t="str">
        <f>IFERROR(__xludf.DUMMYFUNCTION("""COMPUTED_VALUE"""),"www.munzee.com")</f>
        <v>www.munzee.com</v>
      </c>
      <c r="L979" s="47" t="str">
        <f>IFERROR(__xludf.DUMMYFUNCTION("""COMPUTED_VALUE"""),"m")</f>
        <v>m</v>
      </c>
      <c r="M979" s="47" t="str">
        <f>IFERROR(__xludf.DUMMYFUNCTION("""COMPUTED_VALUE"""),"5Star")</f>
        <v>5Star</v>
      </c>
    </row>
    <row r="980">
      <c r="A980" s="47" t="str">
        <f>IFERROR(__xludf.DUMMYFUNCTION("""COMPUTED_VALUE"""),"Virtual Brown")</f>
        <v>Virtual Brown</v>
      </c>
      <c r="B980" s="47" t="str">
        <f>IFERROR(__xludf.DUMMYFUNCTION("""COMPUTED_VALUE"""),"mortonfox")</f>
        <v>mortonfox</v>
      </c>
      <c r="C980" s="78" t="str">
        <f>IFERROR(__xludf.DUMMYFUNCTION("""COMPUTED_VALUE"""),"https://www.munzee.com/m/mortonfox/22765/")</f>
        <v>https://www.munzee.com/m/mortonfox/22765/</v>
      </c>
      <c r="D980" s="47"/>
      <c r="E980" s="47" t="b">
        <f>IFERROR(__xludf.DUMMYFUNCTION("""COMPUTED_VALUE"""),TRUE)</f>
        <v>1</v>
      </c>
      <c r="F980" s="47" t="str">
        <f>IFERROR(__xludf.DUMMYFUNCTION("""COMPUTED_VALUE"""),"")</f>
        <v/>
      </c>
      <c r="G980" s="47" t="str">
        <f>IFERROR(__xludf.DUMMYFUNCTION("""COMPUTED_VALUE"""),"")</f>
        <v/>
      </c>
      <c r="H980" s="47"/>
      <c r="I980" s="47">
        <f>IFERROR(__xludf.DUMMYFUNCTION("""COMPUTED_VALUE"""),2.0)</f>
        <v>2</v>
      </c>
      <c r="J980" s="47" t="str">
        <f>IFERROR(__xludf.DUMMYFUNCTION("""COMPUTED_VALUE"""),"https:")</f>
        <v>https:</v>
      </c>
      <c r="K980" s="78" t="str">
        <f>IFERROR(__xludf.DUMMYFUNCTION("""COMPUTED_VALUE"""),"www.munzee.com")</f>
        <v>www.munzee.com</v>
      </c>
      <c r="L980" s="47" t="str">
        <f>IFERROR(__xludf.DUMMYFUNCTION("""COMPUTED_VALUE"""),"m")</f>
        <v>m</v>
      </c>
      <c r="M980" s="47" t="str">
        <f>IFERROR(__xludf.DUMMYFUNCTION("""COMPUTED_VALUE"""),"mortonfox")</f>
        <v>mortonfox</v>
      </c>
    </row>
    <row r="981">
      <c r="A981" s="47" t="str">
        <f>IFERROR(__xludf.DUMMYFUNCTION("""COMPUTED_VALUE"""),"Virtual Brown")</f>
        <v>Virtual Brown</v>
      </c>
      <c r="B981" s="47"/>
      <c r="C981" s="47"/>
      <c r="D981" s="47"/>
      <c r="E981" s="47" t="b">
        <f>IFERROR(__xludf.DUMMYFUNCTION("""COMPUTED_VALUE"""),FALSE)</f>
        <v>0</v>
      </c>
      <c r="F981" s="47"/>
      <c r="G981" s="47" t="str">
        <f>IFERROR(__xludf.DUMMYFUNCTION("""COMPUTED_VALUE"""),"")</f>
        <v/>
      </c>
      <c r="H981" s="47"/>
      <c r="I981" s="47">
        <f>IFERROR(__xludf.DUMMYFUNCTION("""COMPUTED_VALUE"""),0.0)</f>
        <v>0</v>
      </c>
      <c r="J981" s="47" t="str">
        <f>IFERROR(__xludf.DUMMYFUNCTION("""COMPUTED_VALUE"""),"#VALUE!")</f>
        <v>#VALUE!</v>
      </c>
      <c r="K981" s="47"/>
      <c r="L981" s="47"/>
      <c r="M981" s="47"/>
    </row>
    <row r="982">
      <c r="A982" s="47" t="str">
        <f>IFERROR(__xludf.DUMMYFUNCTION("""COMPUTED_VALUE"""),"Virtual Brown")</f>
        <v>Virtual Brown</v>
      </c>
      <c r="B982" s="47"/>
      <c r="C982" s="47"/>
      <c r="D982" s="47"/>
      <c r="E982" s="47" t="b">
        <f>IFERROR(__xludf.DUMMYFUNCTION("""COMPUTED_VALUE"""),FALSE)</f>
        <v>0</v>
      </c>
      <c r="F982" s="47"/>
      <c r="G982" s="47" t="str">
        <f>IFERROR(__xludf.DUMMYFUNCTION("""COMPUTED_VALUE"""),"")</f>
        <v/>
      </c>
      <c r="H982" s="47"/>
      <c r="I982" s="47">
        <f>IFERROR(__xludf.DUMMYFUNCTION("""COMPUTED_VALUE"""),0.0)</f>
        <v>0</v>
      </c>
      <c r="J982" s="47" t="str">
        <f>IFERROR(__xludf.DUMMYFUNCTION("""COMPUTED_VALUE"""),"#VALUE!")</f>
        <v>#VALUE!</v>
      </c>
      <c r="K982" s="47"/>
      <c r="L982" s="47"/>
      <c r="M982" s="47"/>
    </row>
    <row r="983">
      <c r="A983" s="47" t="str">
        <f>IFERROR(__xludf.DUMMYFUNCTION("""COMPUTED_VALUE"""),"Virtual Brown")</f>
        <v>Virtual Brown</v>
      </c>
      <c r="B983" s="47"/>
      <c r="C983" s="47"/>
      <c r="D983" s="47"/>
      <c r="E983" s="47" t="b">
        <f>IFERROR(__xludf.DUMMYFUNCTION("""COMPUTED_VALUE"""),FALSE)</f>
        <v>0</v>
      </c>
      <c r="F983" s="47"/>
      <c r="G983" s="47" t="str">
        <f>IFERROR(__xludf.DUMMYFUNCTION("""COMPUTED_VALUE"""),"")</f>
        <v/>
      </c>
      <c r="H983" s="47"/>
      <c r="I983" s="47">
        <f>IFERROR(__xludf.DUMMYFUNCTION("""COMPUTED_VALUE"""),0.0)</f>
        <v>0</v>
      </c>
      <c r="J983" s="47" t="str">
        <f>IFERROR(__xludf.DUMMYFUNCTION("""COMPUTED_VALUE"""),"#VALUE!")</f>
        <v>#VALUE!</v>
      </c>
      <c r="K983" s="47"/>
      <c r="L983" s="47"/>
      <c r="M983" s="47"/>
    </row>
    <row r="984">
      <c r="A984" s="47" t="str">
        <f>IFERROR(__xludf.DUMMYFUNCTION("""COMPUTED_VALUE"""),"Virtual Brown")</f>
        <v>Virtual Brown</v>
      </c>
      <c r="B984" s="47" t="str">
        <f>IFERROR(__xludf.DUMMYFUNCTION("""COMPUTED_VALUE"""),"Wangotango")</f>
        <v>Wangotango</v>
      </c>
      <c r="C984" s="78" t="str">
        <f>IFERROR(__xludf.DUMMYFUNCTION("""COMPUTED_VALUE"""),"https://www.munzee.com/m/WangoTango/2129/")</f>
        <v>https://www.munzee.com/m/WangoTango/2129/</v>
      </c>
      <c r="D984" s="47"/>
      <c r="E984" s="47" t="b">
        <f>IFERROR(__xludf.DUMMYFUNCTION("""COMPUTED_VALUE"""),TRUE)</f>
        <v>1</v>
      </c>
      <c r="F984" s="47" t="str">
        <f>IFERROR(__xludf.DUMMYFUNCTION("""COMPUTED_VALUE"""),"")</f>
        <v/>
      </c>
      <c r="G984" s="47" t="str">
        <f>IFERROR(__xludf.DUMMYFUNCTION("""COMPUTED_VALUE"""),"")</f>
        <v/>
      </c>
      <c r="H984" s="47"/>
      <c r="I984" s="47">
        <f>IFERROR(__xludf.DUMMYFUNCTION("""COMPUTED_VALUE"""),2.0)</f>
        <v>2</v>
      </c>
      <c r="J984" s="47" t="str">
        <f>IFERROR(__xludf.DUMMYFUNCTION("""COMPUTED_VALUE"""),"https:")</f>
        <v>https:</v>
      </c>
      <c r="K984" s="78" t="str">
        <f>IFERROR(__xludf.DUMMYFUNCTION("""COMPUTED_VALUE"""),"www.munzee.com")</f>
        <v>www.munzee.com</v>
      </c>
      <c r="L984" s="47" t="str">
        <f>IFERROR(__xludf.DUMMYFUNCTION("""COMPUTED_VALUE"""),"m")</f>
        <v>m</v>
      </c>
      <c r="M984" s="47" t="str">
        <f>IFERROR(__xludf.DUMMYFUNCTION("""COMPUTED_VALUE"""),"WangoTango")</f>
        <v>WangoTango</v>
      </c>
    </row>
    <row r="985">
      <c r="A985" s="47" t="str">
        <f>IFERROR(__xludf.DUMMYFUNCTION("""COMPUTED_VALUE"""),"Virtual Brown")</f>
        <v>Virtual Brown</v>
      </c>
      <c r="B985" s="47" t="str">
        <f>IFERROR(__xludf.DUMMYFUNCTION("""COMPUTED_VALUE"""),"TheFatCats")</f>
        <v>TheFatCats</v>
      </c>
      <c r="C985" s="78" t="str">
        <f>IFERROR(__xludf.DUMMYFUNCTION("""COMPUTED_VALUE"""),"https://www.munzee.com/m/TheFatCats/4853/")</f>
        <v>https://www.munzee.com/m/TheFatCats/4853/</v>
      </c>
      <c r="D985" s="47"/>
      <c r="E985" s="47" t="b">
        <f>IFERROR(__xludf.DUMMYFUNCTION("""COMPUTED_VALUE"""),TRUE)</f>
        <v>1</v>
      </c>
      <c r="F985" s="47" t="str">
        <f>IFERROR(__xludf.DUMMYFUNCTION("""COMPUTED_VALUE"""),"")</f>
        <v/>
      </c>
      <c r="G985" s="47" t="str">
        <f>IFERROR(__xludf.DUMMYFUNCTION("""COMPUTED_VALUE"""),"")</f>
        <v/>
      </c>
      <c r="H985" s="47"/>
      <c r="I985" s="47">
        <f>IFERROR(__xludf.DUMMYFUNCTION("""COMPUTED_VALUE"""),2.0)</f>
        <v>2</v>
      </c>
      <c r="J985" s="47" t="str">
        <f>IFERROR(__xludf.DUMMYFUNCTION("""COMPUTED_VALUE"""),"https:")</f>
        <v>https:</v>
      </c>
      <c r="K985" s="78" t="str">
        <f>IFERROR(__xludf.DUMMYFUNCTION("""COMPUTED_VALUE"""),"www.munzee.com")</f>
        <v>www.munzee.com</v>
      </c>
      <c r="L985" s="47" t="str">
        <f>IFERROR(__xludf.DUMMYFUNCTION("""COMPUTED_VALUE"""),"m")</f>
        <v>m</v>
      </c>
      <c r="M985" s="47" t="str">
        <f>IFERROR(__xludf.DUMMYFUNCTION("""COMPUTED_VALUE"""),"TheFatCats")</f>
        <v>TheFatCats</v>
      </c>
    </row>
    <row r="986">
      <c r="A986" s="47" t="str">
        <f>IFERROR(__xludf.DUMMYFUNCTION("""COMPUTED_VALUE"""),"Virtual Raw Sienna")</f>
        <v>Virtual Raw Sienna</v>
      </c>
      <c r="B986" s="47"/>
      <c r="C986" s="47"/>
      <c r="D986" s="47"/>
      <c r="E986" s="47" t="b">
        <f>IFERROR(__xludf.DUMMYFUNCTION("""COMPUTED_VALUE"""),FALSE)</f>
        <v>0</v>
      </c>
      <c r="F986" s="47"/>
      <c r="G986" s="47" t="str">
        <f>IFERROR(__xludf.DUMMYFUNCTION("""COMPUTED_VALUE"""),"")</f>
        <v/>
      </c>
      <c r="H986" s="47"/>
      <c r="I986" s="47">
        <f>IFERROR(__xludf.DUMMYFUNCTION("""COMPUTED_VALUE"""),0.0)</f>
        <v>0</v>
      </c>
      <c r="J986" s="47" t="str">
        <f>IFERROR(__xludf.DUMMYFUNCTION("""COMPUTED_VALUE"""),"#VALUE!")</f>
        <v>#VALUE!</v>
      </c>
      <c r="K986" s="47"/>
      <c r="L986" s="47"/>
      <c r="M986" s="47"/>
    </row>
    <row r="987">
      <c r="A987" s="47" t="str">
        <f>IFERROR(__xludf.DUMMYFUNCTION("""COMPUTED_VALUE"""),"Virtual Raw Sienna")</f>
        <v>Virtual Raw Sienna</v>
      </c>
      <c r="B987" s="47"/>
      <c r="C987" s="47"/>
      <c r="D987" s="47"/>
      <c r="E987" s="47" t="b">
        <f>IFERROR(__xludf.DUMMYFUNCTION("""COMPUTED_VALUE"""),FALSE)</f>
        <v>0</v>
      </c>
      <c r="F987" s="47"/>
      <c r="G987" s="47" t="str">
        <f>IFERROR(__xludf.DUMMYFUNCTION("""COMPUTED_VALUE"""),"")</f>
        <v/>
      </c>
      <c r="H987" s="47"/>
      <c r="I987" s="47">
        <f>IFERROR(__xludf.DUMMYFUNCTION("""COMPUTED_VALUE"""),0.0)</f>
        <v>0</v>
      </c>
      <c r="J987" s="47" t="str">
        <f>IFERROR(__xludf.DUMMYFUNCTION("""COMPUTED_VALUE"""),"#VALUE!")</f>
        <v>#VALUE!</v>
      </c>
      <c r="K987" s="47"/>
      <c r="L987" s="47"/>
      <c r="M987" s="47"/>
    </row>
    <row r="988">
      <c r="A988" s="47" t="str">
        <f>IFERROR(__xludf.DUMMYFUNCTION("""COMPUTED_VALUE"""),"Virtual Brown")</f>
        <v>Virtual Brown</v>
      </c>
      <c r="B988" s="47" t="str">
        <f>IFERROR(__xludf.DUMMYFUNCTION("""COMPUTED_VALUE"""),"TheFatCats")</f>
        <v>TheFatCats</v>
      </c>
      <c r="C988" s="78" t="str">
        <f>IFERROR(__xludf.DUMMYFUNCTION("""COMPUTED_VALUE"""),"https://www.munzee.com/m/TheFatCats/4886/")</f>
        <v>https://www.munzee.com/m/TheFatCats/4886/</v>
      </c>
      <c r="D988" s="47"/>
      <c r="E988" s="47" t="b">
        <f>IFERROR(__xludf.DUMMYFUNCTION("""COMPUTED_VALUE"""),TRUE)</f>
        <v>1</v>
      </c>
      <c r="F988" s="47" t="str">
        <f>IFERROR(__xludf.DUMMYFUNCTION("""COMPUTED_VALUE"""),"")</f>
        <v/>
      </c>
      <c r="G988" s="47" t="str">
        <f>IFERROR(__xludf.DUMMYFUNCTION("""COMPUTED_VALUE"""),"")</f>
        <v/>
      </c>
      <c r="H988" s="47"/>
      <c r="I988" s="47">
        <f>IFERROR(__xludf.DUMMYFUNCTION("""COMPUTED_VALUE"""),2.0)</f>
        <v>2</v>
      </c>
      <c r="J988" s="47" t="str">
        <f>IFERROR(__xludf.DUMMYFUNCTION("""COMPUTED_VALUE"""),"https:")</f>
        <v>https:</v>
      </c>
      <c r="K988" s="78" t="str">
        <f>IFERROR(__xludf.DUMMYFUNCTION("""COMPUTED_VALUE"""),"www.munzee.com")</f>
        <v>www.munzee.com</v>
      </c>
      <c r="L988" s="47" t="str">
        <f>IFERROR(__xludf.DUMMYFUNCTION("""COMPUTED_VALUE"""),"m")</f>
        <v>m</v>
      </c>
      <c r="M988" s="47" t="str">
        <f>IFERROR(__xludf.DUMMYFUNCTION("""COMPUTED_VALUE"""),"TheFatCats")</f>
        <v>TheFatCats</v>
      </c>
    </row>
    <row r="989">
      <c r="A989" s="47" t="str">
        <f>IFERROR(__xludf.DUMMYFUNCTION("""COMPUTED_VALUE"""),"Virtual Brown")</f>
        <v>Virtual Brown</v>
      </c>
      <c r="B989" s="47" t="str">
        <f>IFERROR(__xludf.DUMMYFUNCTION("""COMPUTED_VALUE"""),"belladivadee")</f>
        <v>belladivadee</v>
      </c>
      <c r="C989" s="78" t="str">
        <f>IFERROR(__xludf.DUMMYFUNCTION("""COMPUTED_VALUE"""),"https://www.munzee.com/m/Belladivadee/3547")</f>
        <v>https://www.munzee.com/m/Belladivadee/3547</v>
      </c>
      <c r="D989" s="47"/>
      <c r="E989" s="47" t="b">
        <f>IFERROR(__xludf.DUMMYFUNCTION("""COMPUTED_VALUE"""),TRUE)</f>
        <v>1</v>
      </c>
      <c r="F989" s="47" t="str">
        <f>IFERROR(__xludf.DUMMYFUNCTION("""COMPUTED_VALUE"""),"")</f>
        <v/>
      </c>
      <c r="G989" s="47" t="str">
        <f>IFERROR(__xludf.DUMMYFUNCTION("""COMPUTED_VALUE"""),"")</f>
        <v/>
      </c>
      <c r="H989" s="47"/>
      <c r="I989" s="47">
        <f>IFERROR(__xludf.DUMMYFUNCTION("""COMPUTED_VALUE"""),2.0)</f>
        <v>2</v>
      </c>
      <c r="J989" s="47" t="str">
        <f>IFERROR(__xludf.DUMMYFUNCTION("""COMPUTED_VALUE"""),"https:")</f>
        <v>https:</v>
      </c>
      <c r="K989" s="78" t="str">
        <f>IFERROR(__xludf.DUMMYFUNCTION("""COMPUTED_VALUE"""),"www.munzee.com")</f>
        <v>www.munzee.com</v>
      </c>
      <c r="L989" s="47" t="str">
        <f>IFERROR(__xludf.DUMMYFUNCTION("""COMPUTED_VALUE"""),"m")</f>
        <v>m</v>
      </c>
      <c r="M989" s="47" t="str">
        <f>IFERROR(__xludf.DUMMYFUNCTION("""COMPUTED_VALUE"""),"Belladivadee")</f>
        <v>Belladivadee</v>
      </c>
    </row>
    <row r="990">
      <c r="A990" s="47" t="str">
        <f>IFERROR(__xludf.DUMMYFUNCTION("""COMPUTED_VALUE"""),"Virtual Brown")</f>
        <v>Virtual Brown</v>
      </c>
      <c r="B990" s="47" t="str">
        <f>IFERROR(__xludf.DUMMYFUNCTION("""COMPUTED_VALUE"""),"sverlaan")</f>
        <v>sverlaan</v>
      </c>
      <c r="C990" s="78" t="str">
        <f>IFERROR(__xludf.DUMMYFUNCTION("""COMPUTED_VALUE"""),"https://www.munzee.com/m/sverlaan/4471/")</f>
        <v>https://www.munzee.com/m/sverlaan/4471/</v>
      </c>
      <c r="D990" s="47"/>
      <c r="E990" s="47" t="b">
        <f>IFERROR(__xludf.DUMMYFUNCTION("""COMPUTED_VALUE"""),TRUE)</f>
        <v>1</v>
      </c>
      <c r="F990" s="47" t="str">
        <f>IFERROR(__xludf.DUMMYFUNCTION("""COMPUTED_VALUE"""),"")</f>
        <v/>
      </c>
      <c r="G990" s="47" t="str">
        <f>IFERROR(__xludf.DUMMYFUNCTION("""COMPUTED_VALUE"""),"")</f>
        <v/>
      </c>
      <c r="H990" s="47"/>
      <c r="I990" s="47">
        <f>IFERROR(__xludf.DUMMYFUNCTION("""COMPUTED_VALUE"""),2.0)</f>
        <v>2</v>
      </c>
      <c r="J990" s="47" t="str">
        <f>IFERROR(__xludf.DUMMYFUNCTION("""COMPUTED_VALUE"""),"https:")</f>
        <v>https:</v>
      </c>
      <c r="K990" s="78" t="str">
        <f>IFERROR(__xludf.DUMMYFUNCTION("""COMPUTED_VALUE"""),"www.munzee.com")</f>
        <v>www.munzee.com</v>
      </c>
      <c r="L990" s="47" t="str">
        <f>IFERROR(__xludf.DUMMYFUNCTION("""COMPUTED_VALUE"""),"m")</f>
        <v>m</v>
      </c>
      <c r="M990" s="47" t="str">
        <f>IFERROR(__xludf.DUMMYFUNCTION("""COMPUTED_VALUE"""),"sverlaan")</f>
        <v>sverlaan</v>
      </c>
    </row>
    <row r="991">
      <c r="A991" s="47" t="str">
        <f>IFERROR(__xludf.DUMMYFUNCTION("""COMPUTED_VALUE"""),"Virtual Raw Sienna")</f>
        <v>Virtual Raw Sienna</v>
      </c>
      <c r="B991" s="47" t="str">
        <f>IFERROR(__xludf.DUMMYFUNCTION("""COMPUTED_VALUE"""),"emilep68")</f>
        <v>emilep68</v>
      </c>
      <c r="C991" s="78" t="str">
        <f>IFERROR(__xludf.DUMMYFUNCTION("""COMPUTED_VALUE"""),"https://www.munzee.com/m/EmileP68/3357/")</f>
        <v>https://www.munzee.com/m/EmileP68/3357/</v>
      </c>
      <c r="D991" s="47"/>
      <c r="E991" s="47" t="b">
        <f>IFERROR(__xludf.DUMMYFUNCTION("""COMPUTED_VALUE"""),TRUE)</f>
        <v>1</v>
      </c>
      <c r="F991" s="47" t="str">
        <f>IFERROR(__xludf.DUMMYFUNCTION("""COMPUTED_VALUE"""),"")</f>
        <v/>
      </c>
      <c r="G991" s="47" t="str">
        <f>IFERROR(__xludf.DUMMYFUNCTION("""COMPUTED_VALUE"""),"")</f>
        <v/>
      </c>
      <c r="H991" s="47"/>
      <c r="I991" s="47">
        <f>IFERROR(__xludf.DUMMYFUNCTION("""COMPUTED_VALUE"""),2.0)</f>
        <v>2</v>
      </c>
      <c r="J991" s="47" t="str">
        <f>IFERROR(__xludf.DUMMYFUNCTION("""COMPUTED_VALUE"""),"https:")</f>
        <v>https:</v>
      </c>
      <c r="K991" s="78" t="str">
        <f>IFERROR(__xludf.DUMMYFUNCTION("""COMPUTED_VALUE"""),"www.munzee.com")</f>
        <v>www.munzee.com</v>
      </c>
      <c r="L991" s="47" t="str">
        <f>IFERROR(__xludf.DUMMYFUNCTION("""COMPUTED_VALUE"""),"m")</f>
        <v>m</v>
      </c>
      <c r="M991" s="47" t="str">
        <f>IFERROR(__xludf.DUMMYFUNCTION("""COMPUTED_VALUE"""),"EmileP68")</f>
        <v>EmileP68</v>
      </c>
    </row>
    <row r="992">
      <c r="A992" s="47" t="str">
        <f>IFERROR(__xludf.DUMMYFUNCTION("""COMPUTED_VALUE"""),"Virtual Raw Sienna")</f>
        <v>Virtual Raw Sienna</v>
      </c>
      <c r="B992" s="47" t="str">
        <f>IFERROR(__xludf.DUMMYFUNCTION("""COMPUTED_VALUE"""),"Pawpatrolthomas")</f>
        <v>Pawpatrolthomas</v>
      </c>
      <c r="C992" s="78" t="str">
        <f>IFERROR(__xludf.DUMMYFUNCTION("""COMPUTED_VALUE"""),"https://www.munzee.com/m/PawPatrolThomas/2887/")</f>
        <v>https://www.munzee.com/m/PawPatrolThomas/2887/</v>
      </c>
      <c r="D992" s="47"/>
      <c r="E992" s="47" t="b">
        <f>IFERROR(__xludf.DUMMYFUNCTION("""COMPUTED_VALUE"""),TRUE)</f>
        <v>1</v>
      </c>
      <c r="F992" s="47" t="str">
        <f>IFERROR(__xludf.DUMMYFUNCTION("""COMPUTED_VALUE"""),"")</f>
        <v/>
      </c>
      <c r="G992" s="47" t="str">
        <f>IFERROR(__xludf.DUMMYFUNCTION("""COMPUTED_VALUE"""),"")</f>
        <v/>
      </c>
      <c r="H992" s="47"/>
      <c r="I992" s="47">
        <f>IFERROR(__xludf.DUMMYFUNCTION("""COMPUTED_VALUE"""),2.0)</f>
        <v>2</v>
      </c>
      <c r="J992" s="47" t="str">
        <f>IFERROR(__xludf.DUMMYFUNCTION("""COMPUTED_VALUE"""),"https:")</f>
        <v>https:</v>
      </c>
      <c r="K992" s="78" t="str">
        <f>IFERROR(__xludf.DUMMYFUNCTION("""COMPUTED_VALUE"""),"www.munzee.com")</f>
        <v>www.munzee.com</v>
      </c>
      <c r="L992" s="47" t="str">
        <f>IFERROR(__xludf.DUMMYFUNCTION("""COMPUTED_VALUE"""),"m")</f>
        <v>m</v>
      </c>
      <c r="M992" s="47" t="str">
        <f>IFERROR(__xludf.DUMMYFUNCTION("""COMPUTED_VALUE"""),"PawPatrolThomas")</f>
        <v>PawPatrolThomas</v>
      </c>
    </row>
    <row r="993">
      <c r="A993" s="47" t="str">
        <f>IFERROR(__xludf.DUMMYFUNCTION("""COMPUTED_VALUE"""),"Virtual Brown")</f>
        <v>Virtual Brown</v>
      </c>
      <c r="B993" s="47" t="str">
        <f>IFERROR(__xludf.DUMMYFUNCTION("""COMPUTED_VALUE"""),"xrayneex")</f>
        <v>xrayneex</v>
      </c>
      <c r="C993" s="78" t="str">
        <f>IFERROR(__xludf.DUMMYFUNCTION("""COMPUTED_VALUE"""),"https://www.munzee.com/m/xrayneex/2138/")</f>
        <v>https://www.munzee.com/m/xrayneex/2138/</v>
      </c>
      <c r="D993" s="47"/>
      <c r="E993" s="47" t="b">
        <f>IFERROR(__xludf.DUMMYFUNCTION("""COMPUTED_VALUE"""),TRUE)</f>
        <v>1</v>
      </c>
      <c r="F993" s="47" t="str">
        <f>IFERROR(__xludf.DUMMYFUNCTION("""COMPUTED_VALUE"""),"")</f>
        <v/>
      </c>
      <c r="G993" s="47" t="str">
        <f>IFERROR(__xludf.DUMMYFUNCTION("""COMPUTED_VALUE"""),"")</f>
        <v/>
      </c>
      <c r="H993" s="47"/>
      <c r="I993" s="47">
        <f>IFERROR(__xludf.DUMMYFUNCTION("""COMPUTED_VALUE"""),2.0)</f>
        <v>2</v>
      </c>
      <c r="J993" s="47" t="str">
        <f>IFERROR(__xludf.DUMMYFUNCTION("""COMPUTED_VALUE"""),"https:")</f>
        <v>https:</v>
      </c>
      <c r="K993" s="78" t="str">
        <f>IFERROR(__xludf.DUMMYFUNCTION("""COMPUTED_VALUE"""),"www.munzee.com")</f>
        <v>www.munzee.com</v>
      </c>
      <c r="L993" s="47" t="str">
        <f>IFERROR(__xludf.DUMMYFUNCTION("""COMPUTED_VALUE"""),"m")</f>
        <v>m</v>
      </c>
      <c r="M993" s="47" t="str">
        <f>IFERROR(__xludf.DUMMYFUNCTION("""COMPUTED_VALUE"""),"xrayneex")</f>
        <v>xrayneex</v>
      </c>
    </row>
    <row r="994">
      <c r="A994" s="47" t="str">
        <f>IFERROR(__xludf.DUMMYFUNCTION("""COMPUTED_VALUE"""),"Virtual Brown")</f>
        <v>Virtual Brown</v>
      </c>
      <c r="B994" s="47" t="str">
        <f>IFERROR(__xludf.DUMMYFUNCTION("""COMPUTED_VALUE"""),"raunas")</f>
        <v>raunas</v>
      </c>
      <c r="C994" s="78" t="str">
        <f>IFERROR(__xludf.DUMMYFUNCTION("""COMPUTED_VALUE"""),"https://www.munzee.com/m/raunas/12414")</f>
        <v>https://www.munzee.com/m/raunas/12414</v>
      </c>
      <c r="D994" s="47"/>
      <c r="E994" s="47" t="b">
        <f>IFERROR(__xludf.DUMMYFUNCTION("""COMPUTED_VALUE"""),TRUE)</f>
        <v>1</v>
      </c>
      <c r="F994" s="47"/>
      <c r="G994" s="47" t="str">
        <f>IFERROR(__xludf.DUMMYFUNCTION("""COMPUTED_VALUE"""),"")</f>
        <v/>
      </c>
      <c r="H994" s="47"/>
      <c r="I994" s="47">
        <f>IFERROR(__xludf.DUMMYFUNCTION("""COMPUTED_VALUE"""),2.0)</f>
        <v>2</v>
      </c>
      <c r="J994" s="47" t="str">
        <f>IFERROR(__xludf.DUMMYFUNCTION("""COMPUTED_VALUE"""),"https:")</f>
        <v>https:</v>
      </c>
      <c r="K994" s="78" t="str">
        <f>IFERROR(__xludf.DUMMYFUNCTION("""COMPUTED_VALUE"""),"www.munzee.com")</f>
        <v>www.munzee.com</v>
      </c>
      <c r="L994" s="47" t="str">
        <f>IFERROR(__xludf.DUMMYFUNCTION("""COMPUTED_VALUE"""),"m")</f>
        <v>m</v>
      </c>
      <c r="M994" s="47" t="str">
        <f>IFERROR(__xludf.DUMMYFUNCTION("""COMPUTED_VALUE"""),"raunas")</f>
        <v>raunas</v>
      </c>
    </row>
    <row r="995">
      <c r="A995" s="47" t="str">
        <f>IFERROR(__xludf.DUMMYFUNCTION("""COMPUTED_VALUE"""),"Virtual Brown")</f>
        <v>Virtual Brown</v>
      </c>
      <c r="B995" s="47" t="str">
        <f>IFERROR(__xludf.DUMMYFUNCTION("""COMPUTED_VALUE"""),"barefootguru")</f>
        <v>barefootguru</v>
      </c>
      <c r="C995" s="78" t="str">
        <f>IFERROR(__xludf.DUMMYFUNCTION("""COMPUTED_VALUE"""),"https://www.munzee.com/m/barefootguru/3321/")</f>
        <v>https://www.munzee.com/m/barefootguru/3321/</v>
      </c>
      <c r="D995" s="47"/>
      <c r="E995" s="47" t="b">
        <f>IFERROR(__xludf.DUMMYFUNCTION("""COMPUTED_VALUE"""),TRUE)</f>
        <v>1</v>
      </c>
      <c r="F995" s="47" t="str">
        <f>IFERROR(__xludf.DUMMYFUNCTION("""COMPUTED_VALUE"""),"")</f>
        <v/>
      </c>
      <c r="G995" s="47" t="str">
        <f>IFERROR(__xludf.DUMMYFUNCTION("""COMPUTED_VALUE"""),"")</f>
        <v/>
      </c>
      <c r="H995" s="47"/>
      <c r="I995" s="47">
        <f>IFERROR(__xludf.DUMMYFUNCTION("""COMPUTED_VALUE"""),2.0)</f>
        <v>2</v>
      </c>
      <c r="J995" s="47" t="str">
        <f>IFERROR(__xludf.DUMMYFUNCTION("""COMPUTED_VALUE"""),"https:")</f>
        <v>https:</v>
      </c>
      <c r="K995" s="78" t="str">
        <f>IFERROR(__xludf.DUMMYFUNCTION("""COMPUTED_VALUE"""),"www.munzee.com")</f>
        <v>www.munzee.com</v>
      </c>
      <c r="L995" s="47" t="str">
        <f>IFERROR(__xludf.DUMMYFUNCTION("""COMPUTED_VALUE"""),"m")</f>
        <v>m</v>
      </c>
      <c r="M995" s="47" t="str">
        <f>IFERROR(__xludf.DUMMYFUNCTION("""COMPUTED_VALUE"""),"barefootguru")</f>
        <v>barefootguru</v>
      </c>
    </row>
    <row r="996">
      <c r="A996" s="47" t="str">
        <f>IFERROR(__xludf.DUMMYFUNCTION("""COMPUTED_VALUE"""),"Virtual Raw Sienna")</f>
        <v>Virtual Raw Sienna</v>
      </c>
      <c r="B996" s="47" t="str">
        <f>IFERROR(__xludf.DUMMYFUNCTION("""COMPUTED_VALUE"""),"GroteSufferd")</f>
        <v>GroteSufferd</v>
      </c>
      <c r="C996" s="78" t="str">
        <f>IFERROR(__xludf.DUMMYFUNCTION("""COMPUTED_VALUE"""),"https://www.munzee.com/m/GroteSufferd/653/")</f>
        <v>https://www.munzee.com/m/GroteSufferd/653/</v>
      </c>
      <c r="D996" s="47"/>
      <c r="E996" s="47" t="b">
        <f>IFERROR(__xludf.DUMMYFUNCTION("""COMPUTED_VALUE"""),TRUE)</f>
        <v>1</v>
      </c>
      <c r="F996" s="47" t="str">
        <f>IFERROR(__xludf.DUMMYFUNCTION("""COMPUTED_VALUE"""),"")</f>
        <v/>
      </c>
      <c r="G996" s="47" t="str">
        <f>IFERROR(__xludf.DUMMYFUNCTION("""COMPUTED_VALUE"""),"")</f>
        <v/>
      </c>
      <c r="H996" s="47"/>
      <c r="I996" s="47">
        <f>IFERROR(__xludf.DUMMYFUNCTION("""COMPUTED_VALUE"""),2.0)</f>
        <v>2</v>
      </c>
      <c r="J996" s="47" t="str">
        <f>IFERROR(__xludf.DUMMYFUNCTION("""COMPUTED_VALUE"""),"https:")</f>
        <v>https:</v>
      </c>
      <c r="K996" s="78" t="str">
        <f>IFERROR(__xludf.DUMMYFUNCTION("""COMPUTED_VALUE"""),"www.munzee.com")</f>
        <v>www.munzee.com</v>
      </c>
      <c r="L996" s="47" t="str">
        <f>IFERROR(__xludf.DUMMYFUNCTION("""COMPUTED_VALUE"""),"m")</f>
        <v>m</v>
      </c>
      <c r="M996" s="47" t="str">
        <f>IFERROR(__xludf.DUMMYFUNCTION("""COMPUTED_VALUE"""),"GroteSufferd")</f>
        <v>GroteSufferd</v>
      </c>
    </row>
    <row r="997">
      <c r="A997" s="47" t="str">
        <f>IFERROR(__xludf.DUMMYFUNCTION("""COMPUTED_VALUE"""),"Virtual Brown")</f>
        <v>Virtual Brown</v>
      </c>
      <c r="B997" s="47" t="str">
        <f>IFERROR(__xludf.DUMMYFUNCTION("""COMPUTED_VALUE"""),"J1Huisman")</f>
        <v>J1Huisman</v>
      </c>
      <c r="C997" s="78" t="str">
        <f>IFERROR(__xludf.DUMMYFUNCTION("""COMPUTED_VALUE"""),"https://www.munzee.com/m/J1Huisman/11218/")</f>
        <v>https://www.munzee.com/m/J1Huisman/11218/</v>
      </c>
      <c r="D997" s="47"/>
      <c r="E997" s="47" t="b">
        <f>IFERROR(__xludf.DUMMYFUNCTION("""COMPUTED_VALUE"""),TRUE)</f>
        <v>1</v>
      </c>
      <c r="F997" s="47" t="str">
        <f>IFERROR(__xludf.DUMMYFUNCTION("""COMPUTED_VALUE"""),"")</f>
        <v/>
      </c>
      <c r="G997" s="47" t="str">
        <f>IFERROR(__xludf.DUMMYFUNCTION("""COMPUTED_VALUE"""),"")</f>
        <v/>
      </c>
      <c r="H997" s="47"/>
      <c r="I997" s="47">
        <f>IFERROR(__xludf.DUMMYFUNCTION("""COMPUTED_VALUE"""),2.0)</f>
        <v>2</v>
      </c>
      <c r="J997" s="47" t="str">
        <f>IFERROR(__xludf.DUMMYFUNCTION("""COMPUTED_VALUE"""),"https:")</f>
        <v>https:</v>
      </c>
      <c r="K997" s="78" t="str">
        <f>IFERROR(__xludf.DUMMYFUNCTION("""COMPUTED_VALUE"""),"www.munzee.com")</f>
        <v>www.munzee.com</v>
      </c>
      <c r="L997" s="47" t="str">
        <f>IFERROR(__xludf.DUMMYFUNCTION("""COMPUTED_VALUE"""),"m")</f>
        <v>m</v>
      </c>
      <c r="M997" s="47" t="str">
        <f>IFERROR(__xludf.DUMMYFUNCTION("""COMPUTED_VALUE"""),"J1Huisman")</f>
        <v>J1Huisman</v>
      </c>
    </row>
    <row r="998">
      <c r="A998" s="47" t="str">
        <f>IFERROR(__xludf.DUMMYFUNCTION("""COMPUTED_VALUE"""),"Virtual Brown")</f>
        <v>Virtual Brown</v>
      </c>
      <c r="B998" s="47" t="str">
        <f>IFERROR(__xludf.DUMMYFUNCTION("""COMPUTED_VALUE"""),"Pinkeltje")</f>
        <v>Pinkeltje</v>
      </c>
      <c r="C998" s="78" t="str">
        <f>IFERROR(__xludf.DUMMYFUNCTION("""COMPUTED_VALUE"""),"https://www.munzee.com/m/Pinkeltje/1928/")</f>
        <v>https://www.munzee.com/m/Pinkeltje/1928/</v>
      </c>
      <c r="D998" s="47"/>
      <c r="E998" s="47" t="b">
        <f>IFERROR(__xludf.DUMMYFUNCTION("""COMPUTED_VALUE"""),TRUE)</f>
        <v>1</v>
      </c>
      <c r="F998" s="47" t="str">
        <f>IFERROR(__xludf.DUMMYFUNCTION("""COMPUTED_VALUE"""),"")</f>
        <v/>
      </c>
      <c r="G998" s="47" t="str">
        <f>IFERROR(__xludf.DUMMYFUNCTION("""COMPUTED_VALUE"""),"")</f>
        <v/>
      </c>
      <c r="H998" s="47"/>
      <c r="I998" s="47">
        <f>IFERROR(__xludf.DUMMYFUNCTION("""COMPUTED_VALUE"""),2.0)</f>
        <v>2</v>
      </c>
      <c r="J998" s="47" t="str">
        <f>IFERROR(__xludf.DUMMYFUNCTION("""COMPUTED_VALUE"""),"https:")</f>
        <v>https:</v>
      </c>
      <c r="K998" s="78" t="str">
        <f>IFERROR(__xludf.DUMMYFUNCTION("""COMPUTED_VALUE"""),"www.munzee.com")</f>
        <v>www.munzee.com</v>
      </c>
      <c r="L998" s="47" t="str">
        <f>IFERROR(__xludf.DUMMYFUNCTION("""COMPUTED_VALUE"""),"m")</f>
        <v>m</v>
      </c>
      <c r="M998" s="47" t="str">
        <f>IFERROR(__xludf.DUMMYFUNCTION("""COMPUTED_VALUE"""),"Pinkeltje")</f>
        <v>Pinkeltje</v>
      </c>
    </row>
    <row r="999">
      <c r="A999" s="47" t="str">
        <f>IFERROR(__xludf.DUMMYFUNCTION("""COMPUTED_VALUE"""),"Virtual Brown")</f>
        <v>Virtual Brown</v>
      </c>
      <c r="B999" s="47" t="str">
        <f>IFERROR(__xludf.DUMMYFUNCTION("""COMPUTED_VALUE"""),"Derlame ")</f>
        <v>Derlame </v>
      </c>
      <c r="C999" s="78" t="str">
        <f>IFERROR(__xludf.DUMMYFUNCTION("""COMPUTED_VALUE"""),"https://www.munzee.com/m/Derlame/16221/")</f>
        <v>https://www.munzee.com/m/Derlame/16221/</v>
      </c>
      <c r="D999" s="47"/>
      <c r="E999" s="47" t="b">
        <f>IFERROR(__xludf.DUMMYFUNCTION("""COMPUTED_VALUE"""),TRUE)</f>
        <v>1</v>
      </c>
      <c r="F999" s="47" t="str">
        <f>IFERROR(__xludf.DUMMYFUNCTION("""COMPUTED_VALUE"""),"")</f>
        <v/>
      </c>
      <c r="G999" s="47" t="str">
        <f>IFERROR(__xludf.DUMMYFUNCTION("""COMPUTED_VALUE"""),"")</f>
        <v/>
      </c>
      <c r="H999" s="47"/>
      <c r="I999" s="47">
        <f>IFERROR(__xludf.DUMMYFUNCTION("""COMPUTED_VALUE"""),2.0)</f>
        <v>2</v>
      </c>
      <c r="J999" s="47" t="str">
        <f>IFERROR(__xludf.DUMMYFUNCTION("""COMPUTED_VALUE"""),"https:")</f>
        <v>https:</v>
      </c>
      <c r="K999" s="78" t="str">
        <f>IFERROR(__xludf.DUMMYFUNCTION("""COMPUTED_VALUE"""),"www.munzee.com")</f>
        <v>www.munzee.com</v>
      </c>
      <c r="L999" s="47" t="str">
        <f>IFERROR(__xludf.DUMMYFUNCTION("""COMPUTED_VALUE"""),"m")</f>
        <v>m</v>
      </c>
      <c r="M999" s="47" t="str">
        <f>IFERROR(__xludf.DUMMYFUNCTION("""COMPUTED_VALUE"""),"Derlame")</f>
        <v>Derlame</v>
      </c>
    </row>
    <row r="1000">
      <c r="A1000" s="47" t="str">
        <f>IFERROR(__xludf.DUMMYFUNCTION("""COMPUTED_VALUE"""),"Virtual Brown")</f>
        <v>Virtual Brown</v>
      </c>
      <c r="B1000" s="47" t="str">
        <f>IFERROR(__xludf.DUMMYFUNCTION("""COMPUTED_VALUE"""),"Drazoria")</f>
        <v>Drazoria</v>
      </c>
      <c r="C1000" s="78" t="str">
        <f>IFERROR(__xludf.DUMMYFUNCTION("""COMPUTED_VALUE"""),"https://www.munzee.com/m/Drazoria/1532/")</f>
        <v>https://www.munzee.com/m/Drazoria/1532/</v>
      </c>
      <c r="D1000" s="47"/>
      <c r="E1000" s="47" t="b">
        <f>IFERROR(__xludf.DUMMYFUNCTION("""COMPUTED_VALUE"""),TRUE)</f>
        <v>1</v>
      </c>
      <c r="F1000" s="47" t="str">
        <f>IFERROR(__xludf.DUMMYFUNCTION("""COMPUTED_VALUE"""),"")</f>
        <v/>
      </c>
      <c r="G1000" s="47" t="str">
        <f>IFERROR(__xludf.DUMMYFUNCTION("""COMPUTED_VALUE"""),"")</f>
        <v/>
      </c>
      <c r="H1000" s="47"/>
      <c r="I1000" s="47">
        <f>IFERROR(__xludf.DUMMYFUNCTION("""COMPUTED_VALUE"""),2.0)</f>
        <v>2</v>
      </c>
      <c r="J1000" s="47" t="str">
        <f>IFERROR(__xludf.DUMMYFUNCTION("""COMPUTED_VALUE"""),"https:")</f>
        <v>https:</v>
      </c>
      <c r="K1000" s="78" t="str">
        <f>IFERROR(__xludf.DUMMYFUNCTION("""COMPUTED_VALUE"""),"www.munzee.com")</f>
        <v>www.munzee.com</v>
      </c>
      <c r="L1000" s="47" t="str">
        <f>IFERROR(__xludf.DUMMYFUNCTION("""COMPUTED_VALUE"""),"m")</f>
        <v>m</v>
      </c>
      <c r="M1000" s="47" t="str">
        <f>IFERROR(__xludf.DUMMYFUNCTION("""COMPUTED_VALUE"""),"Drazoria")</f>
        <v>Drazoria</v>
      </c>
    </row>
    <row r="1001">
      <c r="A1001" s="47" t="str">
        <f>IFERROR(__xludf.DUMMYFUNCTION("""COMPUTED_VALUE"""),"Virtual Brown")</f>
        <v>Virtual Brown</v>
      </c>
      <c r="B1001" s="47" t="str">
        <f>IFERROR(__xludf.DUMMYFUNCTION("""COMPUTED_VALUE"""),"Tinake1309")</f>
        <v>Tinake1309</v>
      </c>
      <c r="C1001" s="78" t="str">
        <f>IFERROR(__xludf.DUMMYFUNCTION("""COMPUTED_VALUE"""),"https://www.munzee.com/m/Tinake1309/1533/")</f>
        <v>https://www.munzee.com/m/Tinake1309/1533/</v>
      </c>
      <c r="D1001" s="47"/>
      <c r="E1001" s="47" t="b">
        <f>IFERROR(__xludf.DUMMYFUNCTION("""COMPUTED_VALUE"""),TRUE)</f>
        <v>1</v>
      </c>
      <c r="F1001" s="47" t="str">
        <f>IFERROR(__xludf.DUMMYFUNCTION("""COMPUTED_VALUE"""),"")</f>
        <v/>
      </c>
      <c r="G1001" s="47" t="str">
        <f>IFERROR(__xludf.DUMMYFUNCTION("""COMPUTED_VALUE"""),"")</f>
        <v/>
      </c>
      <c r="H1001" s="47"/>
      <c r="I1001" s="47">
        <f>IFERROR(__xludf.DUMMYFUNCTION("""COMPUTED_VALUE"""),2.0)</f>
        <v>2</v>
      </c>
      <c r="J1001" s="47" t="str">
        <f>IFERROR(__xludf.DUMMYFUNCTION("""COMPUTED_VALUE"""),"https:")</f>
        <v>https:</v>
      </c>
      <c r="K1001" s="78" t="str">
        <f>IFERROR(__xludf.DUMMYFUNCTION("""COMPUTED_VALUE"""),"www.munzee.com")</f>
        <v>www.munzee.com</v>
      </c>
      <c r="L1001" s="47" t="str">
        <f>IFERROR(__xludf.DUMMYFUNCTION("""COMPUTED_VALUE"""),"m")</f>
        <v>m</v>
      </c>
      <c r="M1001" s="47" t="str">
        <f>IFERROR(__xludf.DUMMYFUNCTION("""COMPUTED_VALUE"""),"Tinake1309")</f>
        <v>Tinake1309</v>
      </c>
    </row>
    <row r="1002">
      <c r="A1002" s="47" t="str">
        <f>IFERROR(__xludf.DUMMYFUNCTION("""COMPUTED_VALUE"""),"Virtual Brown")</f>
        <v>Virtual Brown</v>
      </c>
      <c r="B1002" s="47" t="str">
        <f>IFERROR(__xludf.DUMMYFUNCTION("""COMPUTED_VALUE"""),"Berg14")</f>
        <v>Berg14</v>
      </c>
      <c r="C1002" s="78" t="str">
        <f>IFERROR(__xludf.DUMMYFUNCTION("""COMPUTED_VALUE"""),"https://www.munzee.com/m/Berg14/1316/")</f>
        <v>https://www.munzee.com/m/Berg14/1316/</v>
      </c>
      <c r="D1002" s="47"/>
      <c r="E1002" s="47" t="b">
        <f>IFERROR(__xludf.DUMMYFUNCTION("""COMPUTED_VALUE"""),TRUE)</f>
        <v>1</v>
      </c>
      <c r="F1002" s="47" t="str">
        <f>IFERROR(__xludf.DUMMYFUNCTION("""COMPUTED_VALUE"""),"")</f>
        <v/>
      </c>
      <c r="G1002" s="47" t="str">
        <f>IFERROR(__xludf.DUMMYFUNCTION("""COMPUTED_VALUE"""),"")</f>
        <v/>
      </c>
      <c r="H1002" s="47"/>
      <c r="I1002" s="47">
        <f>IFERROR(__xludf.DUMMYFUNCTION("""COMPUTED_VALUE"""),2.0)</f>
        <v>2</v>
      </c>
      <c r="J1002" s="47" t="str">
        <f>IFERROR(__xludf.DUMMYFUNCTION("""COMPUTED_VALUE"""),"https:")</f>
        <v>https:</v>
      </c>
      <c r="K1002" s="78" t="str">
        <f>IFERROR(__xludf.DUMMYFUNCTION("""COMPUTED_VALUE"""),"www.munzee.com")</f>
        <v>www.munzee.com</v>
      </c>
      <c r="L1002" s="47" t="str">
        <f>IFERROR(__xludf.DUMMYFUNCTION("""COMPUTED_VALUE"""),"m")</f>
        <v>m</v>
      </c>
      <c r="M1002" s="47" t="str">
        <f>IFERROR(__xludf.DUMMYFUNCTION("""COMPUTED_VALUE"""),"Berg14")</f>
        <v>Berg14</v>
      </c>
    </row>
    <row r="1003">
      <c r="A1003" s="47" t="str">
        <f>IFERROR(__xludf.DUMMYFUNCTION("""COMPUTED_VALUE"""),"Virtual Brown")</f>
        <v>Virtual Brown</v>
      </c>
      <c r="B1003" s="47" t="str">
        <f>IFERROR(__xludf.DUMMYFUNCTION("""COMPUTED_VALUE"""),"Niks13")</f>
        <v>Niks13</v>
      </c>
      <c r="C1003" s="78" t="str">
        <f>IFERROR(__xludf.DUMMYFUNCTION("""COMPUTED_VALUE"""),"https://www.munzee.com/m/Niks13/1355/")</f>
        <v>https://www.munzee.com/m/Niks13/1355/</v>
      </c>
      <c r="D1003" s="47"/>
      <c r="E1003" s="47" t="b">
        <f>IFERROR(__xludf.DUMMYFUNCTION("""COMPUTED_VALUE"""),TRUE)</f>
        <v>1</v>
      </c>
      <c r="F1003" s="47" t="str">
        <f>IFERROR(__xludf.DUMMYFUNCTION("""COMPUTED_VALUE"""),"")</f>
        <v/>
      </c>
      <c r="G1003" s="47" t="str">
        <f>IFERROR(__xludf.DUMMYFUNCTION("""COMPUTED_VALUE"""),"")</f>
        <v/>
      </c>
      <c r="H1003" s="47"/>
      <c r="I1003" s="47">
        <f>IFERROR(__xludf.DUMMYFUNCTION("""COMPUTED_VALUE"""),2.0)</f>
        <v>2</v>
      </c>
      <c r="J1003" s="47" t="str">
        <f>IFERROR(__xludf.DUMMYFUNCTION("""COMPUTED_VALUE"""),"https:")</f>
        <v>https:</v>
      </c>
      <c r="K1003" s="78" t="str">
        <f>IFERROR(__xludf.DUMMYFUNCTION("""COMPUTED_VALUE"""),"www.munzee.com")</f>
        <v>www.munzee.com</v>
      </c>
      <c r="L1003" s="47" t="str">
        <f>IFERROR(__xludf.DUMMYFUNCTION("""COMPUTED_VALUE"""),"m")</f>
        <v>m</v>
      </c>
      <c r="M1003" s="47" t="str">
        <f>IFERROR(__xludf.DUMMYFUNCTION("""COMPUTED_VALUE"""),"Niks13")</f>
        <v>Niks13</v>
      </c>
    </row>
    <row r="1004">
      <c r="A1004" s="47" t="str">
        <f>IFERROR(__xludf.DUMMYFUNCTION("""COMPUTED_VALUE"""),"Virtual Brown")</f>
        <v>Virtual Brown</v>
      </c>
      <c r="B1004" s="47" t="str">
        <f>IFERROR(__xludf.DUMMYFUNCTION("""COMPUTED_VALUE"""),"fsafranek")</f>
        <v>fsafranek</v>
      </c>
      <c r="C1004" s="78" t="str">
        <f>IFERROR(__xludf.DUMMYFUNCTION("""COMPUTED_VALUE"""),"https://www.munzee.com/m/fsafranek/5159/")</f>
        <v>https://www.munzee.com/m/fsafranek/5159/</v>
      </c>
      <c r="D1004" s="47"/>
      <c r="E1004" s="47" t="b">
        <f>IFERROR(__xludf.DUMMYFUNCTION("""COMPUTED_VALUE"""),TRUE)</f>
        <v>1</v>
      </c>
      <c r="F1004" s="47" t="str">
        <f>IFERROR(__xludf.DUMMYFUNCTION("""COMPUTED_VALUE"""),"")</f>
        <v/>
      </c>
      <c r="G1004" s="47" t="str">
        <f>IFERROR(__xludf.DUMMYFUNCTION("""COMPUTED_VALUE"""),"")</f>
        <v/>
      </c>
      <c r="H1004" s="47"/>
      <c r="I1004" s="47">
        <f>IFERROR(__xludf.DUMMYFUNCTION("""COMPUTED_VALUE"""),2.0)</f>
        <v>2</v>
      </c>
      <c r="J1004" s="47" t="str">
        <f>IFERROR(__xludf.DUMMYFUNCTION("""COMPUTED_VALUE"""),"https:")</f>
        <v>https:</v>
      </c>
      <c r="K1004" s="78" t="str">
        <f>IFERROR(__xludf.DUMMYFUNCTION("""COMPUTED_VALUE"""),"www.munzee.com")</f>
        <v>www.munzee.com</v>
      </c>
      <c r="L1004" s="47" t="str">
        <f>IFERROR(__xludf.DUMMYFUNCTION("""COMPUTED_VALUE"""),"m")</f>
        <v>m</v>
      </c>
      <c r="M1004" s="47" t="str">
        <f>IFERROR(__xludf.DUMMYFUNCTION("""COMPUTED_VALUE"""),"fsafranek")</f>
        <v>fsafranek</v>
      </c>
    </row>
    <row r="1005">
      <c r="A1005" s="47" t="str">
        <f>IFERROR(__xludf.DUMMYFUNCTION("""COMPUTED_VALUE"""),"Virtual Brown")</f>
        <v>Virtual Brown</v>
      </c>
      <c r="B1005" s="47" t="str">
        <f>IFERROR(__xludf.DUMMYFUNCTION("""COMPUTED_VALUE"""),"ArtofEco")</f>
        <v>ArtofEco</v>
      </c>
      <c r="C1005" s="78" t="str">
        <f>IFERROR(__xludf.DUMMYFUNCTION("""COMPUTED_VALUE"""),"https://www.munzee.com/m/ArtofEco/3347/")</f>
        <v>https://www.munzee.com/m/ArtofEco/3347/</v>
      </c>
      <c r="D1005" s="47"/>
      <c r="E1005" s="47" t="b">
        <f>IFERROR(__xludf.DUMMYFUNCTION("""COMPUTED_VALUE"""),TRUE)</f>
        <v>1</v>
      </c>
      <c r="F1005" s="47" t="str">
        <f>IFERROR(__xludf.DUMMYFUNCTION("""COMPUTED_VALUE"""),"")</f>
        <v/>
      </c>
      <c r="G1005" s="47" t="str">
        <f>IFERROR(__xludf.DUMMYFUNCTION("""COMPUTED_VALUE"""),"")</f>
        <v/>
      </c>
      <c r="H1005" s="47"/>
      <c r="I1005" s="47">
        <f>IFERROR(__xludf.DUMMYFUNCTION("""COMPUTED_VALUE"""),2.0)</f>
        <v>2</v>
      </c>
      <c r="J1005" s="47" t="str">
        <f>IFERROR(__xludf.DUMMYFUNCTION("""COMPUTED_VALUE"""),"https:")</f>
        <v>https:</v>
      </c>
      <c r="K1005" s="78" t="str">
        <f>IFERROR(__xludf.DUMMYFUNCTION("""COMPUTED_VALUE"""),"www.munzee.com")</f>
        <v>www.munzee.com</v>
      </c>
      <c r="L1005" s="47" t="str">
        <f>IFERROR(__xludf.DUMMYFUNCTION("""COMPUTED_VALUE"""),"m")</f>
        <v>m</v>
      </c>
      <c r="M1005" s="47" t="str">
        <f>IFERROR(__xludf.DUMMYFUNCTION("""COMPUTED_VALUE"""),"ArtofEco")</f>
        <v>ArtofEco</v>
      </c>
    </row>
    <row r="1006">
      <c r="A1006" s="47" t="str">
        <f>IFERROR(__xludf.DUMMYFUNCTION("""COMPUTED_VALUE"""),"Virtual Brown")</f>
        <v>Virtual Brown</v>
      </c>
      <c r="B1006" s="47" t="str">
        <f>IFERROR(__xludf.DUMMYFUNCTION("""COMPUTED_VALUE"""),"BrotherWilliam")</f>
        <v>BrotherWilliam</v>
      </c>
      <c r="C1006" s="78" t="str">
        <f>IFERROR(__xludf.DUMMYFUNCTION("""COMPUTED_VALUE"""),"https://www.munzee.com/m/BrotherWilliam/4545/")</f>
        <v>https://www.munzee.com/m/BrotherWilliam/4545/</v>
      </c>
      <c r="D1006" s="47"/>
      <c r="E1006" s="47" t="b">
        <f>IFERROR(__xludf.DUMMYFUNCTION("""COMPUTED_VALUE"""),TRUE)</f>
        <v>1</v>
      </c>
      <c r="F1006" s="47" t="str">
        <f>IFERROR(__xludf.DUMMYFUNCTION("""COMPUTED_VALUE"""),"")</f>
        <v/>
      </c>
      <c r="G1006" s="47" t="str">
        <f>IFERROR(__xludf.DUMMYFUNCTION("""COMPUTED_VALUE"""),"")</f>
        <v/>
      </c>
      <c r="H1006" s="47"/>
      <c r="I1006" s="47">
        <f>IFERROR(__xludf.DUMMYFUNCTION("""COMPUTED_VALUE"""),2.0)</f>
        <v>2</v>
      </c>
      <c r="J1006" s="47" t="str">
        <f>IFERROR(__xludf.DUMMYFUNCTION("""COMPUTED_VALUE"""),"https:")</f>
        <v>https:</v>
      </c>
      <c r="K1006" s="78" t="str">
        <f>IFERROR(__xludf.DUMMYFUNCTION("""COMPUTED_VALUE"""),"www.munzee.com")</f>
        <v>www.munzee.com</v>
      </c>
      <c r="L1006" s="47" t="str">
        <f>IFERROR(__xludf.DUMMYFUNCTION("""COMPUTED_VALUE"""),"m")</f>
        <v>m</v>
      </c>
      <c r="M1006" s="47" t="str">
        <f>IFERROR(__xludf.DUMMYFUNCTION("""COMPUTED_VALUE"""),"BrotherWilliam")</f>
        <v>BrotherWilliam</v>
      </c>
    </row>
    <row r="1007">
      <c r="A1007" s="47" t="str">
        <f>IFERROR(__xludf.DUMMYFUNCTION("""COMPUTED_VALUE"""),"Virtual Brown")</f>
        <v>Virtual Brown</v>
      </c>
      <c r="B1007" s="47" t="str">
        <f>IFERROR(__xludf.DUMMYFUNCTION("""COMPUTED_VALUE"""),"WetCoaster")</f>
        <v>WetCoaster</v>
      </c>
      <c r="C1007" s="78" t="str">
        <f>IFERROR(__xludf.DUMMYFUNCTION("""COMPUTED_VALUE"""),"https://www.munzee.com/m/WetCoaster/4087/")</f>
        <v>https://www.munzee.com/m/WetCoaster/4087/</v>
      </c>
      <c r="D1007" s="47"/>
      <c r="E1007" s="47" t="b">
        <f>IFERROR(__xludf.DUMMYFUNCTION("""COMPUTED_VALUE"""),TRUE)</f>
        <v>1</v>
      </c>
      <c r="F1007" s="47" t="str">
        <f>IFERROR(__xludf.DUMMYFUNCTION("""COMPUTED_VALUE"""),"")</f>
        <v/>
      </c>
      <c r="G1007" s="47" t="str">
        <f>IFERROR(__xludf.DUMMYFUNCTION("""COMPUTED_VALUE"""),"")</f>
        <v/>
      </c>
      <c r="H1007" s="47"/>
      <c r="I1007" s="47">
        <f>IFERROR(__xludf.DUMMYFUNCTION("""COMPUTED_VALUE"""),2.0)</f>
        <v>2</v>
      </c>
      <c r="J1007" s="47" t="str">
        <f>IFERROR(__xludf.DUMMYFUNCTION("""COMPUTED_VALUE"""),"https:")</f>
        <v>https:</v>
      </c>
      <c r="K1007" s="78" t="str">
        <f>IFERROR(__xludf.DUMMYFUNCTION("""COMPUTED_VALUE"""),"www.munzee.com")</f>
        <v>www.munzee.com</v>
      </c>
      <c r="L1007" s="47" t="str">
        <f>IFERROR(__xludf.DUMMYFUNCTION("""COMPUTED_VALUE"""),"m")</f>
        <v>m</v>
      </c>
      <c r="M1007" s="47" t="str">
        <f>IFERROR(__xludf.DUMMYFUNCTION("""COMPUTED_VALUE"""),"WetCoaster")</f>
        <v>WetCoaster</v>
      </c>
    </row>
    <row r="1008">
      <c r="A1008" s="47" t="str">
        <f>IFERROR(__xludf.DUMMYFUNCTION("""COMPUTED_VALUE"""),"Virtual Raw Sienna")</f>
        <v>Virtual Raw Sienna</v>
      </c>
      <c r="B1008" s="47" t="str">
        <f>IFERROR(__xludf.DUMMYFUNCTION("""COMPUTED_VALUE"""),"dQuest")</f>
        <v>dQuest</v>
      </c>
      <c r="C1008" s="78" t="str">
        <f>IFERROR(__xludf.DUMMYFUNCTION("""COMPUTED_VALUE"""),"https://www.munzee.com/m/dQuest/6379")</f>
        <v>https://www.munzee.com/m/dQuest/6379</v>
      </c>
      <c r="D1008" s="47"/>
      <c r="E1008" s="47" t="b">
        <f>IFERROR(__xludf.DUMMYFUNCTION("""COMPUTED_VALUE"""),TRUE)</f>
        <v>1</v>
      </c>
      <c r="F1008" s="47" t="str">
        <f>IFERROR(__xludf.DUMMYFUNCTION("""COMPUTED_VALUE"""),"")</f>
        <v/>
      </c>
      <c r="G1008" s="47" t="str">
        <f>IFERROR(__xludf.DUMMYFUNCTION("""COMPUTED_VALUE"""),"")</f>
        <v/>
      </c>
      <c r="H1008" s="47"/>
      <c r="I1008" s="47">
        <f>IFERROR(__xludf.DUMMYFUNCTION("""COMPUTED_VALUE"""),2.0)</f>
        <v>2</v>
      </c>
      <c r="J1008" s="47" t="str">
        <f>IFERROR(__xludf.DUMMYFUNCTION("""COMPUTED_VALUE"""),"https:")</f>
        <v>https:</v>
      </c>
      <c r="K1008" s="78" t="str">
        <f>IFERROR(__xludf.DUMMYFUNCTION("""COMPUTED_VALUE"""),"www.munzee.com")</f>
        <v>www.munzee.com</v>
      </c>
      <c r="L1008" s="47" t="str">
        <f>IFERROR(__xludf.DUMMYFUNCTION("""COMPUTED_VALUE"""),"m")</f>
        <v>m</v>
      </c>
      <c r="M1008" s="47" t="str">
        <f>IFERROR(__xludf.DUMMYFUNCTION("""COMPUTED_VALUE"""),"dQuest")</f>
        <v>dQuest</v>
      </c>
    </row>
    <row r="1009">
      <c r="A1009" s="47" t="str">
        <f>IFERROR(__xludf.DUMMYFUNCTION("""COMPUTED_VALUE"""),"Virtual Brown")</f>
        <v>Virtual Brown</v>
      </c>
      <c r="B1009" s="47" t="str">
        <f>IFERROR(__xludf.DUMMYFUNCTION("""COMPUTED_VALUE"""),"lupo6")</f>
        <v>lupo6</v>
      </c>
      <c r="C1009" s="78" t="str">
        <f>IFERROR(__xludf.DUMMYFUNCTION("""COMPUTED_VALUE"""),"https://www.munzee.com/m/lupo6/6968")</f>
        <v>https://www.munzee.com/m/lupo6/6968</v>
      </c>
      <c r="D1009" s="47"/>
      <c r="E1009" s="47" t="b">
        <f>IFERROR(__xludf.DUMMYFUNCTION("""COMPUTED_VALUE"""),TRUE)</f>
        <v>1</v>
      </c>
      <c r="F1009" s="47" t="str">
        <f>IFERROR(__xludf.DUMMYFUNCTION("""COMPUTED_VALUE"""),"")</f>
        <v/>
      </c>
      <c r="G1009" s="47" t="str">
        <f>IFERROR(__xludf.DUMMYFUNCTION("""COMPUTED_VALUE"""),"")</f>
        <v/>
      </c>
      <c r="H1009" s="47"/>
      <c r="I1009" s="47">
        <f>IFERROR(__xludf.DUMMYFUNCTION("""COMPUTED_VALUE"""),2.0)</f>
        <v>2</v>
      </c>
      <c r="J1009" s="47" t="str">
        <f>IFERROR(__xludf.DUMMYFUNCTION("""COMPUTED_VALUE"""),"https:")</f>
        <v>https:</v>
      </c>
      <c r="K1009" s="78" t="str">
        <f>IFERROR(__xludf.DUMMYFUNCTION("""COMPUTED_VALUE"""),"www.munzee.com")</f>
        <v>www.munzee.com</v>
      </c>
      <c r="L1009" s="47" t="str">
        <f>IFERROR(__xludf.DUMMYFUNCTION("""COMPUTED_VALUE"""),"m")</f>
        <v>m</v>
      </c>
      <c r="M1009" s="47" t="str">
        <f>IFERROR(__xludf.DUMMYFUNCTION("""COMPUTED_VALUE"""),"lupo6")</f>
        <v>lupo6</v>
      </c>
    </row>
    <row r="1010">
      <c r="A1010" s="47" t="str">
        <f>IFERROR(__xludf.DUMMYFUNCTION("""COMPUTED_VALUE"""),"Virtual Brown")</f>
        <v>Virtual Brown</v>
      </c>
      <c r="B1010" s="47" t="str">
        <f>IFERROR(__xludf.DUMMYFUNCTION("""COMPUTED_VALUE"""),"Anetzet ")</f>
        <v>Anetzet </v>
      </c>
      <c r="C1010" s="78" t="str">
        <f>IFERROR(__xludf.DUMMYFUNCTION("""COMPUTED_VALUE"""),"https://www.munzee.com/m/Anetzet/3921/")</f>
        <v>https://www.munzee.com/m/Anetzet/3921/</v>
      </c>
      <c r="D1010" s="47"/>
      <c r="E1010" s="47" t="b">
        <f>IFERROR(__xludf.DUMMYFUNCTION("""COMPUTED_VALUE"""),TRUE)</f>
        <v>1</v>
      </c>
      <c r="F1010" s="88"/>
      <c r="G1010" s="47" t="str">
        <f>IFERROR(__xludf.DUMMYFUNCTION("""COMPUTED_VALUE"""),"")</f>
        <v/>
      </c>
      <c r="H1010" s="47"/>
      <c r="I1010" s="47">
        <f>IFERROR(__xludf.DUMMYFUNCTION("""COMPUTED_VALUE"""),2.0)</f>
        <v>2</v>
      </c>
      <c r="J1010" s="47" t="str">
        <f>IFERROR(__xludf.DUMMYFUNCTION("""COMPUTED_VALUE"""),"https:")</f>
        <v>https:</v>
      </c>
      <c r="K1010" s="78" t="str">
        <f>IFERROR(__xludf.DUMMYFUNCTION("""COMPUTED_VALUE"""),"www.munzee.com")</f>
        <v>www.munzee.com</v>
      </c>
      <c r="L1010" s="47" t="str">
        <f>IFERROR(__xludf.DUMMYFUNCTION("""COMPUTED_VALUE"""),"m")</f>
        <v>m</v>
      </c>
      <c r="M1010" s="47" t="str">
        <f>IFERROR(__xludf.DUMMYFUNCTION("""COMPUTED_VALUE"""),"Anetzet")</f>
        <v>Anetzet</v>
      </c>
    </row>
    <row r="1011">
      <c r="A1011" s="47" t="str">
        <f>IFERROR(__xludf.DUMMYFUNCTION("""COMPUTED_VALUE"""),"Virtual Brown")</f>
        <v>Virtual Brown</v>
      </c>
      <c r="B1011" s="47" t="str">
        <f>IFERROR(__xludf.DUMMYFUNCTION("""COMPUTED_VALUE"""),"crscousins")</f>
        <v>crscousins</v>
      </c>
      <c r="C1011" s="78" t="str">
        <f>IFERROR(__xludf.DUMMYFUNCTION("""COMPUTED_VALUE"""),"https://www.munzee.com/m/crscousins/7429/")</f>
        <v>https://www.munzee.com/m/crscousins/7429/</v>
      </c>
      <c r="D1011" s="47"/>
      <c r="E1011" s="47" t="b">
        <f>IFERROR(__xludf.DUMMYFUNCTION("""COMPUTED_VALUE"""),TRUE)</f>
        <v>1</v>
      </c>
      <c r="F1011" s="47" t="str">
        <f>IFERROR(__xludf.DUMMYFUNCTION("""COMPUTED_VALUE"""),"")</f>
        <v/>
      </c>
      <c r="G1011" s="47" t="str">
        <f>IFERROR(__xludf.DUMMYFUNCTION("""COMPUTED_VALUE"""),"")</f>
        <v/>
      </c>
      <c r="H1011" s="47"/>
      <c r="I1011" s="47">
        <f>IFERROR(__xludf.DUMMYFUNCTION("""COMPUTED_VALUE"""),2.0)</f>
        <v>2</v>
      </c>
      <c r="J1011" s="47" t="str">
        <f>IFERROR(__xludf.DUMMYFUNCTION("""COMPUTED_VALUE"""),"https:")</f>
        <v>https:</v>
      </c>
      <c r="K1011" s="78" t="str">
        <f>IFERROR(__xludf.DUMMYFUNCTION("""COMPUTED_VALUE"""),"www.munzee.com")</f>
        <v>www.munzee.com</v>
      </c>
      <c r="L1011" s="47" t="str">
        <f>IFERROR(__xludf.DUMMYFUNCTION("""COMPUTED_VALUE"""),"m")</f>
        <v>m</v>
      </c>
      <c r="M1011" s="47" t="str">
        <f>IFERROR(__xludf.DUMMYFUNCTION("""COMPUTED_VALUE"""),"crscousins")</f>
        <v>crscousins</v>
      </c>
    </row>
    <row r="1012">
      <c r="A1012" s="47" t="str">
        <f>IFERROR(__xludf.DUMMYFUNCTION("""COMPUTED_VALUE"""),"Virtual Raw Sienna")</f>
        <v>Virtual Raw Sienna</v>
      </c>
      <c r="B1012" s="47" t="str">
        <f>IFERROR(__xludf.DUMMYFUNCTION("""COMPUTED_VALUE"""),"lison55")</f>
        <v>lison55</v>
      </c>
      <c r="C1012" s="78" t="str">
        <f>IFERROR(__xludf.DUMMYFUNCTION("""COMPUTED_VALUE"""),"https://www.munzee.com/m/lison55/6321")</f>
        <v>https://www.munzee.com/m/lison55/6321</v>
      </c>
      <c r="D1012" s="47"/>
      <c r="E1012" s="47" t="b">
        <f>IFERROR(__xludf.DUMMYFUNCTION("""COMPUTED_VALUE"""),TRUE)</f>
        <v>1</v>
      </c>
      <c r="F1012" s="47" t="str">
        <f>IFERROR(__xludf.DUMMYFUNCTION("""COMPUTED_VALUE"""),"")</f>
        <v/>
      </c>
      <c r="G1012" s="47" t="str">
        <f>IFERROR(__xludf.DUMMYFUNCTION("""COMPUTED_VALUE"""),"")</f>
        <v/>
      </c>
      <c r="H1012" s="47"/>
      <c r="I1012" s="47">
        <f>IFERROR(__xludf.DUMMYFUNCTION("""COMPUTED_VALUE"""),2.0)</f>
        <v>2</v>
      </c>
      <c r="J1012" s="47" t="str">
        <f>IFERROR(__xludf.DUMMYFUNCTION("""COMPUTED_VALUE"""),"https:")</f>
        <v>https:</v>
      </c>
      <c r="K1012" s="78" t="str">
        <f>IFERROR(__xludf.DUMMYFUNCTION("""COMPUTED_VALUE"""),"www.munzee.com")</f>
        <v>www.munzee.com</v>
      </c>
      <c r="L1012" s="47" t="str">
        <f>IFERROR(__xludf.DUMMYFUNCTION("""COMPUTED_VALUE"""),"m")</f>
        <v>m</v>
      </c>
      <c r="M1012" s="47" t="str">
        <f>IFERROR(__xludf.DUMMYFUNCTION("""COMPUTED_VALUE"""),"lison55")</f>
        <v>lison55</v>
      </c>
    </row>
    <row r="1013">
      <c r="A1013" s="47" t="str">
        <f>IFERROR(__xludf.DUMMYFUNCTION("""COMPUTED_VALUE"""),"Virtual Brown")</f>
        <v>Virtual Brown</v>
      </c>
      <c r="B1013" s="47" t="str">
        <f>IFERROR(__xludf.DUMMYFUNCTION("""COMPUTED_VALUE"""),"res2100")</f>
        <v>res2100</v>
      </c>
      <c r="C1013" s="78" t="str">
        <f>IFERROR(__xludf.DUMMYFUNCTION("""COMPUTED_VALUE"""),"https://www.munzee.com/m/res2100/808/")</f>
        <v>https://www.munzee.com/m/res2100/808/</v>
      </c>
      <c r="D1013" s="47"/>
      <c r="E1013" s="47" t="b">
        <f>IFERROR(__xludf.DUMMYFUNCTION("""COMPUTED_VALUE"""),TRUE)</f>
        <v>1</v>
      </c>
      <c r="F1013" s="47" t="str">
        <f>IFERROR(__xludf.DUMMYFUNCTION("""COMPUTED_VALUE"""),"")</f>
        <v/>
      </c>
      <c r="G1013" s="47" t="str">
        <f>IFERROR(__xludf.DUMMYFUNCTION("""COMPUTED_VALUE"""),"")</f>
        <v/>
      </c>
      <c r="H1013" s="47"/>
      <c r="I1013" s="47">
        <f>IFERROR(__xludf.DUMMYFUNCTION("""COMPUTED_VALUE"""),2.0)</f>
        <v>2</v>
      </c>
      <c r="J1013" s="47" t="str">
        <f>IFERROR(__xludf.DUMMYFUNCTION("""COMPUTED_VALUE"""),"https:")</f>
        <v>https:</v>
      </c>
      <c r="K1013" s="78" t="str">
        <f>IFERROR(__xludf.DUMMYFUNCTION("""COMPUTED_VALUE"""),"www.munzee.com")</f>
        <v>www.munzee.com</v>
      </c>
      <c r="L1013" s="47" t="str">
        <f>IFERROR(__xludf.DUMMYFUNCTION("""COMPUTED_VALUE"""),"m")</f>
        <v>m</v>
      </c>
      <c r="M1013" s="47" t="str">
        <f>IFERROR(__xludf.DUMMYFUNCTION("""COMPUTED_VALUE"""),"res2100")</f>
        <v>res2100</v>
      </c>
    </row>
    <row r="1014">
      <c r="A1014" s="47" t="str">
        <f>IFERROR(__xludf.DUMMYFUNCTION("""COMPUTED_VALUE"""),"Virtual Brown")</f>
        <v>Virtual Brown</v>
      </c>
      <c r="B1014" s="47" t="str">
        <f>IFERROR(__xludf.DUMMYFUNCTION("""COMPUTED_VALUE"""),"Ellesche")</f>
        <v>Ellesche</v>
      </c>
      <c r="C1014" s="78" t="str">
        <f>IFERROR(__xludf.DUMMYFUNCTION("""COMPUTED_VALUE"""),"https://www.munzee.com/m/Ellesche/788")</f>
        <v>https://www.munzee.com/m/Ellesche/788</v>
      </c>
      <c r="D1014" s="47"/>
      <c r="E1014" s="47" t="b">
        <f>IFERROR(__xludf.DUMMYFUNCTION("""COMPUTED_VALUE"""),TRUE)</f>
        <v>1</v>
      </c>
      <c r="F1014" s="47" t="str">
        <f>IFERROR(__xludf.DUMMYFUNCTION("""COMPUTED_VALUE"""),"")</f>
        <v/>
      </c>
      <c r="G1014" s="47" t="str">
        <f>IFERROR(__xludf.DUMMYFUNCTION("""COMPUTED_VALUE"""),"")</f>
        <v/>
      </c>
      <c r="H1014" s="47"/>
      <c r="I1014" s="47">
        <f>IFERROR(__xludf.DUMMYFUNCTION("""COMPUTED_VALUE"""),2.0)</f>
        <v>2</v>
      </c>
      <c r="J1014" s="47" t="str">
        <f>IFERROR(__xludf.DUMMYFUNCTION("""COMPUTED_VALUE"""),"https:")</f>
        <v>https:</v>
      </c>
      <c r="K1014" s="78" t="str">
        <f>IFERROR(__xludf.DUMMYFUNCTION("""COMPUTED_VALUE"""),"www.munzee.com")</f>
        <v>www.munzee.com</v>
      </c>
      <c r="L1014" s="47" t="str">
        <f>IFERROR(__xludf.DUMMYFUNCTION("""COMPUTED_VALUE"""),"m")</f>
        <v>m</v>
      </c>
      <c r="M1014" s="47" t="str">
        <f>IFERROR(__xludf.DUMMYFUNCTION("""COMPUTED_VALUE"""),"Ellesche")</f>
        <v>Ellesche</v>
      </c>
    </row>
    <row r="1015">
      <c r="A1015" s="47" t="str">
        <f>IFERROR(__xludf.DUMMYFUNCTION("""COMPUTED_VALUE"""),"Virtual Raw Sienna")</f>
        <v>Virtual Raw Sienna</v>
      </c>
      <c r="B1015" s="47" t="str">
        <f>IFERROR(__xludf.DUMMYFUNCTION("""COMPUTED_VALUE"""),"pinlight")</f>
        <v>pinlight</v>
      </c>
      <c r="C1015" s="78" t="str">
        <f>IFERROR(__xludf.DUMMYFUNCTION("""COMPUTED_VALUE"""),"https://www.munzee.com/m/pinlight/236/")</f>
        <v>https://www.munzee.com/m/pinlight/236/</v>
      </c>
      <c r="D1015" s="47"/>
      <c r="E1015" s="47" t="b">
        <f>IFERROR(__xludf.DUMMYFUNCTION("""COMPUTED_VALUE"""),TRUE)</f>
        <v>1</v>
      </c>
      <c r="F1015" s="47" t="str">
        <f>IFERROR(__xludf.DUMMYFUNCTION("""COMPUTED_VALUE"""),"")</f>
        <v/>
      </c>
      <c r="G1015" s="47" t="str">
        <f>IFERROR(__xludf.DUMMYFUNCTION("""COMPUTED_VALUE"""),"")</f>
        <v/>
      </c>
      <c r="H1015" s="47"/>
      <c r="I1015" s="47">
        <f>IFERROR(__xludf.DUMMYFUNCTION("""COMPUTED_VALUE"""),2.0)</f>
        <v>2</v>
      </c>
      <c r="J1015" s="47" t="str">
        <f>IFERROR(__xludf.DUMMYFUNCTION("""COMPUTED_VALUE"""),"https:")</f>
        <v>https:</v>
      </c>
      <c r="K1015" s="78" t="str">
        <f>IFERROR(__xludf.DUMMYFUNCTION("""COMPUTED_VALUE"""),"www.munzee.com")</f>
        <v>www.munzee.com</v>
      </c>
      <c r="L1015" s="47" t="str">
        <f>IFERROR(__xludf.DUMMYFUNCTION("""COMPUTED_VALUE"""),"m")</f>
        <v>m</v>
      </c>
      <c r="M1015" s="47" t="str">
        <f>IFERROR(__xludf.DUMMYFUNCTION("""COMPUTED_VALUE"""),"pinlight")</f>
        <v>pinlight</v>
      </c>
    </row>
    <row r="1016">
      <c r="A1016" s="47" t="str">
        <f>IFERROR(__xludf.DUMMYFUNCTION("""COMPUTED_VALUE"""),"Virtual Brown")</f>
        <v>Virtual Brown</v>
      </c>
      <c r="B1016" s="47" t="str">
        <f>IFERROR(__xludf.DUMMYFUNCTION("""COMPUTED_VALUE"""),"cbf600")</f>
        <v>cbf600</v>
      </c>
      <c r="C1016" s="78" t="str">
        <f>IFERROR(__xludf.DUMMYFUNCTION("""COMPUTED_VALUE"""),"https://www.munzee.com/m/cbf600/2792/")</f>
        <v>https://www.munzee.com/m/cbf600/2792/</v>
      </c>
      <c r="D1016" s="47"/>
      <c r="E1016" s="47" t="b">
        <f>IFERROR(__xludf.DUMMYFUNCTION("""COMPUTED_VALUE"""),TRUE)</f>
        <v>1</v>
      </c>
      <c r="F1016" s="47" t="str">
        <f>IFERROR(__xludf.DUMMYFUNCTION("""COMPUTED_VALUE"""),"")</f>
        <v/>
      </c>
      <c r="G1016" s="47" t="str">
        <f>IFERROR(__xludf.DUMMYFUNCTION("""COMPUTED_VALUE"""),"")</f>
        <v/>
      </c>
      <c r="H1016" s="47"/>
      <c r="I1016" s="47">
        <f>IFERROR(__xludf.DUMMYFUNCTION("""COMPUTED_VALUE"""),2.0)</f>
        <v>2</v>
      </c>
      <c r="J1016" s="47" t="str">
        <f>IFERROR(__xludf.DUMMYFUNCTION("""COMPUTED_VALUE"""),"https:")</f>
        <v>https:</v>
      </c>
      <c r="K1016" s="78" t="str">
        <f>IFERROR(__xludf.DUMMYFUNCTION("""COMPUTED_VALUE"""),"www.munzee.com")</f>
        <v>www.munzee.com</v>
      </c>
      <c r="L1016" s="47" t="str">
        <f>IFERROR(__xludf.DUMMYFUNCTION("""COMPUTED_VALUE"""),"m")</f>
        <v>m</v>
      </c>
      <c r="M1016" s="47" t="str">
        <f>IFERROR(__xludf.DUMMYFUNCTION("""COMPUTED_VALUE"""),"cbf600")</f>
        <v>cbf600</v>
      </c>
    </row>
    <row r="1017">
      <c r="A1017" s="47" t="str">
        <f>IFERROR(__xludf.DUMMYFUNCTION("""COMPUTED_VALUE"""),"Virtual Raw Sienna")</f>
        <v>Virtual Raw Sienna</v>
      </c>
      <c r="B1017" s="47" t="str">
        <f>IFERROR(__xludf.DUMMYFUNCTION("""COMPUTED_VALUE"""),"xrayneex")</f>
        <v>xrayneex</v>
      </c>
      <c r="C1017" s="78" t="str">
        <f>IFERROR(__xludf.DUMMYFUNCTION("""COMPUTED_VALUE"""),"https://www.munzee.com/m/xrayneex/2137/")</f>
        <v>https://www.munzee.com/m/xrayneex/2137/</v>
      </c>
      <c r="D1017" s="47"/>
      <c r="E1017" s="47" t="b">
        <f>IFERROR(__xludf.DUMMYFUNCTION("""COMPUTED_VALUE"""),TRUE)</f>
        <v>1</v>
      </c>
      <c r="F1017" s="47" t="str">
        <f>IFERROR(__xludf.DUMMYFUNCTION("""COMPUTED_VALUE"""),"")</f>
        <v/>
      </c>
      <c r="G1017" s="47" t="str">
        <f>IFERROR(__xludf.DUMMYFUNCTION("""COMPUTED_VALUE"""),"")</f>
        <v/>
      </c>
      <c r="H1017" s="47"/>
      <c r="I1017" s="47">
        <f>IFERROR(__xludf.DUMMYFUNCTION("""COMPUTED_VALUE"""),2.0)</f>
        <v>2</v>
      </c>
      <c r="J1017" s="47" t="str">
        <f>IFERROR(__xludf.DUMMYFUNCTION("""COMPUTED_VALUE"""),"https:")</f>
        <v>https:</v>
      </c>
      <c r="K1017" s="78" t="str">
        <f>IFERROR(__xludf.DUMMYFUNCTION("""COMPUTED_VALUE"""),"www.munzee.com")</f>
        <v>www.munzee.com</v>
      </c>
      <c r="L1017" s="47" t="str">
        <f>IFERROR(__xludf.DUMMYFUNCTION("""COMPUTED_VALUE"""),"m")</f>
        <v>m</v>
      </c>
      <c r="M1017" s="47" t="str">
        <f>IFERROR(__xludf.DUMMYFUNCTION("""COMPUTED_VALUE"""),"xrayneex")</f>
        <v>xrayneex</v>
      </c>
    </row>
    <row r="1018">
      <c r="A1018" s="47" t="str">
        <f>IFERROR(__xludf.DUMMYFUNCTION("""COMPUTED_VALUE"""),"Virtual Brown")</f>
        <v>Virtual Brown</v>
      </c>
      <c r="B1018" s="47" t="str">
        <f>IFERROR(__xludf.DUMMYFUNCTION("""COMPUTED_VALUE"""),"Bungle")</f>
        <v>Bungle</v>
      </c>
      <c r="C1018" s="78" t="str">
        <f>IFERROR(__xludf.DUMMYFUNCTION("""COMPUTED_VALUE"""),"https://www.munzee.com/m/Bungle/10931")</f>
        <v>https://www.munzee.com/m/Bungle/10931</v>
      </c>
      <c r="D1018" s="47"/>
      <c r="E1018" s="47" t="b">
        <f>IFERROR(__xludf.DUMMYFUNCTION("""COMPUTED_VALUE"""),TRUE)</f>
        <v>1</v>
      </c>
      <c r="F1018" s="47"/>
      <c r="G1018" s="47" t="str">
        <f>IFERROR(__xludf.DUMMYFUNCTION("""COMPUTED_VALUE"""),"")</f>
        <v/>
      </c>
      <c r="H1018" s="47"/>
      <c r="I1018" s="47">
        <f>IFERROR(__xludf.DUMMYFUNCTION("""COMPUTED_VALUE"""),2.0)</f>
        <v>2</v>
      </c>
      <c r="J1018" s="47" t="str">
        <f>IFERROR(__xludf.DUMMYFUNCTION("""COMPUTED_VALUE"""),"https:")</f>
        <v>https:</v>
      </c>
      <c r="K1018" s="78" t="str">
        <f>IFERROR(__xludf.DUMMYFUNCTION("""COMPUTED_VALUE"""),"www.munzee.com")</f>
        <v>www.munzee.com</v>
      </c>
      <c r="L1018" s="47" t="str">
        <f>IFERROR(__xludf.DUMMYFUNCTION("""COMPUTED_VALUE"""),"m")</f>
        <v>m</v>
      </c>
      <c r="M1018" s="47" t="str">
        <f>IFERROR(__xludf.DUMMYFUNCTION("""COMPUTED_VALUE"""),"Bungle")</f>
        <v>Bungle</v>
      </c>
    </row>
    <row r="1019">
      <c r="A1019" s="47" t="str">
        <f>IFERROR(__xludf.DUMMYFUNCTION("""COMPUTED_VALUE"""),"Virtual Brown")</f>
        <v>Virtual Brown</v>
      </c>
      <c r="B1019" s="47" t="str">
        <f>IFERROR(__xludf.DUMMYFUNCTION("""COMPUTED_VALUE"""),"MeanderingMonkeys")</f>
        <v>MeanderingMonkeys</v>
      </c>
      <c r="C1019" s="78" t="str">
        <f>IFERROR(__xludf.DUMMYFUNCTION("""COMPUTED_VALUE"""),"https://www.munzee.com/m/MeanderingMonkeys/22530/")</f>
        <v>https://www.munzee.com/m/MeanderingMonkeys/22530/</v>
      </c>
      <c r="D1019" s="47"/>
      <c r="E1019" s="47" t="b">
        <f>IFERROR(__xludf.DUMMYFUNCTION("""COMPUTED_VALUE"""),TRUE)</f>
        <v>1</v>
      </c>
      <c r="F1019" s="47"/>
      <c r="G1019" s="47" t="str">
        <f>IFERROR(__xludf.DUMMYFUNCTION("""COMPUTED_VALUE"""),"")</f>
        <v/>
      </c>
      <c r="H1019" s="47"/>
      <c r="I1019" s="47">
        <f>IFERROR(__xludf.DUMMYFUNCTION("""COMPUTED_VALUE"""),2.0)</f>
        <v>2</v>
      </c>
      <c r="J1019" s="47" t="str">
        <f>IFERROR(__xludf.DUMMYFUNCTION("""COMPUTED_VALUE"""),"https:")</f>
        <v>https:</v>
      </c>
      <c r="K1019" s="78" t="str">
        <f>IFERROR(__xludf.DUMMYFUNCTION("""COMPUTED_VALUE"""),"www.munzee.com")</f>
        <v>www.munzee.com</v>
      </c>
      <c r="L1019" s="47" t="str">
        <f>IFERROR(__xludf.DUMMYFUNCTION("""COMPUTED_VALUE"""),"m")</f>
        <v>m</v>
      </c>
      <c r="M1019" s="47" t="str">
        <f>IFERROR(__xludf.DUMMYFUNCTION("""COMPUTED_VALUE"""),"MeanderingMonkeys")</f>
        <v>MeanderingMonkeys</v>
      </c>
    </row>
    <row r="1020">
      <c r="A1020" s="47" t="str">
        <f>IFERROR(__xludf.DUMMYFUNCTION("""COMPUTED_VALUE"""),"Virtual Brown")</f>
        <v>Virtual Brown</v>
      </c>
      <c r="B1020" s="47" t="str">
        <f>IFERROR(__xludf.DUMMYFUNCTION("""COMPUTED_VALUE"""),"girlteddy5")</f>
        <v>girlteddy5</v>
      </c>
      <c r="C1020" s="78" t="str">
        <f>IFERROR(__xludf.DUMMYFUNCTION("""COMPUTED_VALUE"""),"https://www.munzee.com/m/Girlteddy5/35/")</f>
        <v>https://www.munzee.com/m/Girlteddy5/35/</v>
      </c>
      <c r="D1020" s="47"/>
      <c r="E1020" s="47" t="b">
        <f>IFERROR(__xludf.DUMMYFUNCTION("""COMPUTED_VALUE"""),TRUE)</f>
        <v>1</v>
      </c>
      <c r="F1020" s="47"/>
      <c r="G1020" s="47" t="str">
        <f>IFERROR(__xludf.DUMMYFUNCTION("""COMPUTED_VALUE"""),"")</f>
        <v/>
      </c>
      <c r="H1020" s="47"/>
      <c r="I1020" s="47">
        <f>IFERROR(__xludf.DUMMYFUNCTION("""COMPUTED_VALUE"""),2.0)</f>
        <v>2</v>
      </c>
      <c r="J1020" s="47" t="str">
        <f>IFERROR(__xludf.DUMMYFUNCTION("""COMPUTED_VALUE"""),"https:")</f>
        <v>https:</v>
      </c>
      <c r="K1020" s="78" t="str">
        <f>IFERROR(__xludf.DUMMYFUNCTION("""COMPUTED_VALUE"""),"www.munzee.com")</f>
        <v>www.munzee.com</v>
      </c>
      <c r="L1020" s="47" t="str">
        <f>IFERROR(__xludf.DUMMYFUNCTION("""COMPUTED_VALUE"""),"m")</f>
        <v>m</v>
      </c>
      <c r="M1020" s="47" t="str">
        <f>IFERROR(__xludf.DUMMYFUNCTION("""COMPUTED_VALUE"""),"Girlteddy5")</f>
        <v>Girlteddy5</v>
      </c>
    </row>
    <row r="1021">
      <c r="A1021" s="47" t="str">
        <f>IFERROR(__xludf.DUMMYFUNCTION("""COMPUTED_VALUE"""),"Virtual Brown")</f>
        <v>Virtual Brown</v>
      </c>
      <c r="B1021" s="47" t="str">
        <f>IFERROR(__xludf.DUMMYFUNCTION("""COMPUTED_VALUE"""),"OdinsFiRe")</f>
        <v>OdinsFiRe</v>
      </c>
      <c r="C1021" s="78" t="str">
        <f>IFERROR(__xludf.DUMMYFUNCTION("""COMPUTED_VALUE"""),"https://www.munzee.com/m/OdinsFiRe/2073/")</f>
        <v>https://www.munzee.com/m/OdinsFiRe/2073/</v>
      </c>
      <c r="D1021" s="47"/>
      <c r="E1021" s="47" t="b">
        <f>IFERROR(__xludf.DUMMYFUNCTION("""COMPUTED_VALUE"""),TRUE)</f>
        <v>1</v>
      </c>
      <c r="F1021" s="47"/>
      <c r="G1021" s="47" t="str">
        <f>IFERROR(__xludf.DUMMYFUNCTION("""COMPUTED_VALUE"""),"")</f>
        <v/>
      </c>
      <c r="H1021" s="47"/>
      <c r="I1021" s="47">
        <f>IFERROR(__xludf.DUMMYFUNCTION("""COMPUTED_VALUE"""),2.0)</f>
        <v>2</v>
      </c>
      <c r="J1021" s="47" t="str">
        <f>IFERROR(__xludf.DUMMYFUNCTION("""COMPUTED_VALUE"""),"https:")</f>
        <v>https:</v>
      </c>
      <c r="K1021" s="78" t="str">
        <f>IFERROR(__xludf.DUMMYFUNCTION("""COMPUTED_VALUE"""),"www.munzee.com")</f>
        <v>www.munzee.com</v>
      </c>
      <c r="L1021" s="47" t="str">
        <f>IFERROR(__xludf.DUMMYFUNCTION("""COMPUTED_VALUE"""),"m")</f>
        <v>m</v>
      </c>
      <c r="M1021" s="47" t="str">
        <f>IFERROR(__xludf.DUMMYFUNCTION("""COMPUTED_VALUE"""),"OdinsFiRe")</f>
        <v>OdinsFiRe</v>
      </c>
    </row>
    <row r="1022">
      <c r="A1022" s="47" t="str">
        <f>IFERROR(__xludf.DUMMYFUNCTION("""COMPUTED_VALUE"""),"Virtual Brown")</f>
        <v>Virtual Brown</v>
      </c>
      <c r="B1022" s="47" t="str">
        <f>IFERROR(__xludf.DUMMYFUNCTION("""COMPUTED_VALUE"""),"dQuest")</f>
        <v>dQuest</v>
      </c>
      <c r="C1022" s="78" t="str">
        <f>IFERROR(__xludf.DUMMYFUNCTION("""COMPUTED_VALUE"""),"https://www.munzee.com/m/dQuest/6378")</f>
        <v>https://www.munzee.com/m/dQuest/6378</v>
      </c>
      <c r="D1022" s="47"/>
      <c r="E1022" s="47" t="b">
        <f>IFERROR(__xludf.DUMMYFUNCTION("""COMPUTED_VALUE"""),TRUE)</f>
        <v>1</v>
      </c>
      <c r="F1022" s="47"/>
      <c r="G1022" s="47" t="str">
        <f>IFERROR(__xludf.DUMMYFUNCTION("""COMPUTED_VALUE"""),"")</f>
        <v/>
      </c>
      <c r="H1022" s="47"/>
      <c r="I1022" s="47">
        <f>IFERROR(__xludf.DUMMYFUNCTION("""COMPUTED_VALUE"""),2.0)</f>
        <v>2</v>
      </c>
      <c r="J1022" s="47" t="str">
        <f>IFERROR(__xludf.DUMMYFUNCTION("""COMPUTED_VALUE"""),"https:")</f>
        <v>https:</v>
      </c>
      <c r="K1022" s="78" t="str">
        <f>IFERROR(__xludf.DUMMYFUNCTION("""COMPUTED_VALUE"""),"www.munzee.com")</f>
        <v>www.munzee.com</v>
      </c>
      <c r="L1022" s="47" t="str">
        <f>IFERROR(__xludf.DUMMYFUNCTION("""COMPUTED_VALUE"""),"m")</f>
        <v>m</v>
      </c>
      <c r="M1022" s="47" t="str">
        <f>IFERROR(__xludf.DUMMYFUNCTION("""COMPUTED_VALUE"""),"dQuest")</f>
        <v>dQuest</v>
      </c>
    </row>
    <row r="1023">
      <c r="A1023" s="47" t="str">
        <f>IFERROR(__xludf.DUMMYFUNCTION("""COMPUTED_VALUE"""),"Virtual Brown")</f>
        <v>Virtual Brown</v>
      </c>
      <c r="B1023" s="47" t="str">
        <f>IFERROR(__xludf.DUMMYFUNCTION("""COMPUTED_VALUE"""),"Bisquick2")</f>
        <v>Bisquick2</v>
      </c>
      <c r="C1023" s="78" t="str">
        <f>IFERROR(__xludf.DUMMYFUNCTION("""COMPUTED_VALUE"""),"https://www.munzee.com/m/Bisquick2/5324/")</f>
        <v>https://www.munzee.com/m/Bisquick2/5324/</v>
      </c>
      <c r="D1023" s="47"/>
      <c r="E1023" s="47" t="b">
        <f>IFERROR(__xludf.DUMMYFUNCTION("""COMPUTED_VALUE"""),TRUE)</f>
        <v>1</v>
      </c>
      <c r="F1023" s="47"/>
      <c r="G1023" s="47" t="str">
        <f>IFERROR(__xludf.DUMMYFUNCTION("""COMPUTED_VALUE"""),"")</f>
        <v/>
      </c>
      <c r="H1023" s="47"/>
      <c r="I1023" s="47">
        <f>IFERROR(__xludf.DUMMYFUNCTION("""COMPUTED_VALUE"""),2.0)</f>
        <v>2</v>
      </c>
      <c r="J1023" s="47" t="str">
        <f>IFERROR(__xludf.DUMMYFUNCTION("""COMPUTED_VALUE"""),"https:")</f>
        <v>https:</v>
      </c>
      <c r="K1023" s="78" t="str">
        <f>IFERROR(__xludf.DUMMYFUNCTION("""COMPUTED_VALUE"""),"www.munzee.com")</f>
        <v>www.munzee.com</v>
      </c>
      <c r="L1023" s="47" t="str">
        <f>IFERROR(__xludf.DUMMYFUNCTION("""COMPUTED_VALUE"""),"m")</f>
        <v>m</v>
      </c>
      <c r="M1023" s="47" t="str">
        <f>IFERROR(__xludf.DUMMYFUNCTION("""COMPUTED_VALUE"""),"Bisquick2")</f>
        <v>Bisquick2</v>
      </c>
    </row>
    <row r="1024">
      <c r="A1024" s="47" t="str">
        <f>IFERROR(__xludf.DUMMYFUNCTION("""COMPUTED_VALUE"""),"Virtual Brown")</f>
        <v>Virtual Brown</v>
      </c>
      <c r="B1024" s="47" t="str">
        <f>IFERROR(__xludf.DUMMYFUNCTION("""COMPUTED_VALUE"""),"rita85gto")</f>
        <v>rita85gto</v>
      </c>
      <c r="C1024" s="78" t="str">
        <f>IFERROR(__xludf.DUMMYFUNCTION("""COMPUTED_VALUE"""),"https://www.munzee.com/m/rita85gto/5139/")</f>
        <v>https://www.munzee.com/m/rita85gto/5139/</v>
      </c>
      <c r="D1024" s="47" t="str">
        <f>IFERROR(__xludf.DUMMYFUNCTION("""COMPUTED_VALUE"""),"dep. Aug. '22")</f>
        <v>dep. Aug. '22</v>
      </c>
      <c r="E1024" s="47" t="b">
        <f>IFERROR(__xludf.DUMMYFUNCTION("""COMPUTED_VALUE"""),TRUE)</f>
        <v>1</v>
      </c>
      <c r="F1024" s="47"/>
      <c r="G1024" s="47" t="str">
        <f>IFERROR(__xludf.DUMMYFUNCTION("""COMPUTED_VALUE"""),"")</f>
        <v/>
      </c>
      <c r="H1024" s="47"/>
      <c r="I1024" s="47">
        <f>IFERROR(__xludf.DUMMYFUNCTION("""COMPUTED_VALUE"""),2.0)</f>
        <v>2</v>
      </c>
      <c r="J1024" s="47" t="str">
        <f>IFERROR(__xludf.DUMMYFUNCTION("""COMPUTED_VALUE"""),"https:")</f>
        <v>https:</v>
      </c>
      <c r="K1024" s="78" t="str">
        <f>IFERROR(__xludf.DUMMYFUNCTION("""COMPUTED_VALUE"""),"www.munzee.com")</f>
        <v>www.munzee.com</v>
      </c>
      <c r="L1024" s="47" t="str">
        <f>IFERROR(__xludf.DUMMYFUNCTION("""COMPUTED_VALUE"""),"m")</f>
        <v>m</v>
      </c>
      <c r="M1024" s="47" t="str">
        <f>IFERROR(__xludf.DUMMYFUNCTION("""COMPUTED_VALUE"""),"rita85gto")</f>
        <v>rita85gto</v>
      </c>
    </row>
    <row r="1025">
      <c r="A1025" s="47" t="str">
        <f>IFERROR(__xludf.DUMMYFUNCTION("""COMPUTED_VALUE"""),"Virtual Raw Sienna")</f>
        <v>Virtual Raw Sienna</v>
      </c>
      <c r="B1025" s="47"/>
      <c r="C1025" s="47"/>
      <c r="D1025" s="47"/>
      <c r="E1025" s="47" t="b">
        <f>IFERROR(__xludf.DUMMYFUNCTION("""COMPUTED_VALUE"""),FALSE)</f>
        <v>0</v>
      </c>
      <c r="F1025" s="47"/>
      <c r="G1025" s="47" t="str">
        <f>IFERROR(__xludf.DUMMYFUNCTION("""COMPUTED_VALUE"""),"")</f>
        <v/>
      </c>
      <c r="H1025" s="47"/>
      <c r="I1025" s="47">
        <f>IFERROR(__xludf.DUMMYFUNCTION("""COMPUTED_VALUE"""),0.0)</f>
        <v>0</v>
      </c>
      <c r="J1025" s="47" t="str">
        <f>IFERROR(__xludf.DUMMYFUNCTION("""COMPUTED_VALUE"""),"#VALUE!")</f>
        <v>#VALUE!</v>
      </c>
      <c r="K1025" s="47"/>
      <c r="L1025" s="47"/>
      <c r="M1025" s="47"/>
    </row>
    <row r="1026">
      <c r="A1026" s="47" t="str">
        <f>IFERROR(__xludf.DUMMYFUNCTION("""COMPUTED_VALUE"""),"Virtual Brown")</f>
        <v>Virtual Brown</v>
      </c>
      <c r="B1026" s="47"/>
      <c r="C1026" s="47"/>
      <c r="D1026" s="47"/>
      <c r="E1026" s="47" t="b">
        <f>IFERROR(__xludf.DUMMYFUNCTION("""COMPUTED_VALUE"""),FALSE)</f>
        <v>0</v>
      </c>
      <c r="F1026" s="47"/>
      <c r="G1026" s="47" t="str">
        <f>IFERROR(__xludf.DUMMYFUNCTION("""COMPUTED_VALUE"""),"")</f>
        <v/>
      </c>
      <c r="H1026" s="47"/>
      <c r="I1026" s="47">
        <f>IFERROR(__xludf.DUMMYFUNCTION("""COMPUTED_VALUE"""),0.0)</f>
        <v>0</v>
      </c>
      <c r="J1026" s="47" t="str">
        <f>IFERROR(__xludf.DUMMYFUNCTION("""COMPUTED_VALUE"""),"#VALUE!")</f>
        <v>#VALUE!</v>
      </c>
      <c r="K1026" s="47"/>
      <c r="L1026" s="47"/>
      <c r="M1026" s="47"/>
    </row>
    <row r="1027">
      <c r="A1027" s="47" t="str">
        <f>IFERROR(__xludf.DUMMYFUNCTION("""COMPUTED_VALUE"""),"Virtual Brown")</f>
        <v>Virtual Brown</v>
      </c>
      <c r="B1027" s="47"/>
      <c r="C1027" s="47"/>
      <c r="D1027" s="47"/>
      <c r="E1027" s="47" t="b">
        <f>IFERROR(__xludf.DUMMYFUNCTION("""COMPUTED_VALUE"""),FALSE)</f>
        <v>0</v>
      </c>
      <c r="F1027" s="47"/>
      <c r="G1027" s="47" t="str">
        <f>IFERROR(__xludf.DUMMYFUNCTION("""COMPUTED_VALUE"""),"")</f>
        <v/>
      </c>
      <c r="H1027" s="47"/>
      <c r="I1027" s="47">
        <f>IFERROR(__xludf.DUMMYFUNCTION("""COMPUTED_VALUE"""),0.0)</f>
        <v>0</v>
      </c>
      <c r="J1027" s="47" t="str">
        <f>IFERROR(__xludf.DUMMYFUNCTION("""COMPUTED_VALUE"""),"#VALUE!")</f>
        <v>#VALUE!</v>
      </c>
      <c r="K1027" s="47"/>
      <c r="L1027" s="47"/>
      <c r="M1027" s="47"/>
    </row>
    <row r="1028">
      <c r="A1028" s="47" t="str">
        <f>IFERROR(__xludf.DUMMYFUNCTION("""COMPUTED_VALUE"""),"Virtual Raw Sienna")</f>
        <v>Virtual Raw Sienna</v>
      </c>
      <c r="B1028" s="47"/>
      <c r="C1028" s="47"/>
      <c r="D1028" s="47"/>
      <c r="E1028" s="47" t="b">
        <f>IFERROR(__xludf.DUMMYFUNCTION("""COMPUTED_VALUE"""),FALSE)</f>
        <v>0</v>
      </c>
      <c r="F1028" s="47"/>
      <c r="G1028" s="47" t="str">
        <f>IFERROR(__xludf.DUMMYFUNCTION("""COMPUTED_VALUE"""),"")</f>
        <v/>
      </c>
      <c r="H1028" s="47"/>
      <c r="I1028" s="47">
        <f>IFERROR(__xludf.DUMMYFUNCTION("""COMPUTED_VALUE"""),0.0)</f>
        <v>0</v>
      </c>
      <c r="J1028" s="47" t="str">
        <f>IFERROR(__xludf.DUMMYFUNCTION("""COMPUTED_VALUE"""),"#VALUE!")</f>
        <v>#VALUE!</v>
      </c>
      <c r="K1028" s="47"/>
      <c r="L1028" s="47"/>
      <c r="M1028" s="47"/>
    </row>
    <row r="1029">
      <c r="A1029" s="47" t="str">
        <f>IFERROR(__xludf.DUMMYFUNCTION("""COMPUTED_VALUE"""),"Virtual Brown")</f>
        <v>Virtual Brown</v>
      </c>
      <c r="B1029" s="47" t="str">
        <f>IFERROR(__xludf.DUMMYFUNCTION("""COMPUTED_VALUE"""),"TheFrog")</f>
        <v>TheFrog</v>
      </c>
      <c r="C1029" s="78" t="str">
        <f>IFERROR(__xludf.DUMMYFUNCTION("""COMPUTED_VALUE"""),"https://www.munzee.com/m/TheFrog/5226/")</f>
        <v>https://www.munzee.com/m/TheFrog/5226/</v>
      </c>
      <c r="D1029" s="47"/>
      <c r="E1029" s="47" t="b">
        <f>IFERROR(__xludf.DUMMYFUNCTION("""COMPUTED_VALUE"""),TRUE)</f>
        <v>1</v>
      </c>
      <c r="F1029" s="47"/>
      <c r="G1029" s="47" t="str">
        <f>IFERROR(__xludf.DUMMYFUNCTION("""COMPUTED_VALUE"""),"")</f>
        <v/>
      </c>
      <c r="H1029" s="47"/>
      <c r="I1029" s="47">
        <f>IFERROR(__xludf.DUMMYFUNCTION("""COMPUTED_VALUE"""),2.0)</f>
        <v>2</v>
      </c>
      <c r="J1029" s="47" t="str">
        <f>IFERROR(__xludf.DUMMYFUNCTION("""COMPUTED_VALUE"""),"https:")</f>
        <v>https:</v>
      </c>
      <c r="K1029" s="78" t="str">
        <f>IFERROR(__xludf.DUMMYFUNCTION("""COMPUTED_VALUE"""),"www.munzee.com")</f>
        <v>www.munzee.com</v>
      </c>
      <c r="L1029" s="47" t="str">
        <f>IFERROR(__xludf.DUMMYFUNCTION("""COMPUTED_VALUE"""),"m")</f>
        <v>m</v>
      </c>
      <c r="M1029" s="47" t="str">
        <f>IFERROR(__xludf.DUMMYFUNCTION("""COMPUTED_VALUE"""),"TheFrog")</f>
        <v>TheFrog</v>
      </c>
    </row>
    <row r="1030">
      <c r="A1030" s="47" t="str">
        <f>IFERROR(__xludf.DUMMYFUNCTION("""COMPUTED_VALUE"""),"Virtual Brown")</f>
        <v>Virtual Brown</v>
      </c>
      <c r="B1030" s="47" t="str">
        <f>IFERROR(__xludf.DUMMYFUNCTION("""COMPUTED_VALUE"""),"123xilef")</f>
        <v>123xilef</v>
      </c>
      <c r="C1030" s="78" t="str">
        <f>IFERROR(__xludf.DUMMYFUNCTION("""COMPUTED_VALUE"""),"https://www.munzee.com/m/123xilef/9186/")</f>
        <v>https://www.munzee.com/m/123xilef/9186/</v>
      </c>
      <c r="D1030" s="47"/>
      <c r="E1030" s="47" t="b">
        <f>IFERROR(__xludf.DUMMYFUNCTION("""COMPUTED_VALUE"""),TRUE)</f>
        <v>1</v>
      </c>
      <c r="F1030" s="47"/>
      <c r="G1030" s="47" t="str">
        <f>IFERROR(__xludf.DUMMYFUNCTION("""COMPUTED_VALUE"""),"")</f>
        <v/>
      </c>
      <c r="H1030" s="47"/>
      <c r="I1030" s="47">
        <f>IFERROR(__xludf.DUMMYFUNCTION("""COMPUTED_VALUE"""),2.0)</f>
        <v>2</v>
      </c>
      <c r="J1030" s="47" t="str">
        <f>IFERROR(__xludf.DUMMYFUNCTION("""COMPUTED_VALUE"""),"https:")</f>
        <v>https:</v>
      </c>
      <c r="K1030" s="78" t="str">
        <f>IFERROR(__xludf.DUMMYFUNCTION("""COMPUTED_VALUE"""),"www.munzee.com")</f>
        <v>www.munzee.com</v>
      </c>
      <c r="L1030" s="47" t="str">
        <f>IFERROR(__xludf.DUMMYFUNCTION("""COMPUTED_VALUE"""),"m")</f>
        <v>m</v>
      </c>
      <c r="M1030" s="47" t="str">
        <f>IFERROR(__xludf.DUMMYFUNCTION("""COMPUTED_VALUE"""),"123xilef")</f>
        <v>123xilef</v>
      </c>
    </row>
    <row r="1031">
      <c r="A1031" s="47" t="str">
        <f>IFERROR(__xludf.DUMMYFUNCTION("""COMPUTED_VALUE"""),"Virtual Raw Sienna")</f>
        <v>Virtual Raw Sienna</v>
      </c>
      <c r="B1031" s="47"/>
      <c r="C1031" s="47"/>
      <c r="D1031" s="47"/>
      <c r="E1031" s="47" t="b">
        <f>IFERROR(__xludf.DUMMYFUNCTION("""COMPUTED_VALUE"""),FALSE)</f>
        <v>0</v>
      </c>
      <c r="F1031" s="47"/>
      <c r="G1031" s="47" t="str">
        <f>IFERROR(__xludf.DUMMYFUNCTION("""COMPUTED_VALUE"""),"")</f>
        <v/>
      </c>
      <c r="H1031" s="47"/>
      <c r="I1031" s="47">
        <f>IFERROR(__xludf.DUMMYFUNCTION("""COMPUTED_VALUE"""),0.0)</f>
        <v>0</v>
      </c>
      <c r="J1031" s="47" t="str">
        <f>IFERROR(__xludf.DUMMYFUNCTION("""COMPUTED_VALUE"""),"#VALUE!")</f>
        <v>#VALUE!</v>
      </c>
      <c r="K1031" s="47"/>
      <c r="L1031" s="47"/>
      <c r="M1031" s="47"/>
    </row>
    <row r="1032">
      <c r="A1032" s="47" t="str">
        <f>IFERROR(__xludf.DUMMYFUNCTION("""COMPUTED_VALUE"""),"Virtual Brown")</f>
        <v>Virtual Brown</v>
      </c>
      <c r="B1032" s="47"/>
      <c r="C1032" s="47"/>
      <c r="D1032" s="47"/>
      <c r="E1032" s="47" t="b">
        <f>IFERROR(__xludf.DUMMYFUNCTION("""COMPUTED_VALUE"""),FALSE)</f>
        <v>0</v>
      </c>
      <c r="F1032" s="47"/>
      <c r="G1032" s="47" t="str">
        <f>IFERROR(__xludf.DUMMYFUNCTION("""COMPUTED_VALUE"""),"")</f>
        <v/>
      </c>
      <c r="H1032" s="47"/>
      <c r="I1032" s="47">
        <f>IFERROR(__xludf.DUMMYFUNCTION("""COMPUTED_VALUE"""),0.0)</f>
        <v>0</v>
      </c>
      <c r="J1032" s="47" t="str">
        <f>IFERROR(__xludf.DUMMYFUNCTION("""COMPUTED_VALUE"""),"#VALUE!")</f>
        <v>#VALUE!</v>
      </c>
      <c r="K1032" s="47"/>
      <c r="L1032" s="47"/>
      <c r="M1032" s="47"/>
    </row>
    <row r="1033">
      <c r="A1033" s="47" t="str">
        <f>IFERROR(__xludf.DUMMYFUNCTION("""COMPUTED_VALUE"""),"Virtual Brown")</f>
        <v>Virtual Brown</v>
      </c>
      <c r="B1033" s="47"/>
      <c r="C1033" s="47"/>
      <c r="D1033" s="47"/>
      <c r="E1033" s="47" t="b">
        <f>IFERROR(__xludf.DUMMYFUNCTION("""COMPUTED_VALUE"""),FALSE)</f>
        <v>0</v>
      </c>
      <c r="F1033" s="47"/>
      <c r="G1033" s="47" t="str">
        <f>IFERROR(__xludf.DUMMYFUNCTION("""COMPUTED_VALUE"""),"")</f>
        <v/>
      </c>
      <c r="H1033" s="47"/>
      <c r="I1033" s="47">
        <f>IFERROR(__xludf.DUMMYFUNCTION("""COMPUTED_VALUE"""),0.0)</f>
        <v>0</v>
      </c>
      <c r="J1033" s="47" t="str">
        <f>IFERROR(__xludf.DUMMYFUNCTION("""COMPUTED_VALUE"""),"#VALUE!")</f>
        <v>#VALUE!</v>
      </c>
      <c r="K1033" s="47"/>
      <c r="L1033" s="47"/>
      <c r="M1033" s="47"/>
    </row>
    <row r="1034">
      <c r="A1034" s="47" t="str">
        <f>IFERROR(__xludf.DUMMYFUNCTION("""COMPUTED_VALUE"""),"Virtual Brown")</f>
        <v>Virtual Brown</v>
      </c>
      <c r="B1034" s="47"/>
      <c r="C1034" s="47"/>
      <c r="D1034" s="47"/>
      <c r="E1034" s="47" t="b">
        <f>IFERROR(__xludf.DUMMYFUNCTION("""COMPUTED_VALUE"""),FALSE)</f>
        <v>0</v>
      </c>
      <c r="F1034" s="47"/>
      <c r="G1034" s="47" t="str">
        <f>IFERROR(__xludf.DUMMYFUNCTION("""COMPUTED_VALUE"""),"")</f>
        <v/>
      </c>
      <c r="H1034" s="47"/>
      <c r="I1034" s="47">
        <f>IFERROR(__xludf.DUMMYFUNCTION("""COMPUTED_VALUE"""),0.0)</f>
        <v>0</v>
      </c>
      <c r="J1034" s="47" t="str">
        <f>IFERROR(__xludf.DUMMYFUNCTION("""COMPUTED_VALUE"""),"#VALUE!")</f>
        <v>#VALUE!</v>
      </c>
      <c r="K1034" s="47"/>
      <c r="L1034" s="47"/>
      <c r="M1034" s="47"/>
    </row>
    <row r="1035">
      <c r="A1035" s="47" t="str">
        <f>IFERROR(__xludf.DUMMYFUNCTION("""COMPUTED_VALUE"""),"Virtual Brown")</f>
        <v>Virtual Brown</v>
      </c>
      <c r="B1035" s="47"/>
      <c r="C1035" s="47"/>
      <c r="D1035" s="47"/>
      <c r="E1035" s="47" t="b">
        <f>IFERROR(__xludf.DUMMYFUNCTION("""COMPUTED_VALUE"""),FALSE)</f>
        <v>0</v>
      </c>
      <c r="F1035" s="47"/>
      <c r="G1035" s="47" t="str">
        <f>IFERROR(__xludf.DUMMYFUNCTION("""COMPUTED_VALUE"""),"")</f>
        <v/>
      </c>
      <c r="H1035" s="47"/>
      <c r="I1035" s="47">
        <f>IFERROR(__xludf.DUMMYFUNCTION("""COMPUTED_VALUE"""),0.0)</f>
        <v>0</v>
      </c>
      <c r="J1035" s="47" t="str">
        <f>IFERROR(__xludf.DUMMYFUNCTION("""COMPUTED_VALUE"""),"#VALUE!")</f>
        <v>#VALUE!</v>
      </c>
      <c r="K1035" s="47"/>
      <c r="L1035" s="47"/>
      <c r="M1035" s="47"/>
    </row>
    <row r="1036">
      <c r="A1036" s="47" t="str">
        <f>IFERROR(__xludf.DUMMYFUNCTION("""COMPUTED_VALUE"""),"Virtual Brown")</f>
        <v>Virtual Brown</v>
      </c>
      <c r="B1036" s="47" t="str">
        <f>IFERROR(__xludf.DUMMYFUNCTION("""COMPUTED_VALUE"""),"mortonfox")</f>
        <v>mortonfox</v>
      </c>
      <c r="C1036" s="78" t="str">
        <f>IFERROR(__xludf.DUMMYFUNCTION("""COMPUTED_VALUE"""),"https://www.munzee.com/m/mortonfox/22627/")</f>
        <v>https://www.munzee.com/m/mortonfox/22627/</v>
      </c>
      <c r="D1036" s="47"/>
      <c r="E1036" s="47" t="b">
        <f>IFERROR(__xludf.DUMMYFUNCTION("""COMPUTED_VALUE"""),TRUE)</f>
        <v>1</v>
      </c>
      <c r="F1036" s="47"/>
      <c r="G1036" s="47" t="str">
        <f>IFERROR(__xludf.DUMMYFUNCTION("""COMPUTED_VALUE"""),"")</f>
        <v/>
      </c>
      <c r="H1036" s="47"/>
      <c r="I1036" s="47">
        <f>IFERROR(__xludf.DUMMYFUNCTION("""COMPUTED_VALUE"""),2.0)</f>
        <v>2</v>
      </c>
      <c r="J1036" s="47" t="str">
        <f>IFERROR(__xludf.DUMMYFUNCTION("""COMPUTED_VALUE"""),"https:")</f>
        <v>https:</v>
      </c>
      <c r="K1036" s="78" t="str">
        <f>IFERROR(__xludf.DUMMYFUNCTION("""COMPUTED_VALUE"""),"www.munzee.com")</f>
        <v>www.munzee.com</v>
      </c>
      <c r="L1036" s="47" t="str">
        <f>IFERROR(__xludf.DUMMYFUNCTION("""COMPUTED_VALUE"""),"m")</f>
        <v>m</v>
      </c>
      <c r="M1036" s="47" t="str">
        <f>IFERROR(__xludf.DUMMYFUNCTION("""COMPUTED_VALUE"""),"mortonfox")</f>
        <v>mortonfox</v>
      </c>
    </row>
    <row r="1037">
      <c r="A1037" s="47" t="str">
        <f>IFERROR(__xludf.DUMMYFUNCTION("""COMPUTED_VALUE"""),"Virtual Brown")</f>
        <v>Virtual Brown</v>
      </c>
      <c r="B1037" s="47"/>
      <c r="C1037" s="47"/>
      <c r="D1037" s="47"/>
      <c r="E1037" s="47" t="b">
        <f>IFERROR(__xludf.DUMMYFUNCTION("""COMPUTED_VALUE"""),FALSE)</f>
        <v>0</v>
      </c>
      <c r="F1037" s="47"/>
      <c r="G1037" s="47" t="str">
        <f>IFERROR(__xludf.DUMMYFUNCTION("""COMPUTED_VALUE"""),"")</f>
        <v/>
      </c>
      <c r="H1037" s="47"/>
      <c r="I1037" s="47">
        <f>IFERROR(__xludf.DUMMYFUNCTION("""COMPUTED_VALUE"""),0.0)</f>
        <v>0</v>
      </c>
      <c r="J1037" s="47" t="str">
        <f>IFERROR(__xludf.DUMMYFUNCTION("""COMPUTED_VALUE"""),"#VALUE!")</f>
        <v>#VALUE!</v>
      </c>
      <c r="K1037" s="47"/>
      <c r="L1037" s="47"/>
      <c r="M1037" s="47"/>
    </row>
    <row r="1038">
      <c r="A1038" s="47" t="str">
        <f>IFERROR(__xludf.DUMMYFUNCTION("""COMPUTED_VALUE"""),"Virtual Raw Sienna")</f>
        <v>Virtual Raw Sienna</v>
      </c>
      <c r="B1038" s="47"/>
      <c r="C1038" s="47"/>
      <c r="D1038" s="47"/>
      <c r="E1038" s="47" t="b">
        <f>IFERROR(__xludf.DUMMYFUNCTION("""COMPUTED_VALUE"""),FALSE)</f>
        <v>0</v>
      </c>
      <c r="F1038" s="47"/>
      <c r="G1038" s="47" t="str">
        <f>IFERROR(__xludf.DUMMYFUNCTION("""COMPUTED_VALUE"""),"")</f>
        <v/>
      </c>
      <c r="H1038" s="47"/>
      <c r="I1038" s="47">
        <f>IFERROR(__xludf.DUMMYFUNCTION("""COMPUTED_VALUE"""),0.0)</f>
        <v>0</v>
      </c>
      <c r="J1038" s="47" t="str">
        <f>IFERROR(__xludf.DUMMYFUNCTION("""COMPUTED_VALUE"""),"#VALUE!")</f>
        <v>#VALUE!</v>
      </c>
      <c r="K1038" s="47"/>
      <c r="L1038" s="47"/>
      <c r="M1038" s="47"/>
    </row>
    <row r="1039">
      <c r="A1039" s="47" t="str">
        <f>IFERROR(__xludf.DUMMYFUNCTION("""COMPUTED_VALUE"""),"Virtual Raw Sienna")</f>
        <v>Virtual Raw Sienna</v>
      </c>
      <c r="B1039" s="47" t="str">
        <f>IFERROR(__xludf.DUMMYFUNCTION("""COMPUTED_VALUE"""),"dQuest")</f>
        <v>dQuest</v>
      </c>
      <c r="C1039" s="78" t="str">
        <f>IFERROR(__xludf.DUMMYFUNCTION("""COMPUTED_VALUE"""),"https://www.munzee.com/m/dQuest/6372")</f>
        <v>https://www.munzee.com/m/dQuest/6372</v>
      </c>
      <c r="D1039" s="47"/>
      <c r="E1039" s="47" t="b">
        <f>IFERROR(__xludf.DUMMYFUNCTION("""COMPUTED_VALUE"""),TRUE)</f>
        <v>1</v>
      </c>
      <c r="F1039" s="47"/>
      <c r="G1039" s="47" t="str">
        <f>IFERROR(__xludf.DUMMYFUNCTION("""COMPUTED_VALUE"""),"")</f>
        <v/>
      </c>
      <c r="H1039" s="47"/>
      <c r="I1039" s="47">
        <f>IFERROR(__xludf.DUMMYFUNCTION("""COMPUTED_VALUE"""),2.0)</f>
        <v>2</v>
      </c>
      <c r="J1039" s="47" t="str">
        <f>IFERROR(__xludf.DUMMYFUNCTION("""COMPUTED_VALUE"""),"https:")</f>
        <v>https:</v>
      </c>
      <c r="K1039" s="78" t="str">
        <f>IFERROR(__xludf.DUMMYFUNCTION("""COMPUTED_VALUE"""),"www.munzee.com")</f>
        <v>www.munzee.com</v>
      </c>
      <c r="L1039" s="47" t="str">
        <f>IFERROR(__xludf.DUMMYFUNCTION("""COMPUTED_VALUE"""),"m")</f>
        <v>m</v>
      </c>
      <c r="M1039" s="47" t="str">
        <f>IFERROR(__xludf.DUMMYFUNCTION("""COMPUTED_VALUE"""),"dQuest")</f>
        <v>dQuest</v>
      </c>
    </row>
    <row r="1040">
      <c r="A1040" s="47" t="str">
        <f>IFERROR(__xludf.DUMMYFUNCTION("""COMPUTED_VALUE"""),"Virtual Brown")</f>
        <v>Virtual Brown</v>
      </c>
      <c r="B1040" s="47" t="str">
        <f>IFERROR(__xludf.DUMMYFUNCTION("""COMPUTED_VALUE"""),"PcLocator")</f>
        <v>PcLocator</v>
      </c>
      <c r="C1040" s="78" t="str">
        <f>IFERROR(__xludf.DUMMYFUNCTION("""COMPUTED_VALUE"""),"https://www.munzee.com/m/PcLocator/4256/")</f>
        <v>https://www.munzee.com/m/PcLocator/4256/</v>
      </c>
      <c r="D1040" s="47"/>
      <c r="E1040" s="47" t="b">
        <f>IFERROR(__xludf.DUMMYFUNCTION("""COMPUTED_VALUE"""),TRUE)</f>
        <v>1</v>
      </c>
      <c r="F1040" s="47"/>
      <c r="G1040" s="47" t="str">
        <f>IFERROR(__xludf.DUMMYFUNCTION("""COMPUTED_VALUE"""),"")</f>
        <v/>
      </c>
      <c r="H1040" s="47"/>
      <c r="I1040" s="47">
        <f>IFERROR(__xludf.DUMMYFUNCTION("""COMPUTED_VALUE"""),2.0)</f>
        <v>2</v>
      </c>
      <c r="J1040" s="47" t="str">
        <f>IFERROR(__xludf.DUMMYFUNCTION("""COMPUTED_VALUE"""),"https:")</f>
        <v>https:</v>
      </c>
      <c r="K1040" s="78" t="str">
        <f>IFERROR(__xludf.DUMMYFUNCTION("""COMPUTED_VALUE"""),"www.munzee.com")</f>
        <v>www.munzee.com</v>
      </c>
      <c r="L1040" s="47" t="str">
        <f>IFERROR(__xludf.DUMMYFUNCTION("""COMPUTED_VALUE"""),"m")</f>
        <v>m</v>
      </c>
      <c r="M1040" s="47" t="str">
        <f>IFERROR(__xludf.DUMMYFUNCTION("""COMPUTED_VALUE"""),"PcLocator")</f>
        <v>PcLocator</v>
      </c>
    </row>
    <row r="1041">
      <c r="A1041" s="47" t="str">
        <f>IFERROR(__xludf.DUMMYFUNCTION("""COMPUTED_VALUE"""),"Virtual Brown")</f>
        <v>Virtual Brown</v>
      </c>
      <c r="B1041" s="47" t="str">
        <f>IFERROR(__xludf.DUMMYFUNCTION("""COMPUTED_VALUE"""),"Belladivadee")</f>
        <v>Belladivadee</v>
      </c>
      <c r="C1041" s="78" t="str">
        <f>IFERROR(__xludf.DUMMYFUNCTION("""COMPUTED_VALUE"""),"https://www.munzee.com/m/belladivadee/3201")</f>
        <v>https://www.munzee.com/m/belladivadee/3201</v>
      </c>
      <c r="D1041" s="47"/>
      <c r="E1041" s="47" t="b">
        <f>IFERROR(__xludf.DUMMYFUNCTION("""COMPUTED_VALUE"""),TRUE)</f>
        <v>1</v>
      </c>
      <c r="F1041" s="47" t="str">
        <f>IFERROR(__xludf.DUMMYFUNCTION("""COMPUTED_VALUE"""),"")</f>
        <v/>
      </c>
      <c r="G1041" s="47" t="str">
        <f>IFERROR(__xludf.DUMMYFUNCTION("""COMPUTED_VALUE"""),"")</f>
        <v/>
      </c>
      <c r="H1041" s="47"/>
      <c r="I1041" s="47">
        <f>IFERROR(__xludf.DUMMYFUNCTION("""COMPUTED_VALUE"""),2.0)</f>
        <v>2</v>
      </c>
      <c r="J1041" s="47" t="str">
        <f>IFERROR(__xludf.DUMMYFUNCTION("""COMPUTED_VALUE"""),"https:")</f>
        <v>https:</v>
      </c>
      <c r="K1041" s="78" t="str">
        <f>IFERROR(__xludf.DUMMYFUNCTION("""COMPUTED_VALUE"""),"www.munzee.com")</f>
        <v>www.munzee.com</v>
      </c>
      <c r="L1041" s="47" t="str">
        <f>IFERROR(__xludf.DUMMYFUNCTION("""COMPUTED_VALUE"""),"m")</f>
        <v>m</v>
      </c>
      <c r="M1041" s="47" t="str">
        <f>IFERROR(__xludf.DUMMYFUNCTION("""COMPUTED_VALUE"""),"belladivadee")</f>
        <v>belladivadee</v>
      </c>
    </row>
    <row r="1042">
      <c r="A1042" s="47" t="str">
        <f>IFERROR(__xludf.DUMMYFUNCTION("""COMPUTED_VALUE"""),"Virtual Brown")</f>
        <v>Virtual Brown</v>
      </c>
      <c r="B1042" s="47" t="str">
        <f>IFERROR(__xludf.DUMMYFUNCTION("""COMPUTED_VALUE"""),"sverlaan")</f>
        <v>sverlaan</v>
      </c>
      <c r="C1042" s="78" t="str">
        <f>IFERROR(__xludf.DUMMYFUNCTION("""COMPUTED_VALUE"""),"https://www.munzee.com/m/sverlaan/6257/")</f>
        <v>https://www.munzee.com/m/sverlaan/6257/</v>
      </c>
      <c r="D1042" s="47"/>
      <c r="E1042" s="47" t="b">
        <f>IFERROR(__xludf.DUMMYFUNCTION("""COMPUTED_VALUE"""),TRUE)</f>
        <v>1</v>
      </c>
      <c r="F1042" s="47" t="str">
        <f>IFERROR(__xludf.DUMMYFUNCTION("""COMPUTED_VALUE"""),"")</f>
        <v/>
      </c>
      <c r="G1042" s="47" t="str">
        <f>IFERROR(__xludf.DUMMYFUNCTION("""COMPUTED_VALUE"""),"")</f>
        <v/>
      </c>
      <c r="H1042" s="47"/>
      <c r="I1042" s="47">
        <f>IFERROR(__xludf.DUMMYFUNCTION("""COMPUTED_VALUE"""),2.0)</f>
        <v>2</v>
      </c>
      <c r="J1042" s="47" t="str">
        <f>IFERROR(__xludf.DUMMYFUNCTION("""COMPUTED_VALUE"""),"https:")</f>
        <v>https:</v>
      </c>
      <c r="K1042" s="78" t="str">
        <f>IFERROR(__xludf.DUMMYFUNCTION("""COMPUTED_VALUE"""),"www.munzee.com")</f>
        <v>www.munzee.com</v>
      </c>
      <c r="L1042" s="47" t="str">
        <f>IFERROR(__xludf.DUMMYFUNCTION("""COMPUTED_VALUE"""),"m")</f>
        <v>m</v>
      </c>
      <c r="M1042" s="47" t="str">
        <f>IFERROR(__xludf.DUMMYFUNCTION("""COMPUTED_VALUE"""),"sverlaan")</f>
        <v>sverlaan</v>
      </c>
    </row>
    <row r="1043">
      <c r="A1043" s="47" t="str">
        <f>IFERROR(__xludf.DUMMYFUNCTION("""COMPUTED_VALUE"""),"Virtual Raw Sienna")</f>
        <v>Virtual Raw Sienna</v>
      </c>
      <c r="B1043" s="47" t="str">
        <f>IFERROR(__xludf.DUMMYFUNCTION("""COMPUTED_VALUE"""),"PawpatrolThomas")</f>
        <v>PawpatrolThomas</v>
      </c>
      <c r="C1043" s="78" t="str">
        <f>IFERROR(__xludf.DUMMYFUNCTION("""COMPUTED_VALUE"""),"https://www.munzee.com/m/PawPatrolThomas/4200/")</f>
        <v>https://www.munzee.com/m/PawPatrolThomas/4200/</v>
      </c>
      <c r="D1043" s="47"/>
      <c r="E1043" s="47" t="b">
        <f>IFERROR(__xludf.DUMMYFUNCTION("""COMPUTED_VALUE"""),TRUE)</f>
        <v>1</v>
      </c>
      <c r="F1043" s="47" t="str">
        <f>IFERROR(__xludf.DUMMYFUNCTION("""COMPUTED_VALUE"""),"")</f>
        <v/>
      </c>
      <c r="G1043" s="47" t="str">
        <f>IFERROR(__xludf.DUMMYFUNCTION("""COMPUTED_VALUE"""),"")</f>
        <v/>
      </c>
      <c r="H1043" s="47"/>
      <c r="I1043" s="47">
        <f>IFERROR(__xludf.DUMMYFUNCTION("""COMPUTED_VALUE"""),2.0)</f>
        <v>2</v>
      </c>
      <c r="J1043" s="47" t="str">
        <f>IFERROR(__xludf.DUMMYFUNCTION("""COMPUTED_VALUE"""),"https:")</f>
        <v>https:</v>
      </c>
      <c r="K1043" s="78" t="str">
        <f>IFERROR(__xludf.DUMMYFUNCTION("""COMPUTED_VALUE"""),"www.munzee.com")</f>
        <v>www.munzee.com</v>
      </c>
      <c r="L1043" s="47" t="str">
        <f>IFERROR(__xludf.DUMMYFUNCTION("""COMPUTED_VALUE"""),"m")</f>
        <v>m</v>
      </c>
      <c r="M1043" s="47" t="str">
        <f>IFERROR(__xludf.DUMMYFUNCTION("""COMPUTED_VALUE"""),"PawPatrolThomas")</f>
        <v>PawPatrolThomas</v>
      </c>
    </row>
    <row r="1044">
      <c r="A1044" s="47" t="str">
        <f>IFERROR(__xludf.DUMMYFUNCTION("""COMPUTED_VALUE"""),"Virtual Raw Sienna")</f>
        <v>Virtual Raw Sienna</v>
      </c>
      <c r="B1044" s="47" t="str">
        <f>IFERROR(__xludf.DUMMYFUNCTION("""COMPUTED_VALUE"""),"EmileP68")</f>
        <v>EmileP68</v>
      </c>
      <c r="C1044" s="78" t="str">
        <f>IFERROR(__xludf.DUMMYFUNCTION("""COMPUTED_VALUE"""),"https://www.munzee.com/m/EmileP68/5116/")</f>
        <v>https://www.munzee.com/m/EmileP68/5116/</v>
      </c>
      <c r="D1044" s="47"/>
      <c r="E1044" s="47" t="b">
        <f>IFERROR(__xludf.DUMMYFUNCTION("""COMPUTED_VALUE"""),TRUE)</f>
        <v>1</v>
      </c>
      <c r="F1044" s="47" t="str">
        <f>IFERROR(__xludf.DUMMYFUNCTION("""COMPUTED_VALUE"""),"")</f>
        <v/>
      </c>
      <c r="G1044" s="47" t="str">
        <f>IFERROR(__xludf.DUMMYFUNCTION("""COMPUTED_VALUE"""),"")</f>
        <v/>
      </c>
      <c r="H1044" s="47"/>
      <c r="I1044" s="47">
        <f>IFERROR(__xludf.DUMMYFUNCTION("""COMPUTED_VALUE"""),2.0)</f>
        <v>2</v>
      </c>
      <c r="J1044" s="47" t="str">
        <f>IFERROR(__xludf.DUMMYFUNCTION("""COMPUTED_VALUE"""),"https:")</f>
        <v>https:</v>
      </c>
      <c r="K1044" s="78" t="str">
        <f>IFERROR(__xludf.DUMMYFUNCTION("""COMPUTED_VALUE"""),"www.munzee.com")</f>
        <v>www.munzee.com</v>
      </c>
      <c r="L1044" s="47" t="str">
        <f>IFERROR(__xludf.DUMMYFUNCTION("""COMPUTED_VALUE"""),"m")</f>
        <v>m</v>
      </c>
      <c r="M1044" s="47" t="str">
        <f>IFERROR(__xludf.DUMMYFUNCTION("""COMPUTED_VALUE"""),"EmileP68")</f>
        <v>EmileP68</v>
      </c>
    </row>
    <row r="1045">
      <c r="A1045" s="47" t="str">
        <f>IFERROR(__xludf.DUMMYFUNCTION("""COMPUTED_VALUE"""),"Virtual Brown")</f>
        <v>Virtual Brown</v>
      </c>
      <c r="B1045" s="47" t="str">
        <f>IFERROR(__xludf.DUMMYFUNCTION("""COMPUTED_VALUE"""),"BrotherWilliam")</f>
        <v>BrotherWilliam</v>
      </c>
      <c r="C1045" s="78" t="str">
        <f>IFERROR(__xludf.DUMMYFUNCTION("""COMPUTED_VALUE"""),"https://www.munzee.com/m/BrotherWilliam/5350/")</f>
        <v>https://www.munzee.com/m/BrotherWilliam/5350/</v>
      </c>
      <c r="D1045" s="47"/>
      <c r="E1045" s="47" t="b">
        <f>IFERROR(__xludf.DUMMYFUNCTION("""COMPUTED_VALUE"""),TRUE)</f>
        <v>1</v>
      </c>
      <c r="F1045" s="47" t="str">
        <f>IFERROR(__xludf.DUMMYFUNCTION("""COMPUTED_VALUE"""),"")</f>
        <v/>
      </c>
      <c r="G1045" s="47" t="str">
        <f>IFERROR(__xludf.DUMMYFUNCTION("""COMPUTED_VALUE"""),"")</f>
        <v/>
      </c>
      <c r="H1045" s="47"/>
      <c r="I1045" s="47">
        <f>IFERROR(__xludf.DUMMYFUNCTION("""COMPUTED_VALUE"""),2.0)</f>
        <v>2</v>
      </c>
      <c r="J1045" s="47" t="str">
        <f>IFERROR(__xludf.DUMMYFUNCTION("""COMPUTED_VALUE"""),"https:")</f>
        <v>https:</v>
      </c>
      <c r="K1045" s="78" t="str">
        <f>IFERROR(__xludf.DUMMYFUNCTION("""COMPUTED_VALUE"""),"www.munzee.com")</f>
        <v>www.munzee.com</v>
      </c>
      <c r="L1045" s="47" t="str">
        <f>IFERROR(__xludf.DUMMYFUNCTION("""COMPUTED_VALUE"""),"m")</f>
        <v>m</v>
      </c>
      <c r="M1045" s="47" t="str">
        <f>IFERROR(__xludf.DUMMYFUNCTION("""COMPUTED_VALUE"""),"BrotherWilliam")</f>
        <v>BrotherWilliam</v>
      </c>
    </row>
    <row r="1046">
      <c r="A1046" s="47" t="str">
        <f>IFERROR(__xludf.DUMMYFUNCTION("""COMPUTED_VALUE"""),"Virtual Brown")</f>
        <v>Virtual Brown</v>
      </c>
      <c r="B1046" s="47" t="str">
        <f>IFERROR(__xludf.DUMMYFUNCTION("""COMPUTED_VALUE"""),"ArtofEco")</f>
        <v>ArtofEco</v>
      </c>
      <c r="C1046" s="78" t="str">
        <f>IFERROR(__xludf.DUMMYFUNCTION("""COMPUTED_VALUE"""),"https://www.munzee.com/m/ArtofEco/3651/")</f>
        <v>https://www.munzee.com/m/ArtofEco/3651/</v>
      </c>
      <c r="D1046" s="47"/>
      <c r="E1046" s="47" t="b">
        <f>IFERROR(__xludf.DUMMYFUNCTION("""COMPUTED_VALUE"""),TRUE)</f>
        <v>1</v>
      </c>
      <c r="F1046" s="47" t="str">
        <f>IFERROR(__xludf.DUMMYFUNCTION("""COMPUTED_VALUE"""),"")</f>
        <v/>
      </c>
      <c r="G1046" s="47" t="str">
        <f>IFERROR(__xludf.DUMMYFUNCTION("""COMPUTED_VALUE"""),"")</f>
        <v/>
      </c>
      <c r="H1046" s="47"/>
      <c r="I1046" s="47">
        <f>IFERROR(__xludf.DUMMYFUNCTION("""COMPUTED_VALUE"""),2.0)</f>
        <v>2</v>
      </c>
      <c r="J1046" s="47" t="str">
        <f>IFERROR(__xludf.DUMMYFUNCTION("""COMPUTED_VALUE"""),"https:")</f>
        <v>https:</v>
      </c>
      <c r="K1046" s="78" t="str">
        <f>IFERROR(__xludf.DUMMYFUNCTION("""COMPUTED_VALUE"""),"www.munzee.com")</f>
        <v>www.munzee.com</v>
      </c>
      <c r="L1046" s="47" t="str">
        <f>IFERROR(__xludf.DUMMYFUNCTION("""COMPUTED_VALUE"""),"m")</f>
        <v>m</v>
      </c>
      <c r="M1046" s="47" t="str">
        <f>IFERROR(__xludf.DUMMYFUNCTION("""COMPUTED_VALUE"""),"ArtofEco")</f>
        <v>ArtofEco</v>
      </c>
    </row>
    <row r="1047">
      <c r="A1047" s="47" t="str">
        <f>IFERROR(__xludf.DUMMYFUNCTION("""COMPUTED_VALUE"""),"Virtual Brown")</f>
        <v>Virtual Brown</v>
      </c>
      <c r="B1047" s="47" t="str">
        <f>IFERROR(__xludf.DUMMYFUNCTION("""COMPUTED_VALUE"""),"J1Huisman")</f>
        <v>J1Huisman</v>
      </c>
      <c r="C1047" s="78" t="str">
        <f>IFERROR(__xludf.DUMMYFUNCTION("""COMPUTED_VALUE"""),"https://www.munzee.com/m/J1Huisman/13017/")</f>
        <v>https://www.munzee.com/m/J1Huisman/13017/</v>
      </c>
      <c r="D1047" s="47"/>
      <c r="E1047" s="47" t="b">
        <f>IFERROR(__xludf.DUMMYFUNCTION("""COMPUTED_VALUE"""),TRUE)</f>
        <v>1</v>
      </c>
      <c r="F1047" s="47" t="str">
        <f>IFERROR(__xludf.DUMMYFUNCTION("""COMPUTED_VALUE"""),"")</f>
        <v/>
      </c>
      <c r="G1047" s="47" t="str">
        <f>IFERROR(__xludf.DUMMYFUNCTION("""COMPUTED_VALUE"""),"")</f>
        <v/>
      </c>
      <c r="H1047" s="47"/>
      <c r="I1047" s="47">
        <f>IFERROR(__xludf.DUMMYFUNCTION("""COMPUTED_VALUE"""),2.0)</f>
        <v>2</v>
      </c>
      <c r="J1047" s="47" t="str">
        <f>IFERROR(__xludf.DUMMYFUNCTION("""COMPUTED_VALUE"""),"https:")</f>
        <v>https:</v>
      </c>
      <c r="K1047" s="78" t="str">
        <f>IFERROR(__xludf.DUMMYFUNCTION("""COMPUTED_VALUE"""),"www.munzee.com")</f>
        <v>www.munzee.com</v>
      </c>
      <c r="L1047" s="47" t="str">
        <f>IFERROR(__xludf.DUMMYFUNCTION("""COMPUTED_VALUE"""),"m")</f>
        <v>m</v>
      </c>
      <c r="M1047" s="47" t="str">
        <f>IFERROR(__xludf.DUMMYFUNCTION("""COMPUTED_VALUE"""),"J1Huisman")</f>
        <v>J1Huisman</v>
      </c>
    </row>
    <row r="1048">
      <c r="A1048" s="47" t="str">
        <f>IFERROR(__xludf.DUMMYFUNCTION("""COMPUTED_VALUE"""),"Virtual Raw Sienna")</f>
        <v>Virtual Raw Sienna</v>
      </c>
      <c r="B1048" s="47" t="str">
        <f>IFERROR(__xludf.DUMMYFUNCTION("""COMPUTED_VALUE"""),"fsafranek")</f>
        <v>fsafranek</v>
      </c>
      <c r="C1048" s="78" t="str">
        <f>IFERROR(__xludf.DUMMYFUNCTION("""COMPUTED_VALUE"""),"https://www.munzee.com/m/fsafranek/5486/")</f>
        <v>https://www.munzee.com/m/fsafranek/5486/</v>
      </c>
      <c r="D1048" s="47"/>
      <c r="E1048" s="47" t="b">
        <f>IFERROR(__xludf.DUMMYFUNCTION("""COMPUTED_VALUE"""),TRUE)</f>
        <v>1</v>
      </c>
      <c r="F1048" s="47" t="str">
        <f>IFERROR(__xludf.DUMMYFUNCTION("""COMPUTED_VALUE"""),"")</f>
        <v/>
      </c>
      <c r="G1048" s="47" t="str">
        <f>IFERROR(__xludf.DUMMYFUNCTION("""COMPUTED_VALUE"""),"")</f>
        <v/>
      </c>
      <c r="H1048" s="47"/>
      <c r="I1048" s="47">
        <f>IFERROR(__xludf.DUMMYFUNCTION("""COMPUTED_VALUE"""),2.0)</f>
        <v>2</v>
      </c>
      <c r="J1048" s="47" t="str">
        <f>IFERROR(__xludf.DUMMYFUNCTION("""COMPUTED_VALUE"""),"https:")</f>
        <v>https:</v>
      </c>
      <c r="K1048" s="78" t="str">
        <f>IFERROR(__xludf.DUMMYFUNCTION("""COMPUTED_VALUE"""),"www.munzee.com")</f>
        <v>www.munzee.com</v>
      </c>
      <c r="L1048" s="47" t="str">
        <f>IFERROR(__xludf.DUMMYFUNCTION("""COMPUTED_VALUE"""),"m")</f>
        <v>m</v>
      </c>
      <c r="M1048" s="47" t="str">
        <f>IFERROR(__xludf.DUMMYFUNCTION("""COMPUTED_VALUE"""),"fsafranek")</f>
        <v>fsafranek</v>
      </c>
    </row>
    <row r="1049">
      <c r="A1049" s="47" t="str">
        <f>IFERROR(__xludf.DUMMYFUNCTION("""COMPUTED_VALUE"""),"Virtual Brown")</f>
        <v>Virtual Brown</v>
      </c>
      <c r="B1049" s="47" t="str">
        <f>IFERROR(__xludf.DUMMYFUNCTION("""COMPUTED_VALUE"""),"Ellesche")</f>
        <v>Ellesche</v>
      </c>
      <c r="C1049" s="78" t="str">
        <f>IFERROR(__xludf.DUMMYFUNCTION("""COMPUTED_VALUE"""),"https://www.munzee.com/m/Ellesche/807")</f>
        <v>https://www.munzee.com/m/Ellesche/807</v>
      </c>
      <c r="D1049" s="47"/>
      <c r="E1049" s="47" t="b">
        <f>IFERROR(__xludf.DUMMYFUNCTION("""COMPUTED_VALUE"""),TRUE)</f>
        <v>1</v>
      </c>
      <c r="F1049" s="47" t="str">
        <f>IFERROR(__xludf.DUMMYFUNCTION("""COMPUTED_VALUE"""),"")</f>
        <v/>
      </c>
      <c r="G1049" s="47" t="str">
        <f>IFERROR(__xludf.DUMMYFUNCTION("""COMPUTED_VALUE"""),"")</f>
        <v/>
      </c>
      <c r="H1049" s="47"/>
      <c r="I1049" s="47">
        <f>IFERROR(__xludf.DUMMYFUNCTION("""COMPUTED_VALUE"""),2.0)</f>
        <v>2</v>
      </c>
      <c r="J1049" s="47" t="str">
        <f>IFERROR(__xludf.DUMMYFUNCTION("""COMPUTED_VALUE"""),"https:")</f>
        <v>https:</v>
      </c>
      <c r="K1049" s="78" t="str">
        <f>IFERROR(__xludf.DUMMYFUNCTION("""COMPUTED_VALUE"""),"www.munzee.com")</f>
        <v>www.munzee.com</v>
      </c>
      <c r="L1049" s="47" t="str">
        <f>IFERROR(__xludf.DUMMYFUNCTION("""COMPUTED_VALUE"""),"m")</f>
        <v>m</v>
      </c>
      <c r="M1049" s="47" t="str">
        <f>IFERROR(__xludf.DUMMYFUNCTION("""COMPUTED_VALUE"""),"Ellesche")</f>
        <v>Ellesche</v>
      </c>
    </row>
    <row r="1050">
      <c r="A1050" s="47" t="str">
        <f>IFERROR(__xludf.DUMMYFUNCTION("""COMPUTED_VALUE"""),"Virtual Brown")</f>
        <v>Virtual Brown</v>
      </c>
      <c r="B1050" s="47" t="str">
        <f>IFERROR(__xludf.DUMMYFUNCTION("""COMPUTED_VALUE"""),"res2100")</f>
        <v>res2100</v>
      </c>
      <c r="C1050" s="78" t="str">
        <f>IFERROR(__xludf.DUMMYFUNCTION("""COMPUTED_VALUE"""),"https://www.munzee.com/m/res2100/753")</f>
        <v>https://www.munzee.com/m/res2100/753</v>
      </c>
      <c r="D1050" s="47"/>
      <c r="E1050" s="47" t="b">
        <f>IFERROR(__xludf.DUMMYFUNCTION("""COMPUTED_VALUE"""),TRUE)</f>
        <v>1</v>
      </c>
      <c r="F1050" s="47" t="str">
        <f>IFERROR(__xludf.DUMMYFUNCTION("""COMPUTED_VALUE"""),"")</f>
        <v/>
      </c>
      <c r="G1050" s="47" t="str">
        <f>IFERROR(__xludf.DUMMYFUNCTION("""COMPUTED_VALUE"""),"")</f>
        <v/>
      </c>
      <c r="H1050" s="47"/>
      <c r="I1050" s="47">
        <f>IFERROR(__xludf.DUMMYFUNCTION("""COMPUTED_VALUE"""),2.0)</f>
        <v>2</v>
      </c>
      <c r="J1050" s="47" t="str">
        <f>IFERROR(__xludf.DUMMYFUNCTION("""COMPUTED_VALUE"""),"https:")</f>
        <v>https:</v>
      </c>
      <c r="K1050" s="78" t="str">
        <f>IFERROR(__xludf.DUMMYFUNCTION("""COMPUTED_VALUE"""),"www.munzee.com")</f>
        <v>www.munzee.com</v>
      </c>
      <c r="L1050" s="47" t="str">
        <f>IFERROR(__xludf.DUMMYFUNCTION("""COMPUTED_VALUE"""),"m")</f>
        <v>m</v>
      </c>
      <c r="M1050" s="47" t="str">
        <f>IFERROR(__xludf.DUMMYFUNCTION("""COMPUTED_VALUE"""),"res2100")</f>
        <v>res2100</v>
      </c>
    </row>
    <row r="1051">
      <c r="A1051" s="47" t="str">
        <f>IFERROR(__xludf.DUMMYFUNCTION("""COMPUTED_VALUE"""),"Virtual Brown")</f>
        <v>Virtual Brown</v>
      </c>
      <c r="B1051" s="47" t="str">
        <f>IFERROR(__xludf.DUMMYFUNCTION("""COMPUTED_VALUE"""),"xrayneex")</f>
        <v>xrayneex</v>
      </c>
      <c r="C1051" s="78" t="str">
        <f>IFERROR(__xludf.DUMMYFUNCTION("""COMPUTED_VALUE"""),"https://www.munzee.com/m/xrayneex/2623/")</f>
        <v>https://www.munzee.com/m/xrayneex/2623/</v>
      </c>
      <c r="D1051" s="47"/>
      <c r="E1051" s="47" t="b">
        <f>IFERROR(__xludf.DUMMYFUNCTION("""COMPUTED_VALUE"""),TRUE)</f>
        <v>1</v>
      </c>
      <c r="F1051" s="47" t="str">
        <f>IFERROR(__xludf.DUMMYFUNCTION("""COMPUTED_VALUE"""),"")</f>
        <v/>
      </c>
      <c r="G1051" s="47" t="str">
        <f>IFERROR(__xludf.DUMMYFUNCTION("""COMPUTED_VALUE"""),"")</f>
        <v/>
      </c>
      <c r="H1051" s="47"/>
      <c r="I1051" s="47">
        <f>IFERROR(__xludf.DUMMYFUNCTION("""COMPUTED_VALUE"""),2.0)</f>
        <v>2</v>
      </c>
      <c r="J1051" s="47" t="str">
        <f>IFERROR(__xludf.DUMMYFUNCTION("""COMPUTED_VALUE"""),"https:")</f>
        <v>https:</v>
      </c>
      <c r="K1051" s="78" t="str">
        <f>IFERROR(__xludf.DUMMYFUNCTION("""COMPUTED_VALUE"""),"www.munzee.com")</f>
        <v>www.munzee.com</v>
      </c>
      <c r="L1051" s="47" t="str">
        <f>IFERROR(__xludf.DUMMYFUNCTION("""COMPUTED_VALUE"""),"m")</f>
        <v>m</v>
      </c>
      <c r="M1051" s="47" t="str">
        <f>IFERROR(__xludf.DUMMYFUNCTION("""COMPUTED_VALUE"""),"xrayneex")</f>
        <v>xrayneex</v>
      </c>
    </row>
    <row r="1052">
      <c r="A1052" s="47" t="str">
        <f>IFERROR(__xludf.DUMMYFUNCTION("""COMPUTED_VALUE"""),"Virtual Brown")</f>
        <v>Virtual Brown</v>
      </c>
      <c r="B1052" s="47" t="str">
        <f>IFERROR(__xludf.DUMMYFUNCTION("""COMPUTED_VALUE"""),"Drazoria")</f>
        <v>Drazoria</v>
      </c>
      <c r="C1052" s="78" t="str">
        <f>IFERROR(__xludf.DUMMYFUNCTION("""COMPUTED_VALUE"""),"https://www.munzee.com/m/Drazoria/1600/")</f>
        <v>https://www.munzee.com/m/Drazoria/1600/</v>
      </c>
      <c r="D1052" s="47"/>
      <c r="E1052" s="47" t="b">
        <f>IFERROR(__xludf.DUMMYFUNCTION("""COMPUTED_VALUE"""),TRUE)</f>
        <v>1</v>
      </c>
      <c r="F1052" s="47" t="str">
        <f>IFERROR(__xludf.DUMMYFUNCTION("""COMPUTED_VALUE"""),"")</f>
        <v/>
      </c>
      <c r="G1052" s="47" t="str">
        <f>IFERROR(__xludf.DUMMYFUNCTION("""COMPUTED_VALUE"""),"")</f>
        <v/>
      </c>
      <c r="H1052" s="47"/>
      <c r="I1052" s="47">
        <f>IFERROR(__xludf.DUMMYFUNCTION("""COMPUTED_VALUE"""),2.0)</f>
        <v>2</v>
      </c>
      <c r="J1052" s="47" t="str">
        <f>IFERROR(__xludf.DUMMYFUNCTION("""COMPUTED_VALUE"""),"https:")</f>
        <v>https:</v>
      </c>
      <c r="K1052" s="78" t="str">
        <f>IFERROR(__xludf.DUMMYFUNCTION("""COMPUTED_VALUE"""),"www.munzee.com")</f>
        <v>www.munzee.com</v>
      </c>
      <c r="L1052" s="47" t="str">
        <f>IFERROR(__xludf.DUMMYFUNCTION("""COMPUTED_VALUE"""),"m")</f>
        <v>m</v>
      </c>
      <c r="M1052" s="47" t="str">
        <f>IFERROR(__xludf.DUMMYFUNCTION("""COMPUTED_VALUE"""),"Drazoria")</f>
        <v>Drazoria</v>
      </c>
    </row>
    <row r="1053">
      <c r="A1053" s="47" t="str">
        <f>IFERROR(__xludf.DUMMYFUNCTION("""COMPUTED_VALUE"""),"Virtual Brown")</f>
        <v>Virtual Brown</v>
      </c>
      <c r="B1053" s="47" t="str">
        <f>IFERROR(__xludf.DUMMYFUNCTION("""COMPUTED_VALUE"""),"Tinake1309")</f>
        <v>Tinake1309</v>
      </c>
      <c r="C1053" s="78" t="str">
        <f>IFERROR(__xludf.DUMMYFUNCTION("""COMPUTED_VALUE"""),"https://www.munzee.com/m/Tinake1309/1597/")</f>
        <v>https://www.munzee.com/m/Tinake1309/1597/</v>
      </c>
      <c r="D1053" s="47"/>
      <c r="E1053" s="47" t="b">
        <f>IFERROR(__xludf.DUMMYFUNCTION("""COMPUTED_VALUE"""),TRUE)</f>
        <v>1</v>
      </c>
      <c r="F1053" s="47" t="str">
        <f>IFERROR(__xludf.DUMMYFUNCTION("""COMPUTED_VALUE"""),"")</f>
        <v/>
      </c>
      <c r="G1053" s="47" t="str">
        <f>IFERROR(__xludf.DUMMYFUNCTION("""COMPUTED_VALUE"""),"")</f>
        <v/>
      </c>
      <c r="H1053" s="47"/>
      <c r="I1053" s="47">
        <f>IFERROR(__xludf.DUMMYFUNCTION("""COMPUTED_VALUE"""),2.0)</f>
        <v>2</v>
      </c>
      <c r="J1053" s="47" t="str">
        <f>IFERROR(__xludf.DUMMYFUNCTION("""COMPUTED_VALUE"""),"https:")</f>
        <v>https:</v>
      </c>
      <c r="K1053" s="78" t="str">
        <f>IFERROR(__xludf.DUMMYFUNCTION("""COMPUTED_VALUE"""),"www.munzee.com")</f>
        <v>www.munzee.com</v>
      </c>
      <c r="L1053" s="47" t="str">
        <f>IFERROR(__xludf.DUMMYFUNCTION("""COMPUTED_VALUE"""),"m")</f>
        <v>m</v>
      </c>
      <c r="M1053" s="47" t="str">
        <f>IFERROR(__xludf.DUMMYFUNCTION("""COMPUTED_VALUE"""),"Tinake1309")</f>
        <v>Tinake1309</v>
      </c>
    </row>
    <row r="1054">
      <c r="A1054" s="47" t="str">
        <f>IFERROR(__xludf.DUMMYFUNCTION("""COMPUTED_VALUE"""),"Virtual Brown")</f>
        <v>Virtual Brown</v>
      </c>
      <c r="B1054" s="47" t="str">
        <f>IFERROR(__xludf.DUMMYFUNCTION("""COMPUTED_VALUE"""),"Berg14")</f>
        <v>Berg14</v>
      </c>
      <c r="C1054" s="78" t="str">
        <f>IFERROR(__xludf.DUMMYFUNCTION("""COMPUTED_VALUE"""),"https://www.munzee.com/m/Berg14/1519/")</f>
        <v>https://www.munzee.com/m/Berg14/1519/</v>
      </c>
      <c r="D1054" s="47"/>
      <c r="E1054" s="47" t="b">
        <f>IFERROR(__xludf.DUMMYFUNCTION("""COMPUTED_VALUE"""),TRUE)</f>
        <v>1</v>
      </c>
      <c r="F1054" s="47" t="str">
        <f>IFERROR(__xludf.DUMMYFUNCTION("""COMPUTED_VALUE"""),"")</f>
        <v/>
      </c>
      <c r="G1054" s="47" t="str">
        <f>IFERROR(__xludf.DUMMYFUNCTION("""COMPUTED_VALUE"""),"")</f>
        <v/>
      </c>
      <c r="H1054" s="47"/>
      <c r="I1054" s="47">
        <f>IFERROR(__xludf.DUMMYFUNCTION("""COMPUTED_VALUE"""),2.0)</f>
        <v>2</v>
      </c>
      <c r="J1054" s="47" t="str">
        <f>IFERROR(__xludf.DUMMYFUNCTION("""COMPUTED_VALUE"""),"https:")</f>
        <v>https:</v>
      </c>
      <c r="K1054" s="78" t="str">
        <f>IFERROR(__xludf.DUMMYFUNCTION("""COMPUTED_VALUE"""),"www.munzee.com")</f>
        <v>www.munzee.com</v>
      </c>
      <c r="L1054" s="47" t="str">
        <f>IFERROR(__xludf.DUMMYFUNCTION("""COMPUTED_VALUE"""),"m")</f>
        <v>m</v>
      </c>
      <c r="M1054" s="47" t="str">
        <f>IFERROR(__xludf.DUMMYFUNCTION("""COMPUTED_VALUE"""),"Berg14")</f>
        <v>Berg14</v>
      </c>
    </row>
    <row r="1055">
      <c r="A1055" s="47" t="str">
        <f>IFERROR(__xludf.DUMMYFUNCTION("""COMPUTED_VALUE"""),"Virtual Brown")</f>
        <v>Virtual Brown</v>
      </c>
      <c r="B1055" s="47" t="str">
        <f>IFERROR(__xludf.DUMMYFUNCTION("""COMPUTED_VALUE"""),"Niks13")</f>
        <v>Niks13</v>
      </c>
      <c r="C1055" s="78" t="str">
        <f>IFERROR(__xludf.DUMMYFUNCTION("""COMPUTED_VALUE"""),"https://www.munzee.com/m/Niks13/1499/")</f>
        <v>https://www.munzee.com/m/Niks13/1499/</v>
      </c>
      <c r="D1055" s="47"/>
      <c r="E1055" s="47" t="b">
        <f>IFERROR(__xludf.DUMMYFUNCTION("""COMPUTED_VALUE"""),TRUE)</f>
        <v>1</v>
      </c>
      <c r="F1055" s="47" t="str">
        <f>IFERROR(__xludf.DUMMYFUNCTION("""COMPUTED_VALUE"""),"")</f>
        <v/>
      </c>
      <c r="G1055" s="47" t="str">
        <f>IFERROR(__xludf.DUMMYFUNCTION("""COMPUTED_VALUE"""),"")</f>
        <v/>
      </c>
      <c r="H1055" s="47"/>
      <c r="I1055" s="47">
        <f>IFERROR(__xludf.DUMMYFUNCTION("""COMPUTED_VALUE"""),2.0)</f>
        <v>2</v>
      </c>
      <c r="J1055" s="47" t="str">
        <f>IFERROR(__xludf.DUMMYFUNCTION("""COMPUTED_VALUE"""),"https:")</f>
        <v>https:</v>
      </c>
      <c r="K1055" s="78" t="str">
        <f>IFERROR(__xludf.DUMMYFUNCTION("""COMPUTED_VALUE"""),"www.munzee.com")</f>
        <v>www.munzee.com</v>
      </c>
      <c r="L1055" s="47" t="str">
        <f>IFERROR(__xludf.DUMMYFUNCTION("""COMPUTED_VALUE"""),"m")</f>
        <v>m</v>
      </c>
      <c r="M1055" s="47" t="str">
        <f>IFERROR(__xludf.DUMMYFUNCTION("""COMPUTED_VALUE"""),"Niks13")</f>
        <v>Niks13</v>
      </c>
    </row>
    <row r="1056">
      <c r="A1056" s="47" t="str">
        <f>IFERROR(__xludf.DUMMYFUNCTION("""COMPUTED_VALUE"""),"Virtual Brown")</f>
        <v>Virtual Brown</v>
      </c>
      <c r="B1056" s="47" t="str">
        <f>IFERROR(__xludf.DUMMYFUNCTION("""COMPUTED_VALUE"""),"NYBOSS")</f>
        <v>NYBOSS</v>
      </c>
      <c r="C1056" s="78" t="str">
        <f>IFERROR(__xludf.DUMMYFUNCTION("""COMPUTED_VALUE"""),"https://www.munzee.com/m/nyboss/13220/")</f>
        <v>https://www.munzee.com/m/nyboss/13220/</v>
      </c>
      <c r="D1056" s="47"/>
      <c r="E1056" s="47" t="b">
        <f>IFERROR(__xludf.DUMMYFUNCTION("""COMPUTED_VALUE"""),TRUE)</f>
        <v>1</v>
      </c>
      <c r="F1056" s="47" t="str">
        <f>IFERROR(__xludf.DUMMYFUNCTION("""COMPUTED_VALUE"""),"")</f>
        <v/>
      </c>
      <c r="G1056" s="47" t="str">
        <f>IFERROR(__xludf.DUMMYFUNCTION("""COMPUTED_VALUE"""),"")</f>
        <v/>
      </c>
      <c r="H1056" s="47"/>
      <c r="I1056" s="47">
        <f>IFERROR(__xludf.DUMMYFUNCTION("""COMPUTED_VALUE"""),2.0)</f>
        <v>2</v>
      </c>
      <c r="J1056" s="47" t="str">
        <f>IFERROR(__xludf.DUMMYFUNCTION("""COMPUTED_VALUE"""),"https:")</f>
        <v>https:</v>
      </c>
      <c r="K1056" s="78" t="str">
        <f>IFERROR(__xludf.DUMMYFUNCTION("""COMPUTED_VALUE"""),"www.munzee.com")</f>
        <v>www.munzee.com</v>
      </c>
      <c r="L1056" s="47" t="str">
        <f>IFERROR(__xludf.DUMMYFUNCTION("""COMPUTED_VALUE"""),"m")</f>
        <v>m</v>
      </c>
      <c r="M1056" s="47" t="str">
        <f>IFERROR(__xludf.DUMMYFUNCTION("""COMPUTED_VALUE"""),"nyboss")</f>
        <v>nyboss</v>
      </c>
    </row>
    <row r="1057">
      <c r="A1057" s="47" t="str">
        <f>IFERROR(__xludf.DUMMYFUNCTION("""COMPUTED_VALUE"""),"Virtual Brown")</f>
        <v>Virtual Brown</v>
      </c>
      <c r="B1057" s="47" t="str">
        <f>IFERROR(__xludf.DUMMYFUNCTION("""COMPUTED_VALUE"""),"raunas")</f>
        <v>raunas</v>
      </c>
      <c r="C1057" s="78" t="str">
        <f>IFERROR(__xludf.DUMMYFUNCTION("""COMPUTED_VALUE"""),"https://www.munzee.com/m/raunas/12564")</f>
        <v>https://www.munzee.com/m/raunas/12564</v>
      </c>
      <c r="D1057" s="47"/>
      <c r="E1057" s="47" t="b">
        <f>IFERROR(__xludf.DUMMYFUNCTION("""COMPUTED_VALUE"""),TRUE)</f>
        <v>1</v>
      </c>
      <c r="F1057" s="47" t="str">
        <f>IFERROR(__xludf.DUMMYFUNCTION("""COMPUTED_VALUE"""),"")</f>
        <v/>
      </c>
      <c r="G1057" s="47" t="str">
        <f>IFERROR(__xludf.DUMMYFUNCTION("""COMPUTED_VALUE"""),"")</f>
        <v/>
      </c>
      <c r="H1057" s="47"/>
      <c r="I1057" s="47">
        <f>IFERROR(__xludf.DUMMYFUNCTION("""COMPUTED_VALUE"""),2.0)</f>
        <v>2</v>
      </c>
      <c r="J1057" s="47" t="str">
        <f>IFERROR(__xludf.DUMMYFUNCTION("""COMPUTED_VALUE"""),"https:")</f>
        <v>https:</v>
      </c>
      <c r="K1057" s="78" t="str">
        <f>IFERROR(__xludf.DUMMYFUNCTION("""COMPUTED_VALUE"""),"www.munzee.com")</f>
        <v>www.munzee.com</v>
      </c>
      <c r="L1057" s="47" t="str">
        <f>IFERROR(__xludf.DUMMYFUNCTION("""COMPUTED_VALUE"""),"m")</f>
        <v>m</v>
      </c>
      <c r="M1057" s="47" t="str">
        <f>IFERROR(__xludf.DUMMYFUNCTION("""COMPUTED_VALUE"""),"raunas")</f>
        <v>raunas</v>
      </c>
    </row>
    <row r="1058">
      <c r="A1058" s="47" t="str">
        <f>IFERROR(__xludf.DUMMYFUNCTION("""COMPUTED_VALUE"""),"Virtual Brown")</f>
        <v>Virtual Brown</v>
      </c>
      <c r="B1058" s="47" t="str">
        <f>IFERROR(__xludf.DUMMYFUNCTION("""COMPUTED_VALUE"""),"lupo6")</f>
        <v>lupo6</v>
      </c>
      <c r="C1058" s="78" t="str">
        <f>IFERROR(__xludf.DUMMYFUNCTION("""COMPUTED_VALUE"""),"https://www.munzee.com/m/lupo6/6620")</f>
        <v>https://www.munzee.com/m/lupo6/6620</v>
      </c>
      <c r="D1058" s="47"/>
      <c r="E1058" s="47" t="b">
        <f>IFERROR(__xludf.DUMMYFUNCTION("""COMPUTED_VALUE"""),TRUE)</f>
        <v>1</v>
      </c>
      <c r="F1058" s="47" t="str">
        <f>IFERROR(__xludf.DUMMYFUNCTION("""COMPUTED_VALUE"""),"")</f>
        <v/>
      </c>
      <c r="G1058" s="47" t="str">
        <f>IFERROR(__xludf.DUMMYFUNCTION("""COMPUTED_VALUE"""),"")</f>
        <v/>
      </c>
      <c r="H1058" s="47"/>
      <c r="I1058" s="47">
        <f>IFERROR(__xludf.DUMMYFUNCTION("""COMPUTED_VALUE"""),2.0)</f>
        <v>2</v>
      </c>
      <c r="J1058" s="47" t="str">
        <f>IFERROR(__xludf.DUMMYFUNCTION("""COMPUTED_VALUE"""),"https:")</f>
        <v>https:</v>
      </c>
      <c r="K1058" s="78" t="str">
        <f>IFERROR(__xludf.DUMMYFUNCTION("""COMPUTED_VALUE"""),"www.munzee.com")</f>
        <v>www.munzee.com</v>
      </c>
      <c r="L1058" s="47" t="str">
        <f>IFERROR(__xludf.DUMMYFUNCTION("""COMPUTED_VALUE"""),"m")</f>
        <v>m</v>
      </c>
      <c r="M1058" s="47" t="str">
        <f>IFERROR(__xludf.DUMMYFUNCTION("""COMPUTED_VALUE"""),"lupo6")</f>
        <v>lupo6</v>
      </c>
    </row>
    <row r="1059">
      <c r="A1059" s="47" t="str">
        <f>IFERROR(__xludf.DUMMYFUNCTION("""COMPUTED_VALUE"""),"Virtual Brown")</f>
        <v>Virtual Brown</v>
      </c>
      <c r="B1059" s="47" t="str">
        <f>IFERROR(__xludf.DUMMYFUNCTION("""COMPUTED_VALUE"""),"OdinsFiRe")</f>
        <v>OdinsFiRe</v>
      </c>
      <c r="C1059" s="78" t="str">
        <f>IFERROR(__xludf.DUMMYFUNCTION("""COMPUTED_VALUE"""),"https://www.munzee.com/m/OdinsFiRe/2066/")</f>
        <v>https://www.munzee.com/m/OdinsFiRe/2066/</v>
      </c>
      <c r="D1059" s="47"/>
      <c r="E1059" s="47" t="b">
        <f>IFERROR(__xludf.DUMMYFUNCTION("""COMPUTED_VALUE"""),TRUE)</f>
        <v>1</v>
      </c>
      <c r="F1059" s="47" t="str">
        <f>IFERROR(__xludf.DUMMYFUNCTION("""COMPUTED_VALUE"""),"")</f>
        <v/>
      </c>
      <c r="G1059" s="47" t="str">
        <f>IFERROR(__xludf.DUMMYFUNCTION("""COMPUTED_VALUE"""),"")</f>
        <v/>
      </c>
      <c r="H1059" s="47"/>
      <c r="I1059" s="47">
        <f>IFERROR(__xludf.DUMMYFUNCTION("""COMPUTED_VALUE"""),2.0)</f>
        <v>2</v>
      </c>
      <c r="J1059" s="47" t="str">
        <f>IFERROR(__xludf.DUMMYFUNCTION("""COMPUTED_VALUE"""),"https:")</f>
        <v>https:</v>
      </c>
      <c r="K1059" s="78" t="str">
        <f>IFERROR(__xludf.DUMMYFUNCTION("""COMPUTED_VALUE"""),"www.munzee.com")</f>
        <v>www.munzee.com</v>
      </c>
      <c r="L1059" s="47" t="str">
        <f>IFERROR(__xludf.DUMMYFUNCTION("""COMPUTED_VALUE"""),"m")</f>
        <v>m</v>
      </c>
      <c r="M1059" s="47" t="str">
        <f>IFERROR(__xludf.DUMMYFUNCTION("""COMPUTED_VALUE"""),"OdinsFiRe")</f>
        <v>OdinsFiRe</v>
      </c>
    </row>
    <row r="1060">
      <c r="A1060" s="47" t="str">
        <f>IFERROR(__xludf.DUMMYFUNCTION("""COMPUTED_VALUE"""),"Virtual Raw Sienna")</f>
        <v>Virtual Raw Sienna</v>
      </c>
      <c r="B1060" s="47" t="str">
        <f>IFERROR(__xludf.DUMMYFUNCTION("""COMPUTED_VALUE"""),"lison55")</f>
        <v>lison55</v>
      </c>
      <c r="C1060" s="78" t="str">
        <f>IFERROR(__xludf.DUMMYFUNCTION("""COMPUTED_VALUE"""),"https://www.munzee.com/m/lison55/12386/")</f>
        <v>https://www.munzee.com/m/lison55/12386/</v>
      </c>
      <c r="D1060" s="47"/>
      <c r="E1060" s="47" t="b">
        <f>IFERROR(__xludf.DUMMYFUNCTION("""COMPUTED_VALUE"""),TRUE)</f>
        <v>1</v>
      </c>
      <c r="F1060" s="47" t="str">
        <f>IFERROR(__xludf.DUMMYFUNCTION("""COMPUTED_VALUE"""),"")</f>
        <v/>
      </c>
      <c r="G1060" s="47" t="str">
        <f>IFERROR(__xludf.DUMMYFUNCTION("""COMPUTED_VALUE"""),"")</f>
        <v/>
      </c>
      <c r="H1060" s="47"/>
      <c r="I1060" s="47">
        <f>IFERROR(__xludf.DUMMYFUNCTION("""COMPUTED_VALUE"""),2.0)</f>
        <v>2</v>
      </c>
      <c r="J1060" s="47" t="str">
        <f>IFERROR(__xludf.DUMMYFUNCTION("""COMPUTED_VALUE"""),"https:")</f>
        <v>https:</v>
      </c>
      <c r="K1060" s="78" t="str">
        <f>IFERROR(__xludf.DUMMYFUNCTION("""COMPUTED_VALUE"""),"www.munzee.com")</f>
        <v>www.munzee.com</v>
      </c>
      <c r="L1060" s="47" t="str">
        <f>IFERROR(__xludf.DUMMYFUNCTION("""COMPUTED_VALUE"""),"m")</f>
        <v>m</v>
      </c>
      <c r="M1060" s="47" t="str">
        <f>IFERROR(__xludf.DUMMYFUNCTION("""COMPUTED_VALUE"""),"lison55")</f>
        <v>lison55</v>
      </c>
    </row>
    <row r="1061">
      <c r="A1061" s="47" t="str">
        <f>IFERROR(__xludf.DUMMYFUNCTION("""COMPUTED_VALUE"""),"Virtual Brown")</f>
        <v>Virtual Brown</v>
      </c>
      <c r="B1061" s="47" t="str">
        <f>IFERROR(__xludf.DUMMYFUNCTION("""COMPUTED_VALUE"""),"crscousins")</f>
        <v>crscousins</v>
      </c>
      <c r="C1061" s="78" t="str">
        <f>IFERROR(__xludf.DUMMYFUNCTION("""COMPUTED_VALUE"""),"https://www.munzee.com/m/crscousins/4098/")</f>
        <v>https://www.munzee.com/m/crscousins/4098/</v>
      </c>
      <c r="D1061" s="47"/>
      <c r="E1061" s="47" t="b">
        <f>IFERROR(__xludf.DUMMYFUNCTION("""COMPUTED_VALUE"""),TRUE)</f>
        <v>1</v>
      </c>
      <c r="F1061" s="47" t="str">
        <f>IFERROR(__xludf.DUMMYFUNCTION("""COMPUTED_VALUE"""),"")</f>
        <v/>
      </c>
      <c r="G1061" s="47" t="str">
        <f>IFERROR(__xludf.DUMMYFUNCTION("""COMPUTED_VALUE"""),"")</f>
        <v/>
      </c>
      <c r="H1061" s="47"/>
      <c r="I1061" s="47">
        <f>IFERROR(__xludf.DUMMYFUNCTION("""COMPUTED_VALUE"""),2.0)</f>
        <v>2</v>
      </c>
      <c r="J1061" s="47" t="str">
        <f>IFERROR(__xludf.DUMMYFUNCTION("""COMPUTED_VALUE"""),"https:")</f>
        <v>https:</v>
      </c>
      <c r="K1061" s="78" t="str">
        <f>IFERROR(__xludf.DUMMYFUNCTION("""COMPUTED_VALUE"""),"www.munzee.com")</f>
        <v>www.munzee.com</v>
      </c>
      <c r="L1061" s="47" t="str">
        <f>IFERROR(__xludf.DUMMYFUNCTION("""COMPUTED_VALUE"""),"m")</f>
        <v>m</v>
      </c>
      <c r="M1061" s="47" t="str">
        <f>IFERROR(__xludf.DUMMYFUNCTION("""COMPUTED_VALUE"""),"crscousins")</f>
        <v>crscousins</v>
      </c>
    </row>
    <row r="1062">
      <c r="A1062" s="47" t="str">
        <f>IFERROR(__xludf.DUMMYFUNCTION("""COMPUTED_VALUE"""),"Virtual Brown")</f>
        <v>Virtual Brown</v>
      </c>
      <c r="B1062" s="47" t="str">
        <f>IFERROR(__xludf.DUMMYFUNCTION("""COMPUTED_VALUE"""),"Anetzet ")</f>
        <v>Anetzet </v>
      </c>
      <c r="C1062" s="78" t="str">
        <f>IFERROR(__xludf.DUMMYFUNCTION("""COMPUTED_VALUE"""),"https://www.munzee.com/m/Anetzet/4623/")</f>
        <v>https://www.munzee.com/m/Anetzet/4623/</v>
      </c>
      <c r="D1062" s="47"/>
      <c r="E1062" s="47" t="b">
        <f>IFERROR(__xludf.DUMMYFUNCTION("""COMPUTED_VALUE"""),TRUE)</f>
        <v>1</v>
      </c>
      <c r="F1062" s="47" t="str">
        <f>IFERROR(__xludf.DUMMYFUNCTION("""COMPUTED_VALUE"""),"")</f>
        <v/>
      </c>
      <c r="G1062" s="47" t="str">
        <f>IFERROR(__xludf.DUMMYFUNCTION("""COMPUTED_VALUE"""),"")</f>
        <v/>
      </c>
      <c r="H1062" s="47"/>
      <c r="I1062" s="47">
        <f>IFERROR(__xludf.DUMMYFUNCTION("""COMPUTED_VALUE"""),2.0)</f>
        <v>2</v>
      </c>
      <c r="J1062" s="47" t="str">
        <f>IFERROR(__xludf.DUMMYFUNCTION("""COMPUTED_VALUE"""),"https:")</f>
        <v>https:</v>
      </c>
      <c r="K1062" s="78" t="str">
        <f>IFERROR(__xludf.DUMMYFUNCTION("""COMPUTED_VALUE"""),"www.munzee.com")</f>
        <v>www.munzee.com</v>
      </c>
      <c r="L1062" s="47" t="str">
        <f>IFERROR(__xludf.DUMMYFUNCTION("""COMPUTED_VALUE"""),"m")</f>
        <v>m</v>
      </c>
      <c r="M1062" s="47" t="str">
        <f>IFERROR(__xludf.DUMMYFUNCTION("""COMPUTED_VALUE"""),"Anetzet")</f>
        <v>Anetzet</v>
      </c>
    </row>
    <row r="1063">
      <c r="A1063" s="47" t="str">
        <f>IFERROR(__xludf.DUMMYFUNCTION("""COMPUTED_VALUE"""),"Virtual Brown")</f>
        <v>Virtual Brown</v>
      </c>
      <c r="B1063" s="47" t="str">
        <f>IFERROR(__xludf.DUMMYFUNCTION("""COMPUTED_VALUE"""),"Bungle")</f>
        <v>Bungle</v>
      </c>
      <c r="C1063" s="78" t="str">
        <f>IFERROR(__xludf.DUMMYFUNCTION("""COMPUTED_VALUE"""),"https://www.munzee.com/m/Bungle/10659")</f>
        <v>https://www.munzee.com/m/Bungle/10659</v>
      </c>
      <c r="D1063" s="47"/>
      <c r="E1063" s="47" t="b">
        <f>IFERROR(__xludf.DUMMYFUNCTION("""COMPUTED_VALUE"""),TRUE)</f>
        <v>1</v>
      </c>
      <c r="F1063" s="47"/>
      <c r="G1063" s="47" t="str">
        <f>IFERROR(__xludf.DUMMYFUNCTION("""COMPUTED_VALUE"""),"")</f>
        <v/>
      </c>
      <c r="H1063" s="47"/>
      <c r="I1063" s="47">
        <f>IFERROR(__xludf.DUMMYFUNCTION("""COMPUTED_VALUE"""),2.0)</f>
        <v>2</v>
      </c>
      <c r="J1063" s="47" t="str">
        <f>IFERROR(__xludf.DUMMYFUNCTION("""COMPUTED_VALUE"""),"https:")</f>
        <v>https:</v>
      </c>
      <c r="K1063" s="78" t="str">
        <f>IFERROR(__xludf.DUMMYFUNCTION("""COMPUTED_VALUE"""),"www.munzee.com")</f>
        <v>www.munzee.com</v>
      </c>
      <c r="L1063" s="47" t="str">
        <f>IFERROR(__xludf.DUMMYFUNCTION("""COMPUTED_VALUE"""),"m")</f>
        <v>m</v>
      </c>
      <c r="M1063" s="47" t="str">
        <f>IFERROR(__xludf.DUMMYFUNCTION("""COMPUTED_VALUE"""),"Bungle")</f>
        <v>Bungle</v>
      </c>
    </row>
    <row r="1064">
      <c r="A1064" s="47" t="str">
        <f>IFERROR(__xludf.DUMMYFUNCTION("""COMPUTED_VALUE"""),"Virtual Raw Sienna")</f>
        <v>Virtual Raw Sienna</v>
      </c>
      <c r="B1064" s="47"/>
      <c r="C1064" s="47"/>
      <c r="D1064" s="47"/>
      <c r="E1064" s="47" t="b">
        <f>IFERROR(__xludf.DUMMYFUNCTION("""COMPUTED_VALUE"""),FALSE)</f>
        <v>0</v>
      </c>
      <c r="F1064" s="47"/>
      <c r="G1064" s="47" t="str">
        <f>IFERROR(__xludf.DUMMYFUNCTION("""COMPUTED_VALUE"""),"")</f>
        <v/>
      </c>
      <c r="H1064" s="47"/>
      <c r="I1064" s="47">
        <f>IFERROR(__xludf.DUMMYFUNCTION("""COMPUTED_VALUE"""),0.0)</f>
        <v>0</v>
      </c>
      <c r="J1064" s="47" t="str">
        <f>IFERROR(__xludf.DUMMYFUNCTION("""COMPUTED_VALUE"""),"#VALUE!")</f>
        <v>#VALUE!</v>
      </c>
      <c r="K1064" s="47"/>
      <c r="L1064" s="47"/>
      <c r="M1064" s="47"/>
    </row>
    <row r="1065">
      <c r="A1065" s="47" t="str">
        <f>IFERROR(__xludf.DUMMYFUNCTION("""COMPUTED_VALUE"""),"Virtual Brown")</f>
        <v>Virtual Brown</v>
      </c>
      <c r="B1065" s="47" t="str">
        <f>IFERROR(__xludf.DUMMYFUNCTION("""COMPUTED_VALUE"""),"rita85gto")</f>
        <v>rita85gto</v>
      </c>
      <c r="C1065" s="78" t="str">
        <f>IFERROR(__xludf.DUMMYFUNCTION("""COMPUTED_VALUE"""),"https://www.munzee.com/m/rita85gto/5119/")</f>
        <v>https://www.munzee.com/m/rita85gto/5119/</v>
      </c>
      <c r="D1065" s="47" t="str">
        <f>IFERROR(__xludf.DUMMYFUNCTION("""COMPUTED_VALUE"""),"dep. Aug. '22")</f>
        <v>dep. Aug. '22</v>
      </c>
      <c r="E1065" s="47" t="b">
        <f>IFERROR(__xludf.DUMMYFUNCTION("""COMPUTED_VALUE"""),TRUE)</f>
        <v>1</v>
      </c>
      <c r="F1065" s="47" t="str">
        <f>IFERROR(__xludf.DUMMYFUNCTION("""COMPUTED_VALUE"""),"")</f>
        <v/>
      </c>
      <c r="G1065" s="47" t="str">
        <f>IFERROR(__xludf.DUMMYFUNCTION("""COMPUTED_VALUE"""),"")</f>
        <v/>
      </c>
      <c r="H1065" s="47"/>
      <c r="I1065" s="47">
        <f>IFERROR(__xludf.DUMMYFUNCTION("""COMPUTED_VALUE"""),2.0)</f>
        <v>2</v>
      </c>
      <c r="J1065" s="47" t="str">
        <f>IFERROR(__xludf.DUMMYFUNCTION("""COMPUTED_VALUE"""),"https:")</f>
        <v>https:</v>
      </c>
      <c r="K1065" s="78" t="str">
        <f>IFERROR(__xludf.DUMMYFUNCTION("""COMPUTED_VALUE"""),"www.munzee.com")</f>
        <v>www.munzee.com</v>
      </c>
      <c r="L1065" s="47" t="str">
        <f>IFERROR(__xludf.DUMMYFUNCTION("""COMPUTED_VALUE"""),"m")</f>
        <v>m</v>
      </c>
      <c r="M1065" s="47" t="str">
        <f>IFERROR(__xludf.DUMMYFUNCTION("""COMPUTED_VALUE"""),"rita85gto")</f>
        <v>rita85gto</v>
      </c>
    </row>
    <row r="1066">
      <c r="A1066" s="47" t="str">
        <f>IFERROR(__xludf.DUMMYFUNCTION("""COMPUTED_VALUE"""),"Virtual Brown")</f>
        <v>Virtual Brown</v>
      </c>
      <c r="B1066" s="47"/>
      <c r="C1066" s="47"/>
      <c r="D1066" s="47"/>
      <c r="E1066" s="47" t="b">
        <f>IFERROR(__xludf.DUMMYFUNCTION("""COMPUTED_VALUE"""),FALSE)</f>
        <v>0</v>
      </c>
      <c r="F1066" s="47"/>
      <c r="G1066" s="47" t="str">
        <f>IFERROR(__xludf.DUMMYFUNCTION("""COMPUTED_VALUE"""),"")</f>
        <v/>
      </c>
      <c r="H1066" s="47"/>
      <c r="I1066" s="47">
        <f>IFERROR(__xludf.DUMMYFUNCTION("""COMPUTED_VALUE"""),0.0)</f>
        <v>0</v>
      </c>
      <c r="J1066" s="47" t="str">
        <f>IFERROR(__xludf.DUMMYFUNCTION("""COMPUTED_VALUE"""),"#VALUE!")</f>
        <v>#VALUE!</v>
      </c>
      <c r="K1066" s="47"/>
      <c r="L1066" s="47"/>
      <c r="M1066" s="47"/>
    </row>
    <row r="1067">
      <c r="A1067" s="47" t="str">
        <f>IFERROR(__xludf.DUMMYFUNCTION("""COMPUTED_VALUE"""),"Virtual Raw Sienna")</f>
        <v>Virtual Raw Sienna</v>
      </c>
      <c r="B1067" s="47"/>
      <c r="C1067" s="47"/>
      <c r="D1067" s="47"/>
      <c r="E1067" s="47" t="b">
        <f>IFERROR(__xludf.DUMMYFUNCTION("""COMPUTED_VALUE"""),FALSE)</f>
        <v>0</v>
      </c>
      <c r="F1067" s="47"/>
      <c r="G1067" s="47" t="str">
        <f>IFERROR(__xludf.DUMMYFUNCTION("""COMPUTED_VALUE"""),"")</f>
        <v/>
      </c>
      <c r="H1067" s="47"/>
      <c r="I1067" s="47">
        <f>IFERROR(__xludf.DUMMYFUNCTION("""COMPUTED_VALUE"""),0.0)</f>
        <v>0</v>
      </c>
      <c r="J1067" s="47" t="str">
        <f>IFERROR(__xludf.DUMMYFUNCTION("""COMPUTED_VALUE"""),"#VALUE!")</f>
        <v>#VALUE!</v>
      </c>
      <c r="K1067" s="47"/>
      <c r="L1067" s="47"/>
      <c r="M1067" s="47"/>
    </row>
    <row r="1068">
      <c r="A1068" s="47" t="str">
        <f>IFERROR(__xludf.DUMMYFUNCTION("""COMPUTED_VALUE"""),"Virtual Brown")</f>
        <v>Virtual Brown</v>
      </c>
      <c r="B1068" s="47" t="str">
        <f>IFERROR(__xludf.DUMMYFUNCTION("""COMPUTED_VALUE"""),"cbf600")</f>
        <v>cbf600</v>
      </c>
      <c r="C1068" s="78" t="str">
        <f>IFERROR(__xludf.DUMMYFUNCTION("""COMPUTED_VALUE"""),"https://www.munzee.com/m/cbf600/3783/")</f>
        <v>https://www.munzee.com/m/cbf600/3783/</v>
      </c>
      <c r="D1068" s="47"/>
      <c r="E1068" s="47" t="b">
        <f>IFERROR(__xludf.DUMMYFUNCTION("""COMPUTED_VALUE"""),TRUE)</f>
        <v>1</v>
      </c>
      <c r="F1068" s="47" t="str">
        <f>IFERROR(__xludf.DUMMYFUNCTION("""COMPUTED_VALUE"""),"")</f>
        <v/>
      </c>
      <c r="G1068" s="47" t="str">
        <f>IFERROR(__xludf.DUMMYFUNCTION("""COMPUTED_VALUE"""),"")</f>
        <v/>
      </c>
      <c r="H1068" s="47"/>
      <c r="I1068" s="47">
        <f>IFERROR(__xludf.DUMMYFUNCTION("""COMPUTED_VALUE"""),2.0)</f>
        <v>2</v>
      </c>
      <c r="J1068" s="47" t="str">
        <f>IFERROR(__xludf.DUMMYFUNCTION("""COMPUTED_VALUE"""),"https:")</f>
        <v>https:</v>
      </c>
      <c r="K1068" s="78" t="str">
        <f>IFERROR(__xludf.DUMMYFUNCTION("""COMPUTED_VALUE"""),"www.munzee.com")</f>
        <v>www.munzee.com</v>
      </c>
      <c r="L1068" s="47" t="str">
        <f>IFERROR(__xludf.DUMMYFUNCTION("""COMPUTED_VALUE"""),"m")</f>
        <v>m</v>
      </c>
      <c r="M1068" s="47" t="str">
        <f>IFERROR(__xludf.DUMMYFUNCTION("""COMPUTED_VALUE"""),"cbf600")</f>
        <v>cbf600</v>
      </c>
    </row>
    <row r="1069">
      <c r="A1069" s="47" t="str">
        <f>IFERROR(__xludf.DUMMYFUNCTION("""COMPUTED_VALUE"""),"Virtual Raw Sienna")</f>
        <v>Virtual Raw Sienna</v>
      </c>
      <c r="B1069" s="47"/>
      <c r="C1069" s="47"/>
      <c r="D1069" s="47"/>
      <c r="E1069" s="47" t="b">
        <f>IFERROR(__xludf.DUMMYFUNCTION("""COMPUTED_VALUE"""),FALSE)</f>
        <v>0</v>
      </c>
      <c r="F1069" s="47"/>
      <c r="G1069" s="47" t="str">
        <f>IFERROR(__xludf.DUMMYFUNCTION("""COMPUTED_VALUE"""),"")</f>
        <v/>
      </c>
      <c r="H1069" s="47"/>
      <c r="I1069" s="47">
        <f>IFERROR(__xludf.DUMMYFUNCTION("""COMPUTED_VALUE"""),0.0)</f>
        <v>0</v>
      </c>
      <c r="J1069" s="47" t="str">
        <f>IFERROR(__xludf.DUMMYFUNCTION("""COMPUTED_VALUE"""),"#VALUE!")</f>
        <v>#VALUE!</v>
      </c>
      <c r="K1069" s="47"/>
      <c r="L1069" s="47"/>
      <c r="M1069" s="47"/>
    </row>
    <row r="1070">
      <c r="A1070" s="47" t="str">
        <f>IFERROR(__xludf.DUMMYFUNCTION("""COMPUTED_VALUE"""),"Virtual Brown")</f>
        <v>Virtual Brown</v>
      </c>
      <c r="B1070" s="47"/>
      <c r="C1070" s="47"/>
      <c r="D1070" s="47"/>
      <c r="E1070" s="47" t="b">
        <f>IFERROR(__xludf.DUMMYFUNCTION("""COMPUTED_VALUE"""),FALSE)</f>
        <v>0</v>
      </c>
      <c r="F1070" s="47"/>
      <c r="G1070" s="47" t="str">
        <f>IFERROR(__xludf.DUMMYFUNCTION("""COMPUTED_VALUE"""),"")</f>
        <v/>
      </c>
      <c r="H1070" s="47"/>
      <c r="I1070" s="47">
        <f>IFERROR(__xludf.DUMMYFUNCTION("""COMPUTED_VALUE"""),0.0)</f>
        <v>0</v>
      </c>
      <c r="J1070" s="47" t="str">
        <f>IFERROR(__xludf.DUMMYFUNCTION("""COMPUTED_VALUE"""),"#VALUE!")</f>
        <v>#VALUE!</v>
      </c>
      <c r="K1070" s="47"/>
      <c r="L1070" s="47"/>
      <c r="M1070" s="47"/>
    </row>
    <row r="1071">
      <c r="A1071" s="47" t="str">
        <f>IFERROR(__xludf.DUMMYFUNCTION("""COMPUTED_VALUE"""),"Virtual Brown")</f>
        <v>Virtual Brown</v>
      </c>
      <c r="B1071" s="47"/>
      <c r="C1071" s="47"/>
      <c r="D1071" s="47"/>
      <c r="E1071" s="47" t="b">
        <f>IFERROR(__xludf.DUMMYFUNCTION("""COMPUTED_VALUE"""),FALSE)</f>
        <v>0</v>
      </c>
      <c r="F1071" s="47"/>
      <c r="G1071" s="47" t="str">
        <f>IFERROR(__xludf.DUMMYFUNCTION("""COMPUTED_VALUE"""),"")</f>
        <v/>
      </c>
      <c r="H1071" s="47"/>
      <c r="I1071" s="47">
        <f>IFERROR(__xludf.DUMMYFUNCTION("""COMPUTED_VALUE"""),0.0)</f>
        <v>0</v>
      </c>
      <c r="J1071" s="47" t="str">
        <f>IFERROR(__xludf.DUMMYFUNCTION("""COMPUTED_VALUE"""),"#VALUE!")</f>
        <v>#VALUE!</v>
      </c>
      <c r="K1071" s="47"/>
      <c r="L1071" s="47"/>
      <c r="M1071" s="47"/>
    </row>
    <row r="1072">
      <c r="A1072" s="47" t="str">
        <f>IFERROR(__xludf.DUMMYFUNCTION("""COMPUTED_VALUE"""),"Virtual Brown")</f>
        <v>Virtual Brown</v>
      </c>
      <c r="B1072" s="47"/>
      <c r="C1072" s="47"/>
      <c r="D1072" s="47"/>
      <c r="E1072" s="47" t="b">
        <f>IFERROR(__xludf.DUMMYFUNCTION("""COMPUTED_VALUE"""),FALSE)</f>
        <v>0</v>
      </c>
      <c r="F1072" s="47"/>
      <c r="G1072" s="47" t="str">
        <f>IFERROR(__xludf.DUMMYFUNCTION("""COMPUTED_VALUE"""),"")</f>
        <v/>
      </c>
      <c r="H1072" s="47"/>
      <c r="I1072" s="47">
        <f>IFERROR(__xludf.DUMMYFUNCTION("""COMPUTED_VALUE"""),0.0)</f>
        <v>0</v>
      </c>
      <c r="J1072" s="47" t="str">
        <f>IFERROR(__xludf.DUMMYFUNCTION("""COMPUTED_VALUE"""),"#VALUE!")</f>
        <v>#VALUE!</v>
      </c>
      <c r="K1072" s="47"/>
      <c r="L1072" s="47"/>
      <c r="M1072" s="47"/>
    </row>
    <row r="1073">
      <c r="A1073" s="47" t="str">
        <f>IFERROR(__xludf.DUMMYFUNCTION("""COMPUTED_VALUE"""),"Virtual Brown")</f>
        <v>Virtual Brown</v>
      </c>
      <c r="B1073" s="47"/>
      <c r="C1073" s="47"/>
      <c r="D1073" s="47"/>
      <c r="E1073" s="47" t="b">
        <f>IFERROR(__xludf.DUMMYFUNCTION("""COMPUTED_VALUE"""),FALSE)</f>
        <v>0</v>
      </c>
      <c r="F1073" s="47"/>
      <c r="G1073" s="47" t="str">
        <f>IFERROR(__xludf.DUMMYFUNCTION("""COMPUTED_VALUE"""),"")</f>
        <v/>
      </c>
      <c r="H1073" s="47"/>
      <c r="I1073" s="47">
        <f>IFERROR(__xludf.DUMMYFUNCTION("""COMPUTED_VALUE"""),0.0)</f>
        <v>0</v>
      </c>
      <c r="J1073" s="47" t="str">
        <f>IFERROR(__xludf.DUMMYFUNCTION("""COMPUTED_VALUE"""),"#VALUE!")</f>
        <v>#VALUE!</v>
      </c>
      <c r="K1073" s="47"/>
      <c r="L1073" s="47"/>
      <c r="M1073" s="47"/>
    </row>
    <row r="1074">
      <c r="A1074" s="47" t="str">
        <f>IFERROR(__xludf.DUMMYFUNCTION("""COMPUTED_VALUE"""),"Virtual Brown")</f>
        <v>Virtual Brown</v>
      </c>
      <c r="B1074" s="47" t="str">
        <f>IFERROR(__xludf.DUMMYFUNCTION("""COMPUTED_VALUE""")," ")</f>
        <v> </v>
      </c>
      <c r="C1074" s="47"/>
      <c r="D1074" s="47"/>
      <c r="E1074" s="47" t="b">
        <f>IFERROR(__xludf.DUMMYFUNCTION("""COMPUTED_VALUE"""),FALSE)</f>
        <v>0</v>
      </c>
      <c r="F1074" s="47"/>
      <c r="G1074" s="47" t="str">
        <f>IFERROR(__xludf.DUMMYFUNCTION("""COMPUTED_VALUE"""),"")</f>
        <v/>
      </c>
      <c r="H1074" s="47"/>
      <c r="I1074" s="47">
        <f>IFERROR(__xludf.DUMMYFUNCTION("""COMPUTED_VALUE"""),0.0)</f>
        <v>0</v>
      </c>
      <c r="J1074" s="47" t="str">
        <f>IFERROR(__xludf.DUMMYFUNCTION("""COMPUTED_VALUE"""),"#VALUE!")</f>
        <v>#VALUE!</v>
      </c>
      <c r="K1074" s="47"/>
      <c r="L1074" s="47"/>
      <c r="M1074" s="47"/>
    </row>
    <row r="1075">
      <c r="A1075" s="47" t="str">
        <f>IFERROR(__xludf.DUMMYFUNCTION("""COMPUTED_VALUE"""),"Virtual Brown")</f>
        <v>Virtual Brown</v>
      </c>
      <c r="B1075" s="47" t="str">
        <f>IFERROR(__xludf.DUMMYFUNCTION("""COMPUTED_VALUE"""),"Bisquick2")</f>
        <v>Bisquick2</v>
      </c>
      <c r="C1075" s="78" t="str">
        <f>IFERROR(__xludf.DUMMYFUNCTION("""COMPUTED_VALUE"""),"https://www.munzee.com/m/Bisquick2/7181/")</f>
        <v>https://www.munzee.com/m/Bisquick2/7181/</v>
      </c>
      <c r="D1075" s="47"/>
      <c r="E1075" s="47" t="b">
        <f>IFERROR(__xludf.DUMMYFUNCTION("""COMPUTED_VALUE"""),TRUE)</f>
        <v>1</v>
      </c>
      <c r="F1075" s="47" t="str">
        <f>IFERROR(__xludf.DUMMYFUNCTION("""COMPUTED_VALUE"""),"")</f>
        <v/>
      </c>
      <c r="G1075" s="47" t="str">
        <f>IFERROR(__xludf.DUMMYFUNCTION("""COMPUTED_VALUE"""),"")</f>
        <v/>
      </c>
      <c r="H1075" s="47"/>
      <c r="I1075" s="47">
        <f>IFERROR(__xludf.DUMMYFUNCTION("""COMPUTED_VALUE"""),2.0)</f>
        <v>2</v>
      </c>
      <c r="J1075" s="47" t="str">
        <f>IFERROR(__xludf.DUMMYFUNCTION("""COMPUTED_VALUE"""),"https:")</f>
        <v>https:</v>
      </c>
      <c r="K1075" s="78" t="str">
        <f>IFERROR(__xludf.DUMMYFUNCTION("""COMPUTED_VALUE"""),"www.munzee.com")</f>
        <v>www.munzee.com</v>
      </c>
      <c r="L1075" s="47" t="str">
        <f>IFERROR(__xludf.DUMMYFUNCTION("""COMPUTED_VALUE"""),"m")</f>
        <v>m</v>
      </c>
      <c r="M1075" s="47" t="str">
        <f>IFERROR(__xludf.DUMMYFUNCTION("""COMPUTED_VALUE"""),"Bisquick2")</f>
        <v>Bisquick2</v>
      </c>
    </row>
    <row r="1076">
      <c r="A1076" s="47" t="str">
        <f>IFERROR(__xludf.DUMMYFUNCTION("""COMPUTED_VALUE"""),"Virtual Brown")</f>
        <v>Virtual Brown</v>
      </c>
      <c r="B1076" s="47"/>
      <c r="C1076" s="47"/>
      <c r="D1076" s="47"/>
      <c r="E1076" s="47" t="b">
        <f>IFERROR(__xludf.DUMMYFUNCTION("""COMPUTED_VALUE"""),FALSE)</f>
        <v>0</v>
      </c>
      <c r="F1076" s="47"/>
      <c r="G1076" s="47" t="str">
        <f>IFERROR(__xludf.DUMMYFUNCTION("""COMPUTED_VALUE"""),"")</f>
        <v/>
      </c>
      <c r="H1076" s="47"/>
      <c r="I1076" s="47">
        <f>IFERROR(__xludf.DUMMYFUNCTION("""COMPUTED_VALUE"""),0.0)</f>
        <v>0</v>
      </c>
      <c r="J1076" s="47" t="str">
        <f>IFERROR(__xludf.DUMMYFUNCTION("""COMPUTED_VALUE"""),"#VALUE!")</f>
        <v>#VALUE!</v>
      </c>
      <c r="K1076" s="47"/>
      <c r="L1076" s="47"/>
      <c r="M1076" s="47"/>
    </row>
    <row r="1077">
      <c r="A1077" s="47" t="str">
        <f>IFERROR(__xludf.DUMMYFUNCTION("""COMPUTED_VALUE"""),"Virtual Raw Sienna")</f>
        <v>Virtual Raw Sienna</v>
      </c>
      <c r="B1077" s="47"/>
      <c r="C1077" s="47"/>
      <c r="D1077" s="47"/>
      <c r="E1077" s="47" t="b">
        <f>IFERROR(__xludf.DUMMYFUNCTION("""COMPUTED_VALUE"""),FALSE)</f>
        <v>0</v>
      </c>
      <c r="F1077" s="47"/>
      <c r="G1077" s="47" t="str">
        <f>IFERROR(__xludf.DUMMYFUNCTION("""COMPUTED_VALUE"""),"")</f>
        <v/>
      </c>
      <c r="H1077" s="47"/>
      <c r="I1077" s="47">
        <f>IFERROR(__xludf.DUMMYFUNCTION("""COMPUTED_VALUE"""),0.0)</f>
        <v>0</v>
      </c>
      <c r="J1077" s="47" t="str">
        <f>IFERROR(__xludf.DUMMYFUNCTION("""COMPUTED_VALUE"""),"#VALUE!")</f>
        <v>#VALUE!</v>
      </c>
      <c r="K1077" s="47"/>
      <c r="L1077" s="47"/>
      <c r="M1077" s="47"/>
    </row>
    <row r="1078">
      <c r="A1078" s="47" t="str">
        <f>IFERROR(__xludf.DUMMYFUNCTION("""COMPUTED_VALUE"""),"Virtual Brown")</f>
        <v>Virtual Brown</v>
      </c>
      <c r="B1078" s="47"/>
      <c r="C1078" s="47"/>
      <c r="D1078" s="47"/>
      <c r="E1078" s="47" t="b">
        <f>IFERROR(__xludf.DUMMYFUNCTION("""COMPUTED_VALUE"""),FALSE)</f>
        <v>0</v>
      </c>
      <c r="F1078" s="47"/>
      <c r="G1078" s="47" t="str">
        <f>IFERROR(__xludf.DUMMYFUNCTION("""COMPUTED_VALUE"""),"")</f>
        <v/>
      </c>
      <c r="H1078" s="47"/>
      <c r="I1078" s="47">
        <f>IFERROR(__xludf.DUMMYFUNCTION("""COMPUTED_VALUE"""),0.0)</f>
        <v>0</v>
      </c>
      <c r="J1078" s="47" t="str">
        <f>IFERROR(__xludf.DUMMYFUNCTION("""COMPUTED_VALUE"""),"#VALUE!")</f>
        <v>#VALUE!</v>
      </c>
      <c r="K1078" s="47"/>
      <c r="L1078" s="47"/>
      <c r="M1078" s="47"/>
    </row>
    <row r="1079">
      <c r="A1079" s="47" t="str">
        <f>IFERROR(__xludf.DUMMYFUNCTION("""COMPUTED_VALUE"""),"Virtual Brown")</f>
        <v>Virtual Brown</v>
      </c>
      <c r="B1079" s="47"/>
      <c r="C1079" s="47"/>
      <c r="D1079" s="47"/>
      <c r="E1079" s="47" t="b">
        <f>IFERROR(__xludf.DUMMYFUNCTION("""COMPUTED_VALUE"""),FALSE)</f>
        <v>0</v>
      </c>
      <c r="F1079" s="47"/>
      <c r="G1079" s="47" t="str">
        <f>IFERROR(__xludf.DUMMYFUNCTION("""COMPUTED_VALUE"""),"")</f>
        <v/>
      </c>
      <c r="H1079" s="47"/>
      <c r="I1079" s="47">
        <f>IFERROR(__xludf.DUMMYFUNCTION("""COMPUTED_VALUE"""),0.0)</f>
        <v>0</v>
      </c>
      <c r="J1079" s="47" t="str">
        <f>IFERROR(__xludf.DUMMYFUNCTION("""COMPUTED_VALUE"""),"#VALUE!")</f>
        <v>#VALUE!</v>
      </c>
      <c r="K1079" s="47"/>
      <c r="L1079" s="47"/>
      <c r="M1079" s="47"/>
    </row>
    <row r="1080">
      <c r="A1080" s="47" t="str">
        <f>IFERROR(__xludf.DUMMYFUNCTION("""COMPUTED_VALUE"""),"Virtual Raw Sienna")</f>
        <v>Virtual Raw Sienna</v>
      </c>
      <c r="B1080" s="47"/>
      <c r="C1080" s="47"/>
      <c r="D1080" s="47"/>
      <c r="E1080" s="47" t="b">
        <f>IFERROR(__xludf.DUMMYFUNCTION("""COMPUTED_VALUE"""),FALSE)</f>
        <v>0</v>
      </c>
      <c r="F1080" s="47"/>
      <c r="G1080" s="47" t="str">
        <f>IFERROR(__xludf.DUMMYFUNCTION("""COMPUTED_VALUE"""),"")</f>
        <v/>
      </c>
      <c r="H1080" s="47"/>
      <c r="I1080" s="47">
        <f>IFERROR(__xludf.DUMMYFUNCTION("""COMPUTED_VALUE"""),0.0)</f>
        <v>0</v>
      </c>
      <c r="J1080" s="47" t="str">
        <f>IFERROR(__xludf.DUMMYFUNCTION("""COMPUTED_VALUE"""),"#VALUE!")</f>
        <v>#VALUE!</v>
      </c>
      <c r="K1080" s="47"/>
      <c r="L1080" s="47"/>
      <c r="M1080" s="47"/>
    </row>
    <row r="1081">
      <c r="A1081" s="47" t="str">
        <f>IFERROR(__xludf.DUMMYFUNCTION("""COMPUTED_VALUE"""),"Virtual Brown")</f>
        <v>Virtual Brown</v>
      </c>
      <c r="B1081" s="47" t="str">
        <f>IFERROR(__xludf.DUMMYFUNCTION("""COMPUTED_VALUE"""),"TheFrog")</f>
        <v>TheFrog</v>
      </c>
      <c r="C1081" s="78" t="str">
        <f>IFERROR(__xludf.DUMMYFUNCTION("""COMPUTED_VALUE"""),"https://www.munzee.com/m/TheFrog/5819/")</f>
        <v>https://www.munzee.com/m/TheFrog/5819/</v>
      </c>
      <c r="D1081" s="47"/>
      <c r="E1081" s="47" t="b">
        <f>IFERROR(__xludf.DUMMYFUNCTION("""COMPUTED_VALUE"""),TRUE)</f>
        <v>1</v>
      </c>
      <c r="F1081" s="47" t="str">
        <f>IFERROR(__xludf.DUMMYFUNCTION("""COMPUTED_VALUE"""),"")</f>
        <v/>
      </c>
      <c r="G1081" s="47" t="str">
        <f>IFERROR(__xludf.DUMMYFUNCTION("""COMPUTED_VALUE"""),"")</f>
        <v/>
      </c>
      <c r="H1081" s="47"/>
      <c r="I1081" s="47">
        <f>IFERROR(__xludf.DUMMYFUNCTION("""COMPUTED_VALUE"""),2.0)</f>
        <v>2</v>
      </c>
      <c r="J1081" s="47" t="str">
        <f>IFERROR(__xludf.DUMMYFUNCTION("""COMPUTED_VALUE"""),"https:")</f>
        <v>https:</v>
      </c>
      <c r="K1081" s="78" t="str">
        <f>IFERROR(__xludf.DUMMYFUNCTION("""COMPUTED_VALUE"""),"www.munzee.com")</f>
        <v>www.munzee.com</v>
      </c>
      <c r="L1081" s="47" t="str">
        <f>IFERROR(__xludf.DUMMYFUNCTION("""COMPUTED_VALUE"""),"m")</f>
        <v>m</v>
      </c>
      <c r="M1081" s="47" t="str">
        <f>IFERROR(__xludf.DUMMYFUNCTION("""COMPUTED_VALUE"""),"TheFrog")</f>
        <v>TheFrog</v>
      </c>
    </row>
    <row r="1082">
      <c r="A1082" s="47" t="str">
        <f>IFERROR(__xludf.DUMMYFUNCTION("""COMPUTED_VALUE"""),"Virtual Brown")</f>
        <v>Virtual Brown</v>
      </c>
      <c r="B1082" s="47" t="str">
        <f>IFERROR(__xludf.DUMMYFUNCTION("""COMPUTED_VALUE"""),"123xilef")</f>
        <v>123xilef</v>
      </c>
      <c r="C1082" s="78" t="str">
        <f>IFERROR(__xludf.DUMMYFUNCTION("""COMPUTED_VALUE"""),"https://www.munzee.com/m/123xilef/13722/")</f>
        <v>https://www.munzee.com/m/123xilef/13722/</v>
      </c>
      <c r="D1082" s="47"/>
      <c r="E1082" s="47" t="b">
        <f>IFERROR(__xludf.DUMMYFUNCTION("""COMPUTED_VALUE"""),TRUE)</f>
        <v>1</v>
      </c>
      <c r="F1082" s="47" t="str">
        <f>IFERROR(__xludf.DUMMYFUNCTION("""COMPUTED_VALUE"""),"")</f>
        <v/>
      </c>
      <c r="G1082" s="47" t="str">
        <f>IFERROR(__xludf.DUMMYFUNCTION("""COMPUTED_VALUE"""),"")</f>
        <v/>
      </c>
      <c r="H1082" s="47"/>
      <c r="I1082" s="47">
        <f>IFERROR(__xludf.DUMMYFUNCTION("""COMPUTED_VALUE"""),2.0)</f>
        <v>2</v>
      </c>
      <c r="J1082" s="47" t="str">
        <f>IFERROR(__xludf.DUMMYFUNCTION("""COMPUTED_VALUE"""),"https:")</f>
        <v>https:</v>
      </c>
      <c r="K1082" s="78" t="str">
        <f>IFERROR(__xludf.DUMMYFUNCTION("""COMPUTED_VALUE"""),"www.munzee.com")</f>
        <v>www.munzee.com</v>
      </c>
      <c r="L1082" s="47" t="str">
        <f>IFERROR(__xludf.DUMMYFUNCTION("""COMPUTED_VALUE"""),"m")</f>
        <v>m</v>
      </c>
      <c r="M1082" s="47" t="str">
        <f>IFERROR(__xludf.DUMMYFUNCTION("""COMPUTED_VALUE"""),"123xilef")</f>
        <v>123xilef</v>
      </c>
    </row>
    <row r="1083">
      <c r="A1083" s="47" t="str">
        <f>IFERROR(__xludf.DUMMYFUNCTION("""COMPUTED_VALUE"""),"Virtual Raw Sienna")</f>
        <v>Virtual Raw Sienna</v>
      </c>
      <c r="B1083" s="47"/>
      <c r="C1083" s="47"/>
      <c r="D1083" s="47"/>
      <c r="E1083" s="47" t="b">
        <f>IFERROR(__xludf.DUMMYFUNCTION("""COMPUTED_VALUE"""),FALSE)</f>
        <v>0</v>
      </c>
      <c r="F1083" s="47"/>
      <c r="G1083" s="47" t="str">
        <f>IFERROR(__xludf.DUMMYFUNCTION("""COMPUTED_VALUE"""),"")</f>
        <v/>
      </c>
      <c r="H1083" s="47"/>
      <c r="I1083" s="47">
        <f>IFERROR(__xludf.DUMMYFUNCTION("""COMPUTED_VALUE"""),0.0)</f>
        <v>0</v>
      </c>
      <c r="J1083" s="47" t="str">
        <f>IFERROR(__xludf.DUMMYFUNCTION("""COMPUTED_VALUE"""),"#VALUE!")</f>
        <v>#VALUE!</v>
      </c>
      <c r="K1083" s="47"/>
      <c r="L1083" s="47"/>
      <c r="M1083" s="47"/>
    </row>
    <row r="1084">
      <c r="A1084" s="47" t="str">
        <f>IFERROR(__xludf.DUMMYFUNCTION("""COMPUTED_VALUE"""),"Virtual Brown")</f>
        <v>Virtual Brown</v>
      </c>
      <c r="B1084" s="47"/>
      <c r="C1084" s="47"/>
      <c r="D1084" s="47"/>
      <c r="E1084" s="47" t="b">
        <f>IFERROR(__xludf.DUMMYFUNCTION("""COMPUTED_VALUE"""),FALSE)</f>
        <v>0</v>
      </c>
      <c r="F1084" s="47"/>
      <c r="G1084" s="47" t="str">
        <f>IFERROR(__xludf.DUMMYFUNCTION("""COMPUTED_VALUE"""),"")</f>
        <v/>
      </c>
      <c r="H1084" s="47"/>
      <c r="I1084" s="47">
        <f>IFERROR(__xludf.DUMMYFUNCTION("""COMPUTED_VALUE"""),0.0)</f>
        <v>0</v>
      </c>
      <c r="J1084" s="47" t="str">
        <f>IFERROR(__xludf.DUMMYFUNCTION("""COMPUTED_VALUE"""),"#VALUE!")</f>
        <v>#VALUE!</v>
      </c>
      <c r="K1084" s="47"/>
      <c r="L1084" s="47"/>
      <c r="M1084" s="47"/>
    </row>
    <row r="1085">
      <c r="A1085" s="47" t="str">
        <f>IFERROR(__xludf.DUMMYFUNCTION("""COMPUTED_VALUE"""),"Virtual Brown")</f>
        <v>Virtual Brown</v>
      </c>
      <c r="B1085" s="47"/>
      <c r="C1085" s="47"/>
      <c r="D1085" s="47"/>
      <c r="E1085" s="47" t="b">
        <f>IFERROR(__xludf.DUMMYFUNCTION("""COMPUTED_VALUE"""),FALSE)</f>
        <v>0</v>
      </c>
      <c r="F1085" s="47"/>
      <c r="G1085" s="47" t="str">
        <f>IFERROR(__xludf.DUMMYFUNCTION("""COMPUTED_VALUE"""),"")</f>
        <v/>
      </c>
      <c r="H1085" s="47"/>
      <c r="I1085" s="47">
        <f>IFERROR(__xludf.DUMMYFUNCTION("""COMPUTED_VALUE"""),0.0)</f>
        <v>0</v>
      </c>
      <c r="J1085" s="47" t="str">
        <f>IFERROR(__xludf.DUMMYFUNCTION("""COMPUTED_VALUE"""),"#VALUE!")</f>
        <v>#VALUE!</v>
      </c>
      <c r="K1085" s="47"/>
      <c r="L1085" s="47"/>
      <c r="M1085" s="47"/>
    </row>
    <row r="1086">
      <c r="A1086" s="47" t="str">
        <f>IFERROR(__xludf.DUMMYFUNCTION("""COMPUTED_VALUE"""),"Virtual Brown")</f>
        <v>Virtual Brown</v>
      </c>
      <c r="B1086" s="47"/>
      <c r="C1086" s="47"/>
      <c r="D1086" s="47"/>
      <c r="E1086" s="47" t="b">
        <f>IFERROR(__xludf.DUMMYFUNCTION("""COMPUTED_VALUE"""),FALSE)</f>
        <v>0</v>
      </c>
      <c r="F1086" s="47"/>
      <c r="G1086" s="47" t="str">
        <f>IFERROR(__xludf.DUMMYFUNCTION("""COMPUTED_VALUE"""),"")</f>
        <v/>
      </c>
      <c r="H1086" s="47"/>
      <c r="I1086" s="47">
        <f>IFERROR(__xludf.DUMMYFUNCTION("""COMPUTED_VALUE"""),0.0)</f>
        <v>0</v>
      </c>
      <c r="J1086" s="47" t="str">
        <f>IFERROR(__xludf.DUMMYFUNCTION("""COMPUTED_VALUE"""),"#VALUE!")</f>
        <v>#VALUE!</v>
      </c>
      <c r="K1086" s="47"/>
      <c r="L1086" s="47"/>
      <c r="M1086" s="47"/>
    </row>
    <row r="1087">
      <c r="A1087" s="47" t="str">
        <f>IFERROR(__xludf.DUMMYFUNCTION("""COMPUTED_VALUE"""),"Virtual Brown")</f>
        <v>Virtual Brown</v>
      </c>
      <c r="B1087" s="47"/>
      <c r="C1087" s="47"/>
      <c r="D1087" s="47"/>
      <c r="E1087" s="47" t="b">
        <f>IFERROR(__xludf.DUMMYFUNCTION("""COMPUTED_VALUE"""),FALSE)</f>
        <v>0</v>
      </c>
      <c r="F1087" s="47"/>
      <c r="G1087" s="47" t="str">
        <f>IFERROR(__xludf.DUMMYFUNCTION("""COMPUTED_VALUE"""),"")</f>
        <v/>
      </c>
      <c r="H1087" s="47"/>
      <c r="I1087" s="47">
        <f>IFERROR(__xludf.DUMMYFUNCTION("""COMPUTED_VALUE"""),0.0)</f>
        <v>0</v>
      </c>
      <c r="J1087" s="47" t="str">
        <f>IFERROR(__xludf.DUMMYFUNCTION("""COMPUTED_VALUE"""),"#VALUE!")</f>
        <v>#VALUE!</v>
      </c>
      <c r="K1087" s="47"/>
      <c r="L1087" s="47"/>
      <c r="M1087" s="47"/>
    </row>
    <row r="1088">
      <c r="A1088" s="47" t="str">
        <f>IFERROR(__xludf.DUMMYFUNCTION("""COMPUTED_VALUE"""),"Virtual Brown")</f>
        <v>Virtual Brown</v>
      </c>
      <c r="B1088" s="47" t="str">
        <f>IFERROR(__xludf.DUMMYFUNCTION("""COMPUTED_VALUE"""),"mortonfox")</f>
        <v>mortonfox</v>
      </c>
      <c r="C1088" s="78" t="str">
        <f>IFERROR(__xludf.DUMMYFUNCTION("""COMPUTED_VALUE"""),"https://www.munzee.com/m/mortonfox/24200/")</f>
        <v>https://www.munzee.com/m/mortonfox/24200/</v>
      </c>
      <c r="D1088" s="47"/>
      <c r="E1088" s="47" t="b">
        <f>IFERROR(__xludf.DUMMYFUNCTION("""COMPUTED_VALUE"""),TRUE)</f>
        <v>1</v>
      </c>
      <c r="F1088" s="47" t="str">
        <f>IFERROR(__xludf.DUMMYFUNCTION("""COMPUTED_VALUE"""),"")</f>
        <v/>
      </c>
      <c r="G1088" s="47" t="str">
        <f>IFERROR(__xludf.DUMMYFUNCTION("""COMPUTED_VALUE"""),"")</f>
        <v/>
      </c>
      <c r="H1088" s="47"/>
      <c r="I1088" s="47">
        <f>IFERROR(__xludf.DUMMYFUNCTION("""COMPUTED_VALUE"""),2.0)</f>
        <v>2</v>
      </c>
      <c r="J1088" s="47" t="str">
        <f>IFERROR(__xludf.DUMMYFUNCTION("""COMPUTED_VALUE"""),"https:")</f>
        <v>https:</v>
      </c>
      <c r="K1088" s="78" t="str">
        <f>IFERROR(__xludf.DUMMYFUNCTION("""COMPUTED_VALUE"""),"www.munzee.com")</f>
        <v>www.munzee.com</v>
      </c>
      <c r="L1088" s="47" t="str">
        <f>IFERROR(__xludf.DUMMYFUNCTION("""COMPUTED_VALUE"""),"m")</f>
        <v>m</v>
      </c>
      <c r="M1088" s="47" t="str">
        <f>IFERROR(__xludf.DUMMYFUNCTION("""COMPUTED_VALUE"""),"mortonfox")</f>
        <v>mortonfox</v>
      </c>
    </row>
    <row r="1089">
      <c r="A1089" s="47" t="str">
        <f>IFERROR(__xludf.DUMMYFUNCTION("""COMPUTED_VALUE"""),"Virtual Brown")</f>
        <v>Virtual Brown</v>
      </c>
      <c r="B1089" s="47"/>
      <c r="C1089" s="47"/>
      <c r="D1089" s="47"/>
      <c r="E1089" s="47" t="b">
        <f>IFERROR(__xludf.DUMMYFUNCTION("""COMPUTED_VALUE"""),FALSE)</f>
        <v>0</v>
      </c>
      <c r="F1089" s="47"/>
      <c r="G1089" s="47" t="str">
        <f>IFERROR(__xludf.DUMMYFUNCTION("""COMPUTED_VALUE"""),"")</f>
        <v/>
      </c>
      <c r="H1089" s="47"/>
      <c r="I1089" s="47">
        <f>IFERROR(__xludf.DUMMYFUNCTION("""COMPUTED_VALUE"""),0.0)</f>
        <v>0</v>
      </c>
      <c r="J1089" s="47" t="str">
        <f>IFERROR(__xludf.DUMMYFUNCTION("""COMPUTED_VALUE"""),"#VALUE!")</f>
        <v>#VALUE!</v>
      </c>
      <c r="K1089" s="47"/>
      <c r="L1089" s="47"/>
      <c r="M1089" s="47"/>
    </row>
    <row r="1090">
      <c r="A1090" s="47" t="str">
        <f>IFERROR(__xludf.DUMMYFUNCTION("""COMPUTED_VALUE"""),"Virtual Raw Sienna")</f>
        <v>Virtual Raw Sienna</v>
      </c>
      <c r="B1090" s="47"/>
      <c r="C1090" s="47"/>
      <c r="D1090" s="47"/>
      <c r="E1090" s="47" t="b">
        <f>IFERROR(__xludf.DUMMYFUNCTION("""COMPUTED_VALUE"""),FALSE)</f>
        <v>0</v>
      </c>
      <c r="F1090" s="47"/>
      <c r="G1090" s="47" t="str">
        <f>IFERROR(__xludf.DUMMYFUNCTION("""COMPUTED_VALUE"""),"")</f>
        <v/>
      </c>
      <c r="H1090" s="47"/>
      <c r="I1090" s="47">
        <f>IFERROR(__xludf.DUMMYFUNCTION("""COMPUTED_VALUE"""),0.0)</f>
        <v>0</v>
      </c>
      <c r="J1090" s="47" t="str">
        <f>IFERROR(__xludf.DUMMYFUNCTION("""COMPUTED_VALUE"""),"#VALUE!")</f>
        <v>#VALUE!</v>
      </c>
      <c r="K1090" s="47"/>
      <c r="L1090" s="47"/>
      <c r="M1090" s="47"/>
    </row>
    <row r="1091">
      <c r="A1091" s="47" t="str">
        <f>IFERROR(__xludf.DUMMYFUNCTION("""COMPUTED_VALUE"""),"Virtual Raw Sienna")</f>
        <v>Virtual Raw Sienna</v>
      </c>
      <c r="B1091" s="47" t="str">
        <f>IFERROR(__xludf.DUMMYFUNCTION("""COMPUTED_VALUE"""),"raunas")</f>
        <v>raunas</v>
      </c>
      <c r="C1091" s="78" t="str">
        <f>IFERROR(__xludf.DUMMYFUNCTION("""COMPUTED_VALUE"""),"https://www.munzee.com/m/raunas/13091")</f>
        <v>https://www.munzee.com/m/raunas/13091</v>
      </c>
      <c r="D1091" s="47"/>
      <c r="E1091" s="47" t="b">
        <f>IFERROR(__xludf.DUMMYFUNCTION("""COMPUTED_VALUE"""),TRUE)</f>
        <v>1</v>
      </c>
      <c r="F1091" s="47"/>
      <c r="G1091" s="47" t="str">
        <f>IFERROR(__xludf.DUMMYFUNCTION("""COMPUTED_VALUE"""),"")</f>
        <v/>
      </c>
      <c r="H1091" s="47"/>
      <c r="I1091" s="47">
        <f>IFERROR(__xludf.DUMMYFUNCTION("""COMPUTED_VALUE"""),2.0)</f>
        <v>2</v>
      </c>
      <c r="J1091" s="47" t="str">
        <f>IFERROR(__xludf.DUMMYFUNCTION("""COMPUTED_VALUE"""),"https:")</f>
        <v>https:</v>
      </c>
      <c r="K1091" s="78" t="str">
        <f>IFERROR(__xludf.DUMMYFUNCTION("""COMPUTED_VALUE"""),"www.munzee.com")</f>
        <v>www.munzee.com</v>
      </c>
      <c r="L1091" s="47" t="str">
        <f>IFERROR(__xludf.DUMMYFUNCTION("""COMPUTED_VALUE"""),"m")</f>
        <v>m</v>
      </c>
      <c r="M1091" s="47" t="str">
        <f>IFERROR(__xludf.DUMMYFUNCTION("""COMPUTED_VALUE"""),"raunas")</f>
        <v>raunas</v>
      </c>
    </row>
    <row r="1092">
      <c r="A1092" s="47" t="str">
        <f>IFERROR(__xludf.DUMMYFUNCTION("""COMPUTED_VALUE"""),"Virtual Brown")</f>
        <v>Virtual Brown</v>
      </c>
      <c r="B1092" s="47" t="str">
        <f>IFERROR(__xludf.DUMMYFUNCTION("""COMPUTED_VALUE"""),"barefootguru")</f>
        <v>barefootguru</v>
      </c>
      <c r="C1092" s="78" t="str">
        <f>IFERROR(__xludf.DUMMYFUNCTION("""COMPUTED_VALUE"""),"https://www.munzee.com/m/barefootguru/3626/")</f>
        <v>https://www.munzee.com/m/barefootguru/3626/</v>
      </c>
      <c r="D1092" s="47"/>
      <c r="E1092" s="47" t="b">
        <f>IFERROR(__xludf.DUMMYFUNCTION("""COMPUTED_VALUE"""),TRUE)</f>
        <v>1</v>
      </c>
      <c r="F1092" s="47" t="str">
        <f>IFERROR(__xludf.DUMMYFUNCTION("""COMPUTED_VALUE"""),"")</f>
        <v/>
      </c>
      <c r="G1092" s="47" t="str">
        <f>IFERROR(__xludf.DUMMYFUNCTION("""COMPUTED_VALUE"""),"")</f>
        <v/>
      </c>
      <c r="H1092" s="47"/>
      <c r="I1092" s="47">
        <f>IFERROR(__xludf.DUMMYFUNCTION("""COMPUTED_VALUE"""),2.0)</f>
        <v>2</v>
      </c>
      <c r="J1092" s="47" t="str">
        <f>IFERROR(__xludf.DUMMYFUNCTION("""COMPUTED_VALUE"""),"https:")</f>
        <v>https:</v>
      </c>
      <c r="K1092" s="78" t="str">
        <f>IFERROR(__xludf.DUMMYFUNCTION("""COMPUTED_VALUE"""),"www.munzee.com")</f>
        <v>www.munzee.com</v>
      </c>
      <c r="L1092" s="47" t="str">
        <f>IFERROR(__xludf.DUMMYFUNCTION("""COMPUTED_VALUE"""),"m")</f>
        <v>m</v>
      </c>
      <c r="M1092" s="47" t="str">
        <f>IFERROR(__xludf.DUMMYFUNCTION("""COMPUTED_VALUE"""),"barefootguru")</f>
        <v>barefootguru</v>
      </c>
    </row>
    <row r="1093">
      <c r="A1093" s="47" t="str">
        <f>IFERROR(__xludf.DUMMYFUNCTION("""COMPUTED_VALUE"""),"Virtual Brown")</f>
        <v>Virtual Brown</v>
      </c>
      <c r="B1093" s="47" t="str">
        <f>IFERROR(__xludf.DUMMYFUNCTION("""COMPUTED_VALUE"""),"Belladivadee")</f>
        <v>Belladivadee</v>
      </c>
      <c r="C1093" s="78" t="str">
        <f>IFERROR(__xludf.DUMMYFUNCTION("""COMPUTED_VALUE"""),"https://www.munzee.com/m/belladivadee/3775/")</f>
        <v>https://www.munzee.com/m/belladivadee/3775/</v>
      </c>
      <c r="D1093" s="47"/>
      <c r="E1093" s="47" t="b">
        <f>IFERROR(__xludf.DUMMYFUNCTION("""COMPUTED_VALUE"""),TRUE)</f>
        <v>1</v>
      </c>
      <c r="F1093" s="47" t="str">
        <f>IFERROR(__xludf.DUMMYFUNCTION("""COMPUTED_VALUE"""),"")</f>
        <v/>
      </c>
      <c r="G1093" s="47" t="str">
        <f>IFERROR(__xludf.DUMMYFUNCTION("""COMPUTED_VALUE"""),"")</f>
        <v/>
      </c>
      <c r="H1093" s="47"/>
      <c r="I1093" s="47">
        <f>IFERROR(__xludf.DUMMYFUNCTION("""COMPUTED_VALUE"""),2.0)</f>
        <v>2</v>
      </c>
      <c r="J1093" s="47" t="str">
        <f>IFERROR(__xludf.DUMMYFUNCTION("""COMPUTED_VALUE"""),"https:")</f>
        <v>https:</v>
      </c>
      <c r="K1093" s="78" t="str">
        <f>IFERROR(__xludf.DUMMYFUNCTION("""COMPUTED_VALUE"""),"www.munzee.com")</f>
        <v>www.munzee.com</v>
      </c>
      <c r="L1093" s="47" t="str">
        <f>IFERROR(__xludf.DUMMYFUNCTION("""COMPUTED_VALUE"""),"m")</f>
        <v>m</v>
      </c>
      <c r="M1093" s="47" t="str">
        <f>IFERROR(__xludf.DUMMYFUNCTION("""COMPUTED_VALUE"""),"belladivadee")</f>
        <v>belladivadee</v>
      </c>
    </row>
    <row r="1094">
      <c r="A1094" s="47" t="str">
        <f>IFERROR(__xludf.DUMMYFUNCTION("""COMPUTED_VALUE"""),"Virtual Brown")</f>
        <v>Virtual Brown</v>
      </c>
      <c r="B1094" s="47" t="str">
        <f>IFERROR(__xludf.DUMMYFUNCTION("""COMPUTED_VALUE"""),"sverlaan")</f>
        <v>sverlaan</v>
      </c>
      <c r="C1094" s="78" t="str">
        <f>IFERROR(__xludf.DUMMYFUNCTION("""COMPUTED_VALUE"""),"https://www.munzee.com/m/sverlaan/6281/")</f>
        <v>https://www.munzee.com/m/sverlaan/6281/</v>
      </c>
      <c r="D1094" s="47"/>
      <c r="E1094" s="47" t="b">
        <f>IFERROR(__xludf.DUMMYFUNCTION("""COMPUTED_VALUE"""),TRUE)</f>
        <v>1</v>
      </c>
      <c r="F1094" s="47" t="str">
        <f>IFERROR(__xludf.DUMMYFUNCTION("""COMPUTED_VALUE"""),"")</f>
        <v/>
      </c>
      <c r="G1094" s="47" t="str">
        <f>IFERROR(__xludf.DUMMYFUNCTION("""COMPUTED_VALUE"""),"")</f>
        <v/>
      </c>
      <c r="H1094" s="47"/>
      <c r="I1094" s="47">
        <f>IFERROR(__xludf.DUMMYFUNCTION("""COMPUTED_VALUE"""),2.0)</f>
        <v>2</v>
      </c>
      <c r="J1094" s="47" t="str">
        <f>IFERROR(__xludf.DUMMYFUNCTION("""COMPUTED_VALUE"""),"https:")</f>
        <v>https:</v>
      </c>
      <c r="K1094" s="78" t="str">
        <f>IFERROR(__xludf.DUMMYFUNCTION("""COMPUTED_VALUE"""),"www.munzee.com")</f>
        <v>www.munzee.com</v>
      </c>
      <c r="L1094" s="47" t="str">
        <f>IFERROR(__xludf.DUMMYFUNCTION("""COMPUTED_VALUE"""),"m")</f>
        <v>m</v>
      </c>
      <c r="M1094" s="47" t="str">
        <f>IFERROR(__xludf.DUMMYFUNCTION("""COMPUTED_VALUE"""),"sverlaan")</f>
        <v>sverlaan</v>
      </c>
    </row>
    <row r="1095">
      <c r="A1095" s="47" t="str">
        <f>IFERROR(__xludf.DUMMYFUNCTION("""COMPUTED_VALUE"""),"Virtual Raw Sienna")</f>
        <v>Virtual Raw Sienna</v>
      </c>
      <c r="B1095" s="47" t="str">
        <f>IFERROR(__xludf.DUMMYFUNCTION("""COMPUTED_VALUE"""),"EmileP68")</f>
        <v>EmileP68</v>
      </c>
      <c r="C1095" s="78" t="str">
        <f>IFERROR(__xludf.DUMMYFUNCTION("""COMPUTED_VALUE"""),"https://www.munzee.com/m/EmileP68/5117/")</f>
        <v>https://www.munzee.com/m/EmileP68/5117/</v>
      </c>
      <c r="D1095" s="47"/>
      <c r="E1095" s="47" t="b">
        <f>IFERROR(__xludf.DUMMYFUNCTION("""COMPUTED_VALUE"""),TRUE)</f>
        <v>1</v>
      </c>
      <c r="F1095" s="47" t="str">
        <f>IFERROR(__xludf.DUMMYFUNCTION("""COMPUTED_VALUE"""),"")</f>
        <v/>
      </c>
      <c r="G1095" s="47" t="str">
        <f>IFERROR(__xludf.DUMMYFUNCTION("""COMPUTED_VALUE"""),"")</f>
        <v/>
      </c>
      <c r="H1095" s="47"/>
      <c r="I1095" s="47">
        <f>IFERROR(__xludf.DUMMYFUNCTION("""COMPUTED_VALUE"""),2.0)</f>
        <v>2</v>
      </c>
      <c r="J1095" s="47" t="str">
        <f>IFERROR(__xludf.DUMMYFUNCTION("""COMPUTED_VALUE"""),"https:")</f>
        <v>https:</v>
      </c>
      <c r="K1095" s="78" t="str">
        <f>IFERROR(__xludf.DUMMYFUNCTION("""COMPUTED_VALUE"""),"www.munzee.com")</f>
        <v>www.munzee.com</v>
      </c>
      <c r="L1095" s="47" t="str">
        <f>IFERROR(__xludf.DUMMYFUNCTION("""COMPUTED_VALUE"""),"m")</f>
        <v>m</v>
      </c>
      <c r="M1095" s="47" t="str">
        <f>IFERROR(__xludf.DUMMYFUNCTION("""COMPUTED_VALUE"""),"EmileP68")</f>
        <v>EmileP68</v>
      </c>
    </row>
    <row r="1096">
      <c r="A1096" s="47" t="str">
        <f>IFERROR(__xludf.DUMMYFUNCTION("""COMPUTED_VALUE"""),"Virtual Raw Sienna")</f>
        <v>Virtual Raw Sienna</v>
      </c>
      <c r="B1096" s="47" t="str">
        <f>IFERROR(__xludf.DUMMYFUNCTION("""COMPUTED_VALUE"""),"Pawpatrolthomas")</f>
        <v>Pawpatrolthomas</v>
      </c>
      <c r="C1096" s="78" t="str">
        <f>IFERROR(__xludf.DUMMYFUNCTION("""COMPUTED_VALUE"""),"https://www.munzee.com/m/PawPatrolThomas/4301/")</f>
        <v>https://www.munzee.com/m/PawPatrolThomas/4301/</v>
      </c>
      <c r="D1096" s="47"/>
      <c r="E1096" s="47" t="b">
        <f>IFERROR(__xludf.DUMMYFUNCTION("""COMPUTED_VALUE"""),TRUE)</f>
        <v>1</v>
      </c>
      <c r="F1096" s="47" t="str">
        <f>IFERROR(__xludf.DUMMYFUNCTION("""COMPUTED_VALUE"""),"")</f>
        <v/>
      </c>
      <c r="G1096" s="47" t="str">
        <f>IFERROR(__xludf.DUMMYFUNCTION("""COMPUTED_VALUE"""),"")</f>
        <v/>
      </c>
      <c r="H1096" s="47"/>
      <c r="I1096" s="47">
        <f>IFERROR(__xludf.DUMMYFUNCTION("""COMPUTED_VALUE"""),2.0)</f>
        <v>2</v>
      </c>
      <c r="J1096" s="47" t="str">
        <f>IFERROR(__xludf.DUMMYFUNCTION("""COMPUTED_VALUE"""),"https:")</f>
        <v>https:</v>
      </c>
      <c r="K1096" s="78" t="str">
        <f>IFERROR(__xludf.DUMMYFUNCTION("""COMPUTED_VALUE"""),"www.munzee.com")</f>
        <v>www.munzee.com</v>
      </c>
      <c r="L1096" s="47" t="str">
        <f>IFERROR(__xludf.DUMMYFUNCTION("""COMPUTED_VALUE"""),"m")</f>
        <v>m</v>
      </c>
      <c r="M1096" s="47" t="str">
        <f>IFERROR(__xludf.DUMMYFUNCTION("""COMPUTED_VALUE"""),"PawPatrolThomas")</f>
        <v>PawPatrolThomas</v>
      </c>
    </row>
    <row r="1097">
      <c r="A1097" s="47" t="str">
        <f>IFERROR(__xludf.DUMMYFUNCTION("""COMPUTED_VALUE"""),"Virtual Brown")</f>
        <v>Virtual Brown</v>
      </c>
      <c r="B1097" s="47" t="str">
        <f>IFERROR(__xludf.DUMMYFUNCTION("""COMPUTED_VALUE"""),"BrotherWilliam")</f>
        <v>BrotherWilliam</v>
      </c>
      <c r="C1097" s="78" t="str">
        <f>IFERROR(__xludf.DUMMYFUNCTION("""COMPUTED_VALUE"""),"https://www.munzee.com/m/BrotherWilliam/5246/")</f>
        <v>https://www.munzee.com/m/BrotherWilliam/5246/</v>
      </c>
      <c r="D1097" s="47"/>
      <c r="E1097" s="47" t="b">
        <f>IFERROR(__xludf.DUMMYFUNCTION("""COMPUTED_VALUE"""),TRUE)</f>
        <v>1</v>
      </c>
      <c r="F1097" s="47" t="str">
        <f>IFERROR(__xludf.DUMMYFUNCTION("""COMPUTED_VALUE"""),"")</f>
        <v/>
      </c>
      <c r="G1097" s="47" t="str">
        <f>IFERROR(__xludf.DUMMYFUNCTION("""COMPUTED_VALUE"""),"")</f>
        <v/>
      </c>
      <c r="H1097" s="47"/>
      <c r="I1097" s="47">
        <f>IFERROR(__xludf.DUMMYFUNCTION("""COMPUTED_VALUE"""),2.0)</f>
        <v>2</v>
      </c>
      <c r="J1097" s="47" t="str">
        <f>IFERROR(__xludf.DUMMYFUNCTION("""COMPUTED_VALUE"""),"https:")</f>
        <v>https:</v>
      </c>
      <c r="K1097" s="78" t="str">
        <f>IFERROR(__xludf.DUMMYFUNCTION("""COMPUTED_VALUE"""),"www.munzee.com")</f>
        <v>www.munzee.com</v>
      </c>
      <c r="L1097" s="47" t="str">
        <f>IFERROR(__xludf.DUMMYFUNCTION("""COMPUTED_VALUE"""),"m")</f>
        <v>m</v>
      </c>
      <c r="M1097" s="47" t="str">
        <f>IFERROR(__xludf.DUMMYFUNCTION("""COMPUTED_VALUE"""),"BrotherWilliam")</f>
        <v>BrotherWilliam</v>
      </c>
    </row>
    <row r="1098">
      <c r="A1098" s="47" t="str">
        <f>IFERROR(__xludf.DUMMYFUNCTION("""COMPUTED_VALUE"""),"Virtual Brown")</f>
        <v>Virtual Brown</v>
      </c>
      <c r="B1098" s="47" t="str">
        <f>IFERROR(__xludf.DUMMYFUNCTION("""COMPUTED_VALUE"""),"ArtofEco")</f>
        <v>ArtofEco</v>
      </c>
      <c r="C1098" s="78" t="str">
        <f>IFERROR(__xludf.DUMMYFUNCTION("""COMPUTED_VALUE"""),"https://www.munzee.com/m/ArtofEco/3545/")</f>
        <v>https://www.munzee.com/m/ArtofEco/3545/</v>
      </c>
      <c r="D1098" s="47"/>
      <c r="E1098" s="47" t="b">
        <f>IFERROR(__xludf.DUMMYFUNCTION("""COMPUTED_VALUE"""),TRUE)</f>
        <v>1</v>
      </c>
      <c r="F1098" s="47" t="str">
        <f>IFERROR(__xludf.DUMMYFUNCTION("""COMPUTED_VALUE"""),"")</f>
        <v/>
      </c>
      <c r="G1098" s="47" t="str">
        <f>IFERROR(__xludf.DUMMYFUNCTION("""COMPUTED_VALUE"""),"")</f>
        <v/>
      </c>
      <c r="H1098" s="47"/>
      <c r="I1098" s="47">
        <f>IFERROR(__xludf.DUMMYFUNCTION("""COMPUTED_VALUE"""),2.0)</f>
        <v>2</v>
      </c>
      <c r="J1098" s="47" t="str">
        <f>IFERROR(__xludf.DUMMYFUNCTION("""COMPUTED_VALUE"""),"https:")</f>
        <v>https:</v>
      </c>
      <c r="K1098" s="78" t="str">
        <f>IFERROR(__xludf.DUMMYFUNCTION("""COMPUTED_VALUE"""),"www.munzee.com")</f>
        <v>www.munzee.com</v>
      </c>
      <c r="L1098" s="47" t="str">
        <f>IFERROR(__xludf.DUMMYFUNCTION("""COMPUTED_VALUE"""),"m")</f>
        <v>m</v>
      </c>
      <c r="M1098" s="47" t="str">
        <f>IFERROR(__xludf.DUMMYFUNCTION("""COMPUTED_VALUE"""),"ArtofEco")</f>
        <v>ArtofEco</v>
      </c>
    </row>
    <row r="1099">
      <c r="A1099" s="47" t="str">
        <f>IFERROR(__xludf.DUMMYFUNCTION("""COMPUTED_VALUE"""),"Virtual Brown")</f>
        <v>Virtual Brown</v>
      </c>
      <c r="B1099" s="47" t="str">
        <f>IFERROR(__xludf.DUMMYFUNCTION("""COMPUTED_VALUE"""),"J1Huisman")</f>
        <v>J1Huisman</v>
      </c>
      <c r="C1099" s="78" t="str">
        <f>IFERROR(__xludf.DUMMYFUNCTION("""COMPUTED_VALUE"""),"https://www.munzee.com/m/J1Huisman/14455/")</f>
        <v>https://www.munzee.com/m/J1Huisman/14455/</v>
      </c>
      <c r="D1099" s="47"/>
      <c r="E1099" s="47" t="b">
        <f>IFERROR(__xludf.DUMMYFUNCTION("""COMPUTED_VALUE"""),TRUE)</f>
        <v>1</v>
      </c>
      <c r="F1099" s="47" t="str">
        <f>IFERROR(__xludf.DUMMYFUNCTION("""COMPUTED_VALUE"""),"")</f>
        <v/>
      </c>
      <c r="G1099" s="47" t="str">
        <f>IFERROR(__xludf.DUMMYFUNCTION("""COMPUTED_VALUE"""),"")</f>
        <v/>
      </c>
      <c r="H1099" s="47"/>
      <c r="I1099" s="47">
        <f>IFERROR(__xludf.DUMMYFUNCTION("""COMPUTED_VALUE"""),2.0)</f>
        <v>2</v>
      </c>
      <c r="J1099" s="47" t="str">
        <f>IFERROR(__xludf.DUMMYFUNCTION("""COMPUTED_VALUE"""),"https:")</f>
        <v>https:</v>
      </c>
      <c r="K1099" s="78" t="str">
        <f>IFERROR(__xludf.DUMMYFUNCTION("""COMPUTED_VALUE"""),"www.munzee.com")</f>
        <v>www.munzee.com</v>
      </c>
      <c r="L1099" s="47" t="str">
        <f>IFERROR(__xludf.DUMMYFUNCTION("""COMPUTED_VALUE"""),"m")</f>
        <v>m</v>
      </c>
      <c r="M1099" s="47" t="str">
        <f>IFERROR(__xludf.DUMMYFUNCTION("""COMPUTED_VALUE"""),"J1Huisman")</f>
        <v>J1Huisman</v>
      </c>
    </row>
    <row r="1100">
      <c r="A1100" s="47" t="str">
        <f>IFERROR(__xludf.DUMMYFUNCTION("""COMPUTED_VALUE"""),"Virtual Raw Sienna")</f>
        <v>Virtual Raw Sienna</v>
      </c>
      <c r="B1100" s="47" t="str">
        <f>IFERROR(__xludf.DUMMYFUNCTION("""COMPUTED_VALUE"""),"lison55")</f>
        <v>lison55</v>
      </c>
      <c r="C1100" s="78" t="str">
        <f>IFERROR(__xludf.DUMMYFUNCTION("""COMPUTED_VALUE"""),"https://www.munzee.com/m/lison55/8396")</f>
        <v>https://www.munzee.com/m/lison55/8396</v>
      </c>
      <c r="D1100" s="47"/>
      <c r="E1100" s="47" t="b">
        <f>IFERROR(__xludf.DUMMYFUNCTION("""COMPUTED_VALUE"""),TRUE)</f>
        <v>1</v>
      </c>
      <c r="F1100" s="47" t="str">
        <f>IFERROR(__xludf.DUMMYFUNCTION("""COMPUTED_VALUE"""),"")</f>
        <v/>
      </c>
      <c r="G1100" s="47" t="str">
        <f>IFERROR(__xludf.DUMMYFUNCTION("""COMPUTED_VALUE"""),"")</f>
        <v/>
      </c>
      <c r="H1100" s="47"/>
      <c r="I1100" s="47">
        <f>IFERROR(__xludf.DUMMYFUNCTION("""COMPUTED_VALUE"""),2.0)</f>
        <v>2</v>
      </c>
      <c r="J1100" s="47" t="str">
        <f>IFERROR(__xludf.DUMMYFUNCTION("""COMPUTED_VALUE"""),"https:")</f>
        <v>https:</v>
      </c>
      <c r="K1100" s="78" t="str">
        <f>IFERROR(__xludf.DUMMYFUNCTION("""COMPUTED_VALUE"""),"www.munzee.com")</f>
        <v>www.munzee.com</v>
      </c>
      <c r="L1100" s="47" t="str">
        <f>IFERROR(__xludf.DUMMYFUNCTION("""COMPUTED_VALUE"""),"m")</f>
        <v>m</v>
      </c>
      <c r="M1100" s="47" t="str">
        <f>IFERROR(__xludf.DUMMYFUNCTION("""COMPUTED_VALUE"""),"lison55")</f>
        <v>lison55</v>
      </c>
    </row>
    <row r="1101">
      <c r="A1101" s="47" t="str">
        <f>IFERROR(__xludf.DUMMYFUNCTION("""COMPUTED_VALUE"""),"Virtual Brown")</f>
        <v>Virtual Brown</v>
      </c>
      <c r="B1101" s="47" t="str">
        <f>IFERROR(__xludf.DUMMYFUNCTION("""COMPUTED_VALUE"""),"fsafranek")</f>
        <v>fsafranek</v>
      </c>
      <c r="C1101" s="78" t="str">
        <f>IFERROR(__xludf.DUMMYFUNCTION("""COMPUTED_VALUE"""),"https://www.munzee.com/m/fsafranek/5371/")</f>
        <v>https://www.munzee.com/m/fsafranek/5371/</v>
      </c>
      <c r="D1101" s="47"/>
      <c r="E1101" s="47" t="b">
        <f>IFERROR(__xludf.DUMMYFUNCTION("""COMPUTED_VALUE"""),TRUE)</f>
        <v>1</v>
      </c>
      <c r="F1101" s="88"/>
      <c r="G1101" s="47" t="str">
        <f>IFERROR(__xludf.DUMMYFUNCTION("""COMPUTED_VALUE"""),"")</f>
        <v/>
      </c>
      <c r="H1101" s="47"/>
      <c r="I1101" s="47">
        <f>IFERROR(__xludf.DUMMYFUNCTION("""COMPUTED_VALUE"""),2.0)</f>
        <v>2</v>
      </c>
      <c r="J1101" s="47" t="str">
        <f>IFERROR(__xludf.DUMMYFUNCTION("""COMPUTED_VALUE"""),"https:")</f>
        <v>https:</v>
      </c>
      <c r="K1101" s="78" t="str">
        <f>IFERROR(__xludf.DUMMYFUNCTION("""COMPUTED_VALUE"""),"www.munzee.com")</f>
        <v>www.munzee.com</v>
      </c>
      <c r="L1101" s="47" t="str">
        <f>IFERROR(__xludf.DUMMYFUNCTION("""COMPUTED_VALUE"""),"m")</f>
        <v>m</v>
      </c>
      <c r="M1101" s="47" t="str">
        <f>IFERROR(__xludf.DUMMYFUNCTION("""COMPUTED_VALUE"""),"fsafranek")</f>
        <v>fsafranek</v>
      </c>
    </row>
    <row r="1102">
      <c r="A1102" s="47" t="str">
        <f>IFERROR(__xludf.DUMMYFUNCTION("""COMPUTED_VALUE"""),"Virtual Brown")</f>
        <v>Virtual Brown</v>
      </c>
      <c r="B1102" s="47" t="str">
        <f>IFERROR(__xludf.DUMMYFUNCTION("""COMPUTED_VALUE"""),"raunas")</f>
        <v>raunas</v>
      </c>
      <c r="C1102" s="78" t="str">
        <f>IFERROR(__xludf.DUMMYFUNCTION("""COMPUTED_VALUE"""),"https://www.munzee.com/m/raunas/7250")</f>
        <v>https://www.munzee.com/m/raunas/7250</v>
      </c>
      <c r="D1102" s="47"/>
      <c r="E1102" s="47" t="b">
        <f>IFERROR(__xludf.DUMMYFUNCTION("""COMPUTED_VALUE"""),TRUE)</f>
        <v>1</v>
      </c>
      <c r="F1102" s="47" t="str">
        <f>IFERROR(__xludf.DUMMYFUNCTION("""COMPUTED_VALUE"""),"")</f>
        <v/>
      </c>
      <c r="G1102" s="47" t="str">
        <f>IFERROR(__xludf.DUMMYFUNCTION("""COMPUTED_VALUE"""),"")</f>
        <v/>
      </c>
      <c r="H1102" s="47"/>
      <c r="I1102" s="47">
        <f>IFERROR(__xludf.DUMMYFUNCTION("""COMPUTED_VALUE"""),2.0)</f>
        <v>2</v>
      </c>
      <c r="J1102" s="47" t="str">
        <f>IFERROR(__xludf.DUMMYFUNCTION("""COMPUTED_VALUE"""),"https:")</f>
        <v>https:</v>
      </c>
      <c r="K1102" s="78" t="str">
        <f>IFERROR(__xludf.DUMMYFUNCTION("""COMPUTED_VALUE"""),"www.munzee.com")</f>
        <v>www.munzee.com</v>
      </c>
      <c r="L1102" s="47" t="str">
        <f>IFERROR(__xludf.DUMMYFUNCTION("""COMPUTED_VALUE"""),"m")</f>
        <v>m</v>
      </c>
      <c r="M1102" s="47" t="str">
        <f>IFERROR(__xludf.DUMMYFUNCTION("""COMPUTED_VALUE"""),"raunas")</f>
        <v>raunas</v>
      </c>
    </row>
    <row r="1103">
      <c r="A1103" s="47" t="str">
        <f>IFERROR(__xludf.DUMMYFUNCTION("""COMPUTED_VALUE"""),"Virtual Brown")</f>
        <v>Virtual Brown</v>
      </c>
      <c r="B1103" s="47" t="str">
        <f>IFERROR(__xludf.DUMMYFUNCTION("""COMPUTED_VALUE"""),"whatsoverthere")</f>
        <v>whatsoverthere</v>
      </c>
      <c r="C1103" s="78" t="str">
        <f>IFERROR(__xludf.DUMMYFUNCTION("""COMPUTED_VALUE"""),"https://www.munzee.com/m/Whatsoverthere/8615/")</f>
        <v>https://www.munzee.com/m/Whatsoverthere/8615/</v>
      </c>
      <c r="D1103" s="47"/>
      <c r="E1103" s="47" t="b">
        <f>IFERROR(__xludf.DUMMYFUNCTION("""COMPUTED_VALUE"""),TRUE)</f>
        <v>1</v>
      </c>
      <c r="F1103" s="47" t="str">
        <f>IFERROR(__xludf.DUMMYFUNCTION("""COMPUTED_VALUE"""),"")</f>
        <v/>
      </c>
      <c r="G1103" s="47" t="str">
        <f>IFERROR(__xludf.DUMMYFUNCTION("""COMPUTED_VALUE"""),"")</f>
        <v/>
      </c>
      <c r="H1103" s="47"/>
      <c r="I1103" s="47">
        <f>IFERROR(__xludf.DUMMYFUNCTION("""COMPUTED_VALUE"""),2.0)</f>
        <v>2</v>
      </c>
      <c r="J1103" s="47" t="str">
        <f>IFERROR(__xludf.DUMMYFUNCTION("""COMPUTED_VALUE"""),"https:")</f>
        <v>https:</v>
      </c>
      <c r="K1103" s="78" t="str">
        <f>IFERROR(__xludf.DUMMYFUNCTION("""COMPUTED_VALUE"""),"www.munzee.com")</f>
        <v>www.munzee.com</v>
      </c>
      <c r="L1103" s="47" t="str">
        <f>IFERROR(__xludf.DUMMYFUNCTION("""COMPUTED_VALUE"""),"m")</f>
        <v>m</v>
      </c>
      <c r="M1103" s="47" t="str">
        <f>IFERROR(__xludf.DUMMYFUNCTION("""COMPUTED_VALUE"""),"Whatsoverthere")</f>
        <v>Whatsoverthere</v>
      </c>
    </row>
    <row r="1104">
      <c r="A1104" s="47" t="str">
        <f>IFERROR(__xludf.DUMMYFUNCTION("""COMPUTED_VALUE"""),"Virtual Brown")</f>
        <v>Virtual Brown</v>
      </c>
      <c r="B1104" s="47" t="str">
        <f>IFERROR(__xludf.DUMMYFUNCTION("""COMPUTED_VALUE"""),"Oppresso1983")</f>
        <v>Oppresso1983</v>
      </c>
      <c r="C1104" s="78" t="str">
        <f>IFERROR(__xludf.DUMMYFUNCTION("""COMPUTED_VALUE"""),"https://www.munzee.com/m/Oppresso1983/3939/")</f>
        <v>https://www.munzee.com/m/Oppresso1983/3939/</v>
      </c>
      <c r="D1104" s="47"/>
      <c r="E1104" s="47" t="b">
        <f>IFERROR(__xludf.DUMMYFUNCTION("""COMPUTED_VALUE"""),TRUE)</f>
        <v>1</v>
      </c>
      <c r="F1104" s="47" t="str">
        <f>IFERROR(__xludf.DUMMYFUNCTION("""COMPUTED_VALUE"""),"")</f>
        <v/>
      </c>
      <c r="G1104" s="47" t="str">
        <f>IFERROR(__xludf.DUMMYFUNCTION("""COMPUTED_VALUE"""),"")</f>
        <v/>
      </c>
      <c r="H1104" s="47"/>
      <c r="I1104" s="47">
        <f>IFERROR(__xludf.DUMMYFUNCTION("""COMPUTED_VALUE"""),2.0)</f>
        <v>2</v>
      </c>
      <c r="J1104" s="47" t="str">
        <f>IFERROR(__xludf.DUMMYFUNCTION("""COMPUTED_VALUE"""),"https:")</f>
        <v>https:</v>
      </c>
      <c r="K1104" s="78" t="str">
        <f>IFERROR(__xludf.DUMMYFUNCTION("""COMPUTED_VALUE"""),"www.munzee.com")</f>
        <v>www.munzee.com</v>
      </c>
      <c r="L1104" s="47" t="str">
        <f>IFERROR(__xludf.DUMMYFUNCTION("""COMPUTED_VALUE"""),"m")</f>
        <v>m</v>
      </c>
      <c r="M1104" s="47" t="str">
        <f>IFERROR(__xludf.DUMMYFUNCTION("""COMPUTED_VALUE"""),"Oppresso1983")</f>
        <v>Oppresso1983</v>
      </c>
    </row>
    <row r="1105">
      <c r="A1105" s="47" t="str">
        <f>IFERROR(__xludf.DUMMYFUNCTION("""COMPUTED_VALUE"""),"Virtual Brown")</f>
        <v>Virtual Brown</v>
      </c>
      <c r="B1105" s="47" t="str">
        <f>IFERROR(__xludf.DUMMYFUNCTION("""COMPUTED_VALUE"""),"xrayneex")</f>
        <v>xrayneex</v>
      </c>
      <c r="C1105" s="78" t="str">
        <f>IFERROR(__xludf.DUMMYFUNCTION("""COMPUTED_VALUE"""),"https://www.munzee.com/m/xrayneex/2644/")</f>
        <v>https://www.munzee.com/m/xrayneex/2644/</v>
      </c>
      <c r="D1105" s="47"/>
      <c r="E1105" s="47" t="b">
        <f>IFERROR(__xludf.DUMMYFUNCTION("""COMPUTED_VALUE"""),TRUE)</f>
        <v>1</v>
      </c>
      <c r="F1105" s="47" t="str">
        <f>IFERROR(__xludf.DUMMYFUNCTION("""COMPUTED_VALUE"""),"")</f>
        <v/>
      </c>
      <c r="G1105" s="47" t="str">
        <f>IFERROR(__xludf.DUMMYFUNCTION("""COMPUTED_VALUE"""),"")</f>
        <v/>
      </c>
      <c r="H1105" s="47"/>
      <c r="I1105" s="47">
        <f>IFERROR(__xludf.DUMMYFUNCTION("""COMPUTED_VALUE"""),2.0)</f>
        <v>2</v>
      </c>
      <c r="J1105" s="47" t="str">
        <f>IFERROR(__xludf.DUMMYFUNCTION("""COMPUTED_VALUE"""),"https:")</f>
        <v>https:</v>
      </c>
      <c r="K1105" s="78" t="str">
        <f>IFERROR(__xludf.DUMMYFUNCTION("""COMPUTED_VALUE"""),"www.munzee.com")</f>
        <v>www.munzee.com</v>
      </c>
      <c r="L1105" s="47" t="str">
        <f>IFERROR(__xludf.DUMMYFUNCTION("""COMPUTED_VALUE"""),"m")</f>
        <v>m</v>
      </c>
      <c r="M1105" s="47" t="str">
        <f>IFERROR(__xludf.DUMMYFUNCTION("""COMPUTED_VALUE"""),"xrayneex")</f>
        <v>xrayneex</v>
      </c>
    </row>
    <row r="1106">
      <c r="A1106" s="47" t="str">
        <f>IFERROR(__xludf.DUMMYFUNCTION("""COMPUTED_VALUE"""),"Virtual Brown")</f>
        <v>Virtual Brown</v>
      </c>
      <c r="B1106" s="47" t="str">
        <f>IFERROR(__xludf.DUMMYFUNCTION("""COMPUTED_VALUE"""),"whatsoverthere")</f>
        <v>whatsoverthere</v>
      </c>
      <c r="C1106" s="78" t="str">
        <f>IFERROR(__xludf.DUMMYFUNCTION("""COMPUTED_VALUE"""),"https://www.munzee.com/m/Whatsoverthere/8614/")</f>
        <v>https://www.munzee.com/m/Whatsoverthere/8614/</v>
      </c>
      <c r="D1106" s="47"/>
      <c r="E1106" s="47" t="b">
        <f>IFERROR(__xludf.DUMMYFUNCTION("""COMPUTED_VALUE"""),TRUE)</f>
        <v>1</v>
      </c>
      <c r="F1106" s="47" t="str">
        <f>IFERROR(__xludf.DUMMYFUNCTION("""COMPUTED_VALUE"""),"")</f>
        <v/>
      </c>
      <c r="G1106" s="47" t="str">
        <f>IFERROR(__xludf.DUMMYFUNCTION("""COMPUTED_VALUE"""),"")</f>
        <v/>
      </c>
      <c r="H1106" s="47"/>
      <c r="I1106" s="47">
        <f>IFERROR(__xludf.DUMMYFUNCTION("""COMPUTED_VALUE"""),2.0)</f>
        <v>2</v>
      </c>
      <c r="J1106" s="47" t="str">
        <f>IFERROR(__xludf.DUMMYFUNCTION("""COMPUTED_VALUE"""),"https:")</f>
        <v>https:</v>
      </c>
      <c r="K1106" s="78" t="str">
        <f>IFERROR(__xludf.DUMMYFUNCTION("""COMPUTED_VALUE"""),"www.munzee.com")</f>
        <v>www.munzee.com</v>
      </c>
      <c r="L1106" s="47" t="str">
        <f>IFERROR(__xludf.DUMMYFUNCTION("""COMPUTED_VALUE"""),"m")</f>
        <v>m</v>
      </c>
      <c r="M1106" s="47" t="str">
        <f>IFERROR(__xludf.DUMMYFUNCTION("""COMPUTED_VALUE"""),"Whatsoverthere")</f>
        <v>Whatsoverthere</v>
      </c>
    </row>
    <row r="1107">
      <c r="A1107" s="47" t="str">
        <f>IFERROR(__xludf.DUMMYFUNCTION("""COMPUTED_VALUE"""),"Virtual Brown")</f>
        <v>Virtual Brown</v>
      </c>
      <c r="B1107" s="47" t="str">
        <f>IFERROR(__xludf.DUMMYFUNCTION("""COMPUTED_VALUE"""),"Oppresso1983")</f>
        <v>Oppresso1983</v>
      </c>
      <c r="C1107" s="78" t="str">
        <f>IFERROR(__xludf.DUMMYFUNCTION("""COMPUTED_VALUE"""),"https://www.munzee.com/m/Oppresso1983/3938/")</f>
        <v>https://www.munzee.com/m/Oppresso1983/3938/</v>
      </c>
      <c r="D1107" s="47"/>
      <c r="E1107" s="47" t="b">
        <f>IFERROR(__xludf.DUMMYFUNCTION("""COMPUTED_VALUE"""),TRUE)</f>
        <v>1</v>
      </c>
      <c r="F1107" s="47" t="str">
        <f>IFERROR(__xludf.DUMMYFUNCTION("""COMPUTED_VALUE"""),"")</f>
        <v/>
      </c>
      <c r="G1107" s="47" t="str">
        <f>IFERROR(__xludf.DUMMYFUNCTION("""COMPUTED_VALUE"""),"")</f>
        <v/>
      </c>
      <c r="H1107" s="47"/>
      <c r="I1107" s="47">
        <f>IFERROR(__xludf.DUMMYFUNCTION("""COMPUTED_VALUE"""),2.0)</f>
        <v>2</v>
      </c>
      <c r="J1107" s="47" t="str">
        <f>IFERROR(__xludf.DUMMYFUNCTION("""COMPUTED_VALUE"""),"https:")</f>
        <v>https:</v>
      </c>
      <c r="K1107" s="78" t="str">
        <f>IFERROR(__xludf.DUMMYFUNCTION("""COMPUTED_VALUE"""),"www.munzee.com")</f>
        <v>www.munzee.com</v>
      </c>
      <c r="L1107" s="47" t="str">
        <f>IFERROR(__xludf.DUMMYFUNCTION("""COMPUTED_VALUE"""),"m")</f>
        <v>m</v>
      </c>
      <c r="M1107" s="47" t="str">
        <f>IFERROR(__xludf.DUMMYFUNCTION("""COMPUTED_VALUE"""),"Oppresso1983")</f>
        <v>Oppresso1983</v>
      </c>
    </row>
    <row r="1108">
      <c r="A1108" s="47" t="str">
        <f>IFERROR(__xludf.DUMMYFUNCTION("""COMPUTED_VALUE"""),"Virtual Brown")</f>
        <v>Virtual Brown</v>
      </c>
      <c r="B1108" s="47" t="str">
        <f>IFERROR(__xludf.DUMMYFUNCTION("""COMPUTED_VALUE"""),"Drazoria")</f>
        <v>Drazoria</v>
      </c>
      <c r="C1108" s="78" t="str">
        <f>IFERROR(__xludf.DUMMYFUNCTION("""COMPUTED_VALUE"""),"https://www.munzee.com/m/Drazoria/1580/")</f>
        <v>https://www.munzee.com/m/Drazoria/1580/</v>
      </c>
      <c r="D1108" s="47"/>
      <c r="E1108" s="47" t="b">
        <f>IFERROR(__xludf.DUMMYFUNCTION("""COMPUTED_VALUE"""),TRUE)</f>
        <v>1</v>
      </c>
      <c r="F1108" s="47" t="str">
        <f>IFERROR(__xludf.DUMMYFUNCTION("""COMPUTED_VALUE"""),"")</f>
        <v/>
      </c>
      <c r="G1108" s="47" t="str">
        <f>IFERROR(__xludf.DUMMYFUNCTION("""COMPUTED_VALUE"""),"")</f>
        <v/>
      </c>
      <c r="H1108" s="47"/>
      <c r="I1108" s="47">
        <f>IFERROR(__xludf.DUMMYFUNCTION("""COMPUTED_VALUE"""),2.0)</f>
        <v>2</v>
      </c>
      <c r="J1108" s="47" t="str">
        <f>IFERROR(__xludf.DUMMYFUNCTION("""COMPUTED_VALUE"""),"https:")</f>
        <v>https:</v>
      </c>
      <c r="K1108" s="78" t="str">
        <f>IFERROR(__xludf.DUMMYFUNCTION("""COMPUTED_VALUE"""),"www.munzee.com")</f>
        <v>www.munzee.com</v>
      </c>
      <c r="L1108" s="47" t="str">
        <f>IFERROR(__xludf.DUMMYFUNCTION("""COMPUTED_VALUE"""),"m")</f>
        <v>m</v>
      </c>
      <c r="M1108" s="47" t="str">
        <f>IFERROR(__xludf.DUMMYFUNCTION("""COMPUTED_VALUE"""),"Drazoria")</f>
        <v>Drazoria</v>
      </c>
    </row>
    <row r="1109">
      <c r="A1109" s="47" t="str">
        <f>IFERROR(__xludf.DUMMYFUNCTION("""COMPUTED_VALUE"""),"Virtual Brown")</f>
        <v>Virtual Brown</v>
      </c>
      <c r="B1109" s="47" t="str">
        <f>IFERROR(__xludf.DUMMYFUNCTION("""COMPUTED_VALUE"""),"Tinake1309")</f>
        <v>Tinake1309</v>
      </c>
      <c r="C1109" s="78" t="str">
        <f>IFERROR(__xludf.DUMMYFUNCTION("""COMPUTED_VALUE"""),"https://www.munzee.com/m/Tinake1309/1592/")</f>
        <v>https://www.munzee.com/m/Tinake1309/1592/</v>
      </c>
      <c r="D1109" s="47"/>
      <c r="E1109" s="47" t="b">
        <f>IFERROR(__xludf.DUMMYFUNCTION("""COMPUTED_VALUE"""),TRUE)</f>
        <v>1</v>
      </c>
      <c r="F1109" s="47" t="str">
        <f>IFERROR(__xludf.DUMMYFUNCTION("""COMPUTED_VALUE"""),"")</f>
        <v/>
      </c>
      <c r="G1109" s="47" t="str">
        <f>IFERROR(__xludf.DUMMYFUNCTION("""COMPUTED_VALUE"""),"")</f>
        <v/>
      </c>
      <c r="H1109" s="47"/>
      <c r="I1109" s="47">
        <f>IFERROR(__xludf.DUMMYFUNCTION("""COMPUTED_VALUE"""),2.0)</f>
        <v>2</v>
      </c>
      <c r="J1109" s="47" t="str">
        <f>IFERROR(__xludf.DUMMYFUNCTION("""COMPUTED_VALUE"""),"https:")</f>
        <v>https:</v>
      </c>
      <c r="K1109" s="78" t="str">
        <f>IFERROR(__xludf.DUMMYFUNCTION("""COMPUTED_VALUE"""),"www.munzee.com")</f>
        <v>www.munzee.com</v>
      </c>
      <c r="L1109" s="47" t="str">
        <f>IFERROR(__xludf.DUMMYFUNCTION("""COMPUTED_VALUE"""),"m")</f>
        <v>m</v>
      </c>
      <c r="M1109" s="47" t="str">
        <f>IFERROR(__xludf.DUMMYFUNCTION("""COMPUTED_VALUE"""),"Tinake1309")</f>
        <v>Tinake1309</v>
      </c>
    </row>
    <row r="1110">
      <c r="A1110" s="47" t="str">
        <f>IFERROR(__xludf.DUMMYFUNCTION("""COMPUTED_VALUE"""),"Virtual Brown")</f>
        <v>Virtual Brown</v>
      </c>
      <c r="B1110" s="47" t="str">
        <f>IFERROR(__xludf.DUMMYFUNCTION("""COMPUTED_VALUE"""),"Berg14")</f>
        <v>Berg14</v>
      </c>
      <c r="C1110" s="78" t="str">
        <f>IFERROR(__xludf.DUMMYFUNCTION("""COMPUTED_VALUE"""),"https://www.munzee.com/m/Berg14/1514/")</f>
        <v>https://www.munzee.com/m/Berg14/1514/</v>
      </c>
      <c r="D1110" s="47" t="str">
        <f>IFERROR(__xludf.DUMMYFUNCTION("""COMPUTED_VALUE""")," ")</f>
        <v> </v>
      </c>
      <c r="E1110" s="47" t="b">
        <f>IFERROR(__xludf.DUMMYFUNCTION("""COMPUTED_VALUE"""),TRUE)</f>
        <v>1</v>
      </c>
      <c r="F1110" s="47" t="str">
        <f>IFERROR(__xludf.DUMMYFUNCTION("""COMPUTED_VALUE"""),"")</f>
        <v/>
      </c>
      <c r="G1110" s="47" t="str">
        <f>IFERROR(__xludf.DUMMYFUNCTION("""COMPUTED_VALUE"""),"")</f>
        <v/>
      </c>
      <c r="H1110" s="47"/>
      <c r="I1110" s="47">
        <f>IFERROR(__xludf.DUMMYFUNCTION("""COMPUTED_VALUE"""),2.0)</f>
        <v>2</v>
      </c>
      <c r="J1110" s="47" t="str">
        <f>IFERROR(__xludf.DUMMYFUNCTION("""COMPUTED_VALUE"""),"https:")</f>
        <v>https:</v>
      </c>
      <c r="K1110" s="78" t="str">
        <f>IFERROR(__xludf.DUMMYFUNCTION("""COMPUTED_VALUE"""),"www.munzee.com")</f>
        <v>www.munzee.com</v>
      </c>
      <c r="L1110" s="47" t="str">
        <f>IFERROR(__xludf.DUMMYFUNCTION("""COMPUTED_VALUE"""),"m")</f>
        <v>m</v>
      </c>
      <c r="M1110" s="47" t="str">
        <f>IFERROR(__xludf.DUMMYFUNCTION("""COMPUTED_VALUE"""),"Berg14")</f>
        <v>Berg14</v>
      </c>
    </row>
    <row r="1111">
      <c r="A1111" s="47" t="str">
        <f>IFERROR(__xludf.DUMMYFUNCTION("""COMPUTED_VALUE"""),"Virtual Brown")</f>
        <v>Virtual Brown</v>
      </c>
      <c r="B1111" s="47" t="str">
        <f>IFERROR(__xludf.DUMMYFUNCTION("""COMPUTED_VALUE"""),"Niks13")</f>
        <v>Niks13</v>
      </c>
      <c r="C1111" s="78" t="str">
        <f>IFERROR(__xludf.DUMMYFUNCTION("""COMPUTED_VALUE"""),"https://www.munzee.com/m/Niks13/1497/")</f>
        <v>https://www.munzee.com/m/Niks13/1497/</v>
      </c>
      <c r="D1111" s="47"/>
      <c r="E1111" s="47" t="b">
        <f>IFERROR(__xludf.DUMMYFUNCTION("""COMPUTED_VALUE"""),TRUE)</f>
        <v>1</v>
      </c>
      <c r="F1111" s="47" t="str">
        <f>IFERROR(__xludf.DUMMYFUNCTION("""COMPUTED_VALUE"""),"")</f>
        <v/>
      </c>
      <c r="G1111" s="47" t="str">
        <f>IFERROR(__xludf.DUMMYFUNCTION("""COMPUTED_VALUE"""),"")</f>
        <v/>
      </c>
      <c r="H1111" s="47"/>
      <c r="I1111" s="47">
        <f>IFERROR(__xludf.DUMMYFUNCTION("""COMPUTED_VALUE"""),2.0)</f>
        <v>2</v>
      </c>
      <c r="J1111" s="47" t="str">
        <f>IFERROR(__xludf.DUMMYFUNCTION("""COMPUTED_VALUE"""),"https:")</f>
        <v>https:</v>
      </c>
      <c r="K1111" s="78" t="str">
        <f>IFERROR(__xludf.DUMMYFUNCTION("""COMPUTED_VALUE"""),"www.munzee.com")</f>
        <v>www.munzee.com</v>
      </c>
      <c r="L1111" s="47" t="str">
        <f>IFERROR(__xludf.DUMMYFUNCTION("""COMPUTED_VALUE"""),"m")</f>
        <v>m</v>
      </c>
      <c r="M1111" s="47" t="str">
        <f>IFERROR(__xludf.DUMMYFUNCTION("""COMPUTED_VALUE"""),"Niks13")</f>
        <v>Niks13</v>
      </c>
    </row>
    <row r="1112">
      <c r="A1112" s="47" t="str">
        <f>IFERROR(__xludf.DUMMYFUNCTION("""COMPUTED_VALUE"""),"Virtual Raw Sienna")</f>
        <v>Virtual Raw Sienna</v>
      </c>
      <c r="B1112" s="47" t="str">
        <f>IFERROR(__xludf.DUMMYFUNCTION("""COMPUTED_VALUE"""),"lupo6")</f>
        <v>lupo6</v>
      </c>
      <c r="C1112" s="78" t="str">
        <f>IFERROR(__xludf.DUMMYFUNCTION("""COMPUTED_VALUE"""),"https://www.munzee.com/m/lupo6/6879/")</f>
        <v>https://www.munzee.com/m/lupo6/6879/</v>
      </c>
      <c r="D1112" s="47"/>
      <c r="E1112" s="47" t="b">
        <f>IFERROR(__xludf.DUMMYFUNCTION("""COMPUTED_VALUE"""),TRUE)</f>
        <v>1</v>
      </c>
      <c r="F1112" s="47" t="str">
        <f>IFERROR(__xludf.DUMMYFUNCTION("""COMPUTED_VALUE"""),"")</f>
        <v/>
      </c>
      <c r="G1112" s="47" t="str">
        <f>IFERROR(__xludf.DUMMYFUNCTION("""COMPUTED_VALUE"""),"")</f>
        <v/>
      </c>
      <c r="H1112" s="47"/>
      <c r="I1112" s="47">
        <f>IFERROR(__xludf.DUMMYFUNCTION("""COMPUTED_VALUE"""),2.0)</f>
        <v>2</v>
      </c>
      <c r="J1112" s="47" t="str">
        <f>IFERROR(__xludf.DUMMYFUNCTION("""COMPUTED_VALUE"""),"https:")</f>
        <v>https:</v>
      </c>
      <c r="K1112" s="78" t="str">
        <f>IFERROR(__xludf.DUMMYFUNCTION("""COMPUTED_VALUE"""),"www.munzee.com")</f>
        <v>www.munzee.com</v>
      </c>
      <c r="L1112" s="47" t="str">
        <f>IFERROR(__xludf.DUMMYFUNCTION("""COMPUTED_VALUE"""),"m")</f>
        <v>m</v>
      </c>
      <c r="M1112" s="47" t="str">
        <f>IFERROR(__xludf.DUMMYFUNCTION("""COMPUTED_VALUE"""),"lupo6")</f>
        <v>lupo6</v>
      </c>
    </row>
    <row r="1113">
      <c r="A1113" s="47" t="str">
        <f>IFERROR(__xludf.DUMMYFUNCTION("""COMPUTED_VALUE"""),"Virtual Brown")</f>
        <v>Virtual Brown</v>
      </c>
      <c r="B1113" s="47" t="str">
        <f>IFERROR(__xludf.DUMMYFUNCTION("""COMPUTED_VALUE"""),"OdinsFiRe")</f>
        <v>OdinsFiRe</v>
      </c>
      <c r="C1113" s="78" t="str">
        <f>IFERROR(__xludf.DUMMYFUNCTION("""COMPUTED_VALUE"""),"https://www.munzee.com/m/OdinsFiRe/2062/")</f>
        <v>https://www.munzee.com/m/OdinsFiRe/2062/</v>
      </c>
      <c r="D1113" s="47"/>
      <c r="E1113" s="47" t="b">
        <f>IFERROR(__xludf.DUMMYFUNCTION("""COMPUTED_VALUE"""),TRUE)</f>
        <v>1</v>
      </c>
      <c r="F1113" s="47" t="str">
        <f>IFERROR(__xludf.DUMMYFUNCTION("""COMPUTED_VALUE"""),"")</f>
        <v/>
      </c>
      <c r="G1113" s="47" t="str">
        <f>IFERROR(__xludf.DUMMYFUNCTION("""COMPUTED_VALUE"""),"")</f>
        <v/>
      </c>
      <c r="H1113" s="47"/>
      <c r="I1113" s="47">
        <f>IFERROR(__xludf.DUMMYFUNCTION("""COMPUTED_VALUE"""),2.0)</f>
        <v>2</v>
      </c>
      <c r="J1113" s="47" t="str">
        <f>IFERROR(__xludf.DUMMYFUNCTION("""COMPUTED_VALUE"""),"https:")</f>
        <v>https:</v>
      </c>
      <c r="K1113" s="78" t="str">
        <f>IFERROR(__xludf.DUMMYFUNCTION("""COMPUTED_VALUE"""),"www.munzee.com")</f>
        <v>www.munzee.com</v>
      </c>
      <c r="L1113" s="47" t="str">
        <f>IFERROR(__xludf.DUMMYFUNCTION("""COMPUTED_VALUE"""),"m")</f>
        <v>m</v>
      </c>
      <c r="M1113" s="47" t="str">
        <f>IFERROR(__xludf.DUMMYFUNCTION("""COMPUTED_VALUE"""),"OdinsFiRe")</f>
        <v>OdinsFiRe</v>
      </c>
    </row>
    <row r="1114">
      <c r="A1114" s="47" t="str">
        <f>IFERROR(__xludf.DUMMYFUNCTION("""COMPUTED_VALUE"""),"Virtual Brown")</f>
        <v>Virtual Brown</v>
      </c>
      <c r="B1114" s="47" t="str">
        <f>IFERROR(__xludf.DUMMYFUNCTION("""COMPUTED_VALUE"""),"Anetzet ")</f>
        <v>Anetzet </v>
      </c>
      <c r="C1114" s="78" t="str">
        <f>IFERROR(__xludf.DUMMYFUNCTION("""COMPUTED_VALUE"""),"https://www.munzee.com/m/Anetzet/4684/")</f>
        <v>https://www.munzee.com/m/Anetzet/4684/</v>
      </c>
      <c r="D1114" s="47"/>
      <c r="E1114" s="47" t="b">
        <f>IFERROR(__xludf.DUMMYFUNCTION("""COMPUTED_VALUE"""),TRUE)</f>
        <v>1</v>
      </c>
      <c r="F1114" s="47" t="str">
        <f>IFERROR(__xludf.DUMMYFUNCTION("""COMPUTED_VALUE"""),"")</f>
        <v/>
      </c>
      <c r="G1114" s="47" t="str">
        <f>IFERROR(__xludf.DUMMYFUNCTION("""COMPUTED_VALUE"""),"")</f>
        <v/>
      </c>
      <c r="H1114" s="47"/>
      <c r="I1114" s="47">
        <f>IFERROR(__xludf.DUMMYFUNCTION("""COMPUTED_VALUE"""),2.0)</f>
        <v>2</v>
      </c>
      <c r="J1114" s="47" t="str">
        <f>IFERROR(__xludf.DUMMYFUNCTION("""COMPUTED_VALUE"""),"https:")</f>
        <v>https:</v>
      </c>
      <c r="K1114" s="78" t="str">
        <f>IFERROR(__xludf.DUMMYFUNCTION("""COMPUTED_VALUE"""),"www.munzee.com")</f>
        <v>www.munzee.com</v>
      </c>
      <c r="L1114" s="47" t="str">
        <f>IFERROR(__xludf.DUMMYFUNCTION("""COMPUTED_VALUE"""),"m")</f>
        <v>m</v>
      </c>
      <c r="M1114" s="47" t="str">
        <f>IFERROR(__xludf.DUMMYFUNCTION("""COMPUTED_VALUE"""),"Anetzet")</f>
        <v>Anetzet</v>
      </c>
    </row>
    <row r="1115">
      <c r="A1115" s="47" t="str">
        <f>IFERROR(__xludf.DUMMYFUNCTION("""COMPUTED_VALUE"""),"Virtual Brown")</f>
        <v>Virtual Brown</v>
      </c>
      <c r="B1115" s="47" t="str">
        <f>IFERROR(__xludf.DUMMYFUNCTION("""COMPUTED_VALUE"""),"crscousins")</f>
        <v>crscousins</v>
      </c>
      <c r="C1115" s="78" t="str">
        <f>IFERROR(__xludf.DUMMYFUNCTION("""COMPUTED_VALUE"""),"https://www.munzee.com/m/crscousins/7150/")</f>
        <v>https://www.munzee.com/m/crscousins/7150/</v>
      </c>
      <c r="D1115" s="47"/>
      <c r="E1115" s="47" t="b">
        <f>IFERROR(__xludf.DUMMYFUNCTION("""COMPUTED_VALUE"""),TRUE)</f>
        <v>1</v>
      </c>
      <c r="F1115" s="47" t="str">
        <f>IFERROR(__xludf.DUMMYFUNCTION("""COMPUTED_VALUE"""),"")</f>
        <v/>
      </c>
      <c r="G1115" s="47" t="str">
        <f>IFERROR(__xludf.DUMMYFUNCTION("""COMPUTED_VALUE"""),"")</f>
        <v/>
      </c>
      <c r="H1115" s="47"/>
      <c r="I1115" s="47">
        <f>IFERROR(__xludf.DUMMYFUNCTION("""COMPUTED_VALUE"""),2.0)</f>
        <v>2</v>
      </c>
      <c r="J1115" s="47" t="str">
        <f>IFERROR(__xludf.DUMMYFUNCTION("""COMPUTED_VALUE"""),"https:")</f>
        <v>https:</v>
      </c>
      <c r="K1115" s="78" t="str">
        <f>IFERROR(__xludf.DUMMYFUNCTION("""COMPUTED_VALUE"""),"www.munzee.com")</f>
        <v>www.munzee.com</v>
      </c>
      <c r="L1115" s="47" t="str">
        <f>IFERROR(__xludf.DUMMYFUNCTION("""COMPUTED_VALUE"""),"m")</f>
        <v>m</v>
      </c>
      <c r="M1115" s="47" t="str">
        <f>IFERROR(__xludf.DUMMYFUNCTION("""COMPUTED_VALUE"""),"crscousins")</f>
        <v>crscousins</v>
      </c>
    </row>
    <row r="1116">
      <c r="A1116" s="47" t="str">
        <f>IFERROR(__xludf.DUMMYFUNCTION("""COMPUTED_VALUE"""),"Virtual Raw Sienna")</f>
        <v>Virtual Raw Sienna</v>
      </c>
      <c r="B1116" s="47" t="str">
        <f>IFERROR(__xludf.DUMMYFUNCTION("""COMPUTED_VALUE"""),"Bungle")</f>
        <v>Bungle</v>
      </c>
      <c r="C1116" s="78" t="str">
        <f>IFERROR(__xludf.DUMMYFUNCTION("""COMPUTED_VALUE"""),"https://www.munzee.com/m/Bungle/10528")</f>
        <v>https://www.munzee.com/m/Bungle/10528</v>
      </c>
      <c r="D1116" s="47"/>
      <c r="E1116" s="47" t="b">
        <f>IFERROR(__xludf.DUMMYFUNCTION("""COMPUTED_VALUE"""),TRUE)</f>
        <v>1</v>
      </c>
      <c r="F1116" s="47"/>
      <c r="G1116" s="47" t="str">
        <f>IFERROR(__xludf.DUMMYFUNCTION("""COMPUTED_VALUE"""),"")</f>
        <v/>
      </c>
      <c r="H1116" s="47"/>
      <c r="I1116" s="47">
        <f>IFERROR(__xludf.DUMMYFUNCTION("""COMPUTED_VALUE"""),2.0)</f>
        <v>2</v>
      </c>
      <c r="J1116" s="47" t="str">
        <f>IFERROR(__xludf.DUMMYFUNCTION("""COMPUTED_VALUE"""),"https:")</f>
        <v>https:</v>
      </c>
      <c r="K1116" s="78" t="str">
        <f>IFERROR(__xludf.DUMMYFUNCTION("""COMPUTED_VALUE"""),"www.munzee.com")</f>
        <v>www.munzee.com</v>
      </c>
      <c r="L1116" s="47" t="str">
        <f>IFERROR(__xludf.DUMMYFUNCTION("""COMPUTED_VALUE"""),"m")</f>
        <v>m</v>
      </c>
      <c r="M1116" s="47" t="str">
        <f>IFERROR(__xludf.DUMMYFUNCTION("""COMPUTED_VALUE"""),"Bungle")</f>
        <v>Bungle</v>
      </c>
    </row>
    <row r="1117">
      <c r="A1117" s="47" t="str">
        <f>IFERROR(__xludf.DUMMYFUNCTION("""COMPUTED_VALUE"""),"Virtual Brown")</f>
        <v>Virtual Brown</v>
      </c>
      <c r="B1117" s="47" t="str">
        <f>IFERROR(__xludf.DUMMYFUNCTION("""COMPUTED_VALUE"""),"rita85gto")</f>
        <v>rita85gto</v>
      </c>
      <c r="C1117" s="78" t="str">
        <f>IFERROR(__xludf.DUMMYFUNCTION("""COMPUTED_VALUE"""),"https://www.munzee.com/m/rita85gto/5115/")</f>
        <v>https://www.munzee.com/m/rita85gto/5115/</v>
      </c>
      <c r="D1117" s="47" t="str">
        <f>IFERROR(__xludf.DUMMYFUNCTION("""COMPUTED_VALUE"""),"dep. Aug. '22")</f>
        <v>dep. Aug. '22</v>
      </c>
      <c r="E1117" s="47" t="b">
        <f>IFERROR(__xludf.DUMMYFUNCTION("""COMPUTED_VALUE"""),TRUE)</f>
        <v>1</v>
      </c>
      <c r="F1117" s="47" t="str">
        <f>IFERROR(__xludf.DUMMYFUNCTION("""COMPUTED_VALUE"""),"")</f>
        <v/>
      </c>
      <c r="G1117" s="47" t="str">
        <f>IFERROR(__xludf.DUMMYFUNCTION("""COMPUTED_VALUE"""),"")</f>
        <v/>
      </c>
      <c r="H1117" s="47"/>
      <c r="I1117" s="47">
        <f>IFERROR(__xludf.DUMMYFUNCTION("""COMPUTED_VALUE"""),2.0)</f>
        <v>2</v>
      </c>
      <c r="J1117" s="47" t="str">
        <f>IFERROR(__xludf.DUMMYFUNCTION("""COMPUTED_VALUE"""),"https:")</f>
        <v>https:</v>
      </c>
      <c r="K1117" s="78" t="str">
        <f>IFERROR(__xludf.DUMMYFUNCTION("""COMPUTED_VALUE"""),"www.munzee.com")</f>
        <v>www.munzee.com</v>
      </c>
      <c r="L1117" s="47" t="str">
        <f>IFERROR(__xludf.DUMMYFUNCTION("""COMPUTED_VALUE"""),"m")</f>
        <v>m</v>
      </c>
      <c r="M1117" s="47" t="str">
        <f>IFERROR(__xludf.DUMMYFUNCTION("""COMPUTED_VALUE"""),"rita85gto")</f>
        <v>rita85gto</v>
      </c>
    </row>
    <row r="1118">
      <c r="A1118" s="47" t="str">
        <f>IFERROR(__xludf.DUMMYFUNCTION("""COMPUTED_VALUE"""),"Virtual Brown")</f>
        <v>Virtual Brown</v>
      </c>
      <c r="B1118" s="47"/>
      <c r="C1118" s="47"/>
      <c r="D1118" s="47"/>
      <c r="E1118" s="47" t="b">
        <f>IFERROR(__xludf.DUMMYFUNCTION("""COMPUTED_VALUE"""),FALSE)</f>
        <v>0</v>
      </c>
      <c r="F1118" s="47"/>
      <c r="G1118" s="47" t="str">
        <f>IFERROR(__xludf.DUMMYFUNCTION("""COMPUTED_VALUE"""),"")</f>
        <v/>
      </c>
      <c r="H1118" s="47"/>
      <c r="I1118" s="47">
        <f>IFERROR(__xludf.DUMMYFUNCTION("""COMPUTED_VALUE"""),0.0)</f>
        <v>0</v>
      </c>
      <c r="J1118" s="47" t="str">
        <f>IFERROR(__xludf.DUMMYFUNCTION("""COMPUTED_VALUE"""),"#VALUE!")</f>
        <v>#VALUE!</v>
      </c>
      <c r="K1118" s="47"/>
      <c r="L1118" s="47"/>
      <c r="M1118" s="47"/>
    </row>
    <row r="1119">
      <c r="A1119" s="47" t="str">
        <f>IFERROR(__xludf.DUMMYFUNCTION("""COMPUTED_VALUE"""),"Virtual Raw Sienna")</f>
        <v>Virtual Raw Sienna</v>
      </c>
      <c r="B1119" s="47" t="str">
        <f>IFERROR(__xludf.DUMMYFUNCTION("""COMPUTED_VALUE"""),"Wangotango")</f>
        <v>Wangotango</v>
      </c>
      <c r="C1119" s="78" t="str">
        <f>IFERROR(__xludf.DUMMYFUNCTION("""COMPUTED_VALUE"""),"https://www.munzee.com/m/Wangotango/1369/")</f>
        <v>https://www.munzee.com/m/Wangotango/1369/</v>
      </c>
      <c r="D1119" s="47"/>
      <c r="E1119" s="47" t="b">
        <f>IFERROR(__xludf.DUMMYFUNCTION("""COMPUTED_VALUE"""),TRUE)</f>
        <v>1</v>
      </c>
      <c r="F1119" s="47" t="str">
        <f>IFERROR(__xludf.DUMMYFUNCTION("""COMPUTED_VALUE"""),"")</f>
        <v/>
      </c>
      <c r="G1119" s="47" t="str">
        <f>IFERROR(__xludf.DUMMYFUNCTION("""COMPUTED_VALUE"""),"")</f>
        <v/>
      </c>
      <c r="H1119" s="47"/>
      <c r="I1119" s="47">
        <f>IFERROR(__xludf.DUMMYFUNCTION("""COMPUTED_VALUE"""),2.0)</f>
        <v>2</v>
      </c>
      <c r="J1119" s="47" t="str">
        <f>IFERROR(__xludf.DUMMYFUNCTION("""COMPUTED_VALUE"""),"https:")</f>
        <v>https:</v>
      </c>
      <c r="K1119" s="78" t="str">
        <f>IFERROR(__xludf.DUMMYFUNCTION("""COMPUTED_VALUE"""),"www.munzee.com")</f>
        <v>www.munzee.com</v>
      </c>
      <c r="L1119" s="47" t="str">
        <f>IFERROR(__xludf.DUMMYFUNCTION("""COMPUTED_VALUE"""),"m")</f>
        <v>m</v>
      </c>
      <c r="M1119" s="47" t="str">
        <f>IFERROR(__xludf.DUMMYFUNCTION("""COMPUTED_VALUE"""),"Wangotango")</f>
        <v>Wangotango</v>
      </c>
    </row>
    <row r="1120">
      <c r="A1120" s="47" t="str">
        <f>IFERROR(__xludf.DUMMYFUNCTION("""COMPUTED_VALUE"""),"Virtual Brown")</f>
        <v>Virtual Brown</v>
      </c>
      <c r="B1120" s="47" t="str">
        <f>IFERROR(__xludf.DUMMYFUNCTION("""COMPUTED_VALUE"""),"cbf600")</f>
        <v>cbf600</v>
      </c>
      <c r="C1120" s="78" t="str">
        <f>IFERROR(__xludf.DUMMYFUNCTION("""COMPUTED_VALUE"""),"https://www.munzee.com/m/cbf600/3585/")</f>
        <v>https://www.munzee.com/m/cbf600/3585/</v>
      </c>
      <c r="D1120" s="47"/>
      <c r="E1120" s="47" t="b">
        <f>IFERROR(__xludf.DUMMYFUNCTION("""COMPUTED_VALUE"""),TRUE)</f>
        <v>1</v>
      </c>
      <c r="F1120" s="47" t="str">
        <f>IFERROR(__xludf.DUMMYFUNCTION("""COMPUTED_VALUE"""),"")</f>
        <v/>
      </c>
      <c r="G1120" s="47" t="str">
        <f>IFERROR(__xludf.DUMMYFUNCTION("""COMPUTED_VALUE"""),"")</f>
        <v/>
      </c>
      <c r="H1120" s="47"/>
      <c r="I1120" s="47">
        <f>IFERROR(__xludf.DUMMYFUNCTION("""COMPUTED_VALUE"""),2.0)</f>
        <v>2</v>
      </c>
      <c r="J1120" s="47" t="str">
        <f>IFERROR(__xludf.DUMMYFUNCTION("""COMPUTED_VALUE"""),"https:")</f>
        <v>https:</v>
      </c>
      <c r="K1120" s="78" t="str">
        <f>IFERROR(__xludf.DUMMYFUNCTION("""COMPUTED_VALUE"""),"www.munzee.com")</f>
        <v>www.munzee.com</v>
      </c>
      <c r="L1120" s="47" t="str">
        <f>IFERROR(__xludf.DUMMYFUNCTION("""COMPUTED_VALUE"""),"m")</f>
        <v>m</v>
      </c>
      <c r="M1120" s="47" t="str">
        <f>IFERROR(__xludf.DUMMYFUNCTION("""COMPUTED_VALUE"""),"cbf600")</f>
        <v>cbf600</v>
      </c>
    </row>
    <row r="1121">
      <c r="A1121" s="47" t="str">
        <f>IFERROR(__xludf.DUMMYFUNCTION("""COMPUTED_VALUE"""),"Virtual Raw Sienna")</f>
        <v>Virtual Raw Sienna</v>
      </c>
      <c r="B1121" s="47"/>
      <c r="C1121" s="47"/>
      <c r="D1121" s="47"/>
      <c r="E1121" s="47" t="b">
        <f>IFERROR(__xludf.DUMMYFUNCTION("""COMPUTED_VALUE"""),FALSE)</f>
        <v>0</v>
      </c>
      <c r="F1121" s="47"/>
      <c r="G1121" s="47" t="str">
        <f>IFERROR(__xludf.DUMMYFUNCTION("""COMPUTED_VALUE"""),"")</f>
        <v/>
      </c>
      <c r="H1121" s="47"/>
      <c r="I1121" s="47">
        <f>IFERROR(__xludf.DUMMYFUNCTION("""COMPUTED_VALUE"""),0.0)</f>
        <v>0</v>
      </c>
      <c r="J1121" s="47" t="str">
        <f>IFERROR(__xludf.DUMMYFUNCTION("""COMPUTED_VALUE"""),"#VALUE!")</f>
        <v>#VALUE!</v>
      </c>
      <c r="K1121" s="47"/>
      <c r="L1121" s="47"/>
      <c r="M1121" s="47"/>
    </row>
    <row r="1122">
      <c r="A1122" s="47" t="str">
        <f>IFERROR(__xludf.DUMMYFUNCTION("""COMPUTED_VALUE"""),"Virtual Brown")</f>
        <v>Virtual Brown</v>
      </c>
      <c r="B1122" s="47"/>
      <c r="C1122" s="47"/>
      <c r="D1122" s="47"/>
      <c r="E1122" s="47" t="b">
        <f>IFERROR(__xludf.DUMMYFUNCTION("""COMPUTED_VALUE"""),FALSE)</f>
        <v>0</v>
      </c>
      <c r="F1122" s="47"/>
      <c r="G1122" s="47" t="str">
        <f>IFERROR(__xludf.DUMMYFUNCTION("""COMPUTED_VALUE"""),"")</f>
        <v/>
      </c>
      <c r="H1122" s="47"/>
      <c r="I1122" s="47">
        <f>IFERROR(__xludf.DUMMYFUNCTION("""COMPUTED_VALUE"""),0.0)</f>
        <v>0</v>
      </c>
      <c r="J1122" s="47" t="str">
        <f>IFERROR(__xludf.DUMMYFUNCTION("""COMPUTED_VALUE"""),"#VALUE!")</f>
        <v>#VALUE!</v>
      </c>
      <c r="K1122" s="47"/>
      <c r="L1122" s="47"/>
      <c r="M1122" s="47"/>
    </row>
    <row r="1123">
      <c r="A1123" s="47" t="str">
        <f>IFERROR(__xludf.DUMMYFUNCTION("""COMPUTED_VALUE"""),"Virtual Brown")</f>
        <v>Virtual Brown</v>
      </c>
      <c r="B1123" s="47"/>
      <c r="C1123" s="47"/>
      <c r="D1123" s="47"/>
      <c r="E1123" s="47" t="b">
        <f>IFERROR(__xludf.DUMMYFUNCTION("""COMPUTED_VALUE"""),FALSE)</f>
        <v>0</v>
      </c>
      <c r="F1123" s="47"/>
      <c r="G1123" s="47" t="str">
        <f>IFERROR(__xludf.DUMMYFUNCTION("""COMPUTED_VALUE"""),"")</f>
        <v/>
      </c>
      <c r="H1123" s="47"/>
      <c r="I1123" s="47">
        <f>IFERROR(__xludf.DUMMYFUNCTION("""COMPUTED_VALUE"""),0.0)</f>
        <v>0</v>
      </c>
      <c r="J1123" s="47" t="str">
        <f>IFERROR(__xludf.DUMMYFUNCTION("""COMPUTED_VALUE"""),"#VALUE!")</f>
        <v>#VALUE!</v>
      </c>
      <c r="K1123" s="47"/>
      <c r="L1123" s="47"/>
      <c r="M1123" s="47"/>
    </row>
    <row r="1124">
      <c r="A1124" s="47" t="str">
        <f>IFERROR(__xludf.DUMMYFUNCTION("""COMPUTED_VALUE"""),"Virtual Brown")</f>
        <v>Virtual Brown</v>
      </c>
      <c r="B1124" s="47"/>
      <c r="C1124" s="47"/>
      <c r="D1124" s="47"/>
      <c r="E1124" s="47" t="b">
        <f>IFERROR(__xludf.DUMMYFUNCTION("""COMPUTED_VALUE"""),FALSE)</f>
        <v>0</v>
      </c>
      <c r="F1124" s="47"/>
      <c r="G1124" s="47" t="str">
        <f>IFERROR(__xludf.DUMMYFUNCTION("""COMPUTED_VALUE"""),"")</f>
        <v/>
      </c>
      <c r="H1124" s="47"/>
      <c r="I1124" s="47">
        <f>IFERROR(__xludf.DUMMYFUNCTION("""COMPUTED_VALUE"""),0.0)</f>
        <v>0</v>
      </c>
      <c r="J1124" s="47" t="str">
        <f>IFERROR(__xludf.DUMMYFUNCTION("""COMPUTED_VALUE"""),"#VALUE!")</f>
        <v>#VALUE!</v>
      </c>
      <c r="K1124" s="47"/>
      <c r="L1124" s="47"/>
      <c r="M1124" s="47"/>
    </row>
    <row r="1125">
      <c r="A1125" s="47" t="str">
        <f>IFERROR(__xludf.DUMMYFUNCTION("""COMPUTED_VALUE"""),"Virtual Brown")</f>
        <v>Virtual Brown</v>
      </c>
      <c r="B1125" s="47" t="str">
        <f>IFERROR(__xludf.DUMMYFUNCTION("""COMPUTED_VALUE"""),"whatsoverthere")</f>
        <v>whatsoverthere</v>
      </c>
      <c r="C1125" s="78" t="str">
        <f>IFERROR(__xludf.DUMMYFUNCTION("""COMPUTED_VALUE"""),"https://www.munzee.com/m/Whatsoverthere/8478/")</f>
        <v>https://www.munzee.com/m/Whatsoverthere/8478/</v>
      </c>
      <c r="D1125" s="47"/>
      <c r="E1125" s="47" t="b">
        <f>IFERROR(__xludf.DUMMYFUNCTION("""COMPUTED_VALUE"""),TRUE)</f>
        <v>1</v>
      </c>
      <c r="F1125" s="47" t="str">
        <f>IFERROR(__xludf.DUMMYFUNCTION("""COMPUTED_VALUE"""),"")</f>
        <v/>
      </c>
      <c r="G1125" s="47" t="str">
        <f>IFERROR(__xludf.DUMMYFUNCTION("""COMPUTED_VALUE"""),"")</f>
        <v/>
      </c>
      <c r="H1125" s="47"/>
      <c r="I1125" s="47">
        <f>IFERROR(__xludf.DUMMYFUNCTION("""COMPUTED_VALUE"""),2.0)</f>
        <v>2</v>
      </c>
      <c r="J1125" s="47" t="str">
        <f>IFERROR(__xludf.DUMMYFUNCTION("""COMPUTED_VALUE"""),"https:")</f>
        <v>https:</v>
      </c>
      <c r="K1125" s="78" t="str">
        <f>IFERROR(__xludf.DUMMYFUNCTION("""COMPUTED_VALUE"""),"www.munzee.com")</f>
        <v>www.munzee.com</v>
      </c>
      <c r="L1125" s="47" t="str">
        <f>IFERROR(__xludf.DUMMYFUNCTION("""COMPUTED_VALUE"""),"m")</f>
        <v>m</v>
      </c>
      <c r="M1125" s="47" t="str">
        <f>IFERROR(__xludf.DUMMYFUNCTION("""COMPUTED_VALUE"""),"Whatsoverthere")</f>
        <v>Whatsoverthere</v>
      </c>
    </row>
    <row r="1126">
      <c r="A1126" s="47" t="str">
        <f>IFERROR(__xludf.DUMMYFUNCTION("""COMPUTED_VALUE"""),"Virtual Brown")</f>
        <v>Virtual Brown</v>
      </c>
      <c r="B1126" s="47" t="str">
        <f>IFERROR(__xludf.DUMMYFUNCTION("""COMPUTED_VALUE"""),"Oppresso1983")</f>
        <v>Oppresso1983</v>
      </c>
      <c r="C1126" s="78" t="str">
        <f>IFERROR(__xludf.DUMMYFUNCTION("""COMPUTED_VALUE"""),"https://www.munzee.com/m/Oppresso1983/3845/")</f>
        <v>https://www.munzee.com/m/Oppresso1983/3845/</v>
      </c>
      <c r="D1126" s="47"/>
      <c r="E1126" s="47" t="b">
        <f>IFERROR(__xludf.DUMMYFUNCTION("""COMPUTED_VALUE"""),TRUE)</f>
        <v>1</v>
      </c>
      <c r="F1126" s="47" t="str">
        <f>IFERROR(__xludf.DUMMYFUNCTION("""COMPUTED_VALUE"""),"")</f>
        <v/>
      </c>
      <c r="G1126" s="47" t="str">
        <f>IFERROR(__xludf.DUMMYFUNCTION("""COMPUTED_VALUE"""),"")</f>
        <v/>
      </c>
      <c r="H1126" s="47"/>
      <c r="I1126" s="47">
        <f>IFERROR(__xludf.DUMMYFUNCTION("""COMPUTED_VALUE"""),2.0)</f>
        <v>2</v>
      </c>
      <c r="J1126" s="47" t="str">
        <f>IFERROR(__xludf.DUMMYFUNCTION("""COMPUTED_VALUE"""),"https:")</f>
        <v>https:</v>
      </c>
      <c r="K1126" s="78" t="str">
        <f>IFERROR(__xludf.DUMMYFUNCTION("""COMPUTED_VALUE"""),"www.munzee.com")</f>
        <v>www.munzee.com</v>
      </c>
      <c r="L1126" s="47" t="str">
        <f>IFERROR(__xludf.DUMMYFUNCTION("""COMPUTED_VALUE"""),"m")</f>
        <v>m</v>
      </c>
      <c r="M1126" s="47" t="str">
        <f>IFERROR(__xludf.DUMMYFUNCTION("""COMPUTED_VALUE"""),"Oppresso1983")</f>
        <v>Oppresso1983</v>
      </c>
    </row>
    <row r="1127">
      <c r="A1127" s="47" t="str">
        <f>IFERROR(__xludf.DUMMYFUNCTION("""COMPUTED_VALUE"""),"Virtual Brown")</f>
        <v>Virtual Brown</v>
      </c>
      <c r="B1127" s="47" t="str">
        <f>IFERROR(__xludf.DUMMYFUNCTION("""COMPUTED_VALUE""")," ")</f>
        <v> </v>
      </c>
      <c r="C1127" s="47"/>
      <c r="D1127" s="47"/>
      <c r="E1127" s="47" t="b">
        <f>IFERROR(__xludf.DUMMYFUNCTION("""COMPUTED_VALUE"""),FALSE)</f>
        <v>0</v>
      </c>
      <c r="F1127" s="47"/>
      <c r="G1127" s="47" t="str">
        <f>IFERROR(__xludf.DUMMYFUNCTION("""COMPUTED_VALUE"""),"")</f>
        <v/>
      </c>
      <c r="H1127" s="47"/>
      <c r="I1127" s="47">
        <f>IFERROR(__xludf.DUMMYFUNCTION("""COMPUTED_VALUE"""),0.0)</f>
        <v>0</v>
      </c>
      <c r="J1127" s="47" t="str">
        <f>IFERROR(__xludf.DUMMYFUNCTION("""COMPUTED_VALUE"""),"#VALUE!")</f>
        <v>#VALUE!</v>
      </c>
      <c r="K1127" s="47"/>
      <c r="L1127" s="47"/>
      <c r="M1127" s="47"/>
    </row>
    <row r="1128">
      <c r="A1128" s="47" t="str">
        <f>IFERROR(__xludf.DUMMYFUNCTION("""COMPUTED_VALUE"""),"Virtual Brown")</f>
        <v>Virtual Brown</v>
      </c>
      <c r="B1128" s="47" t="str">
        <f>IFERROR(__xludf.DUMMYFUNCTION("""COMPUTED_VALUE"""),"Bisquick2")</f>
        <v>Bisquick2</v>
      </c>
      <c r="C1128" s="78" t="str">
        <f>IFERROR(__xludf.DUMMYFUNCTION("""COMPUTED_VALUE"""),"https://www.munzee.com/m/Bisquick2/7138/")</f>
        <v>https://www.munzee.com/m/Bisquick2/7138/</v>
      </c>
      <c r="D1128" s="47"/>
      <c r="E1128" s="47" t="b">
        <f>IFERROR(__xludf.DUMMYFUNCTION("""COMPUTED_VALUE"""),TRUE)</f>
        <v>1</v>
      </c>
      <c r="F1128" s="47" t="str">
        <f>IFERROR(__xludf.DUMMYFUNCTION("""COMPUTED_VALUE"""),"")</f>
        <v/>
      </c>
      <c r="G1128" s="47" t="str">
        <f>IFERROR(__xludf.DUMMYFUNCTION("""COMPUTED_VALUE"""),"")</f>
        <v/>
      </c>
      <c r="H1128" s="47"/>
      <c r="I1128" s="47">
        <f>IFERROR(__xludf.DUMMYFUNCTION("""COMPUTED_VALUE"""),2.0)</f>
        <v>2</v>
      </c>
      <c r="J1128" s="47" t="str">
        <f>IFERROR(__xludf.DUMMYFUNCTION("""COMPUTED_VALUE"""),"https:")</f>
        <v>https:</v>
      </c>
      <c r="K1128" s="78" t="str">
        <f>IFERROR(__xludf.DUMMYFUNCTION("""COMPUTED_VALUE"""),"www.munzee.com")</f>
        <v>www.munzee.com</v>
      </c>
      <c r="L1128" s="47" t="str">
        <f>IFERROR(__xludf.DUMMYFUNCTION("""COMPUTED_VALUE"""),"m")</f>
        <v>m</v>
      </c>
      <c r="M1128" s="47" t="str">
        <f>IFERROR(__xludf.DUMMYFUNCTION("""COMPUTED_VALUE"""),"Bisquick2")</f>
        <v>Bisquick2</v>
      </c>
    </row>
    <row r="1129">
      <c r="A1129" s="47" t="str">
        <f>IFERROR(__xludf.DUMMYFUNCTION("""COMPUTED_VALUE"""),"Virtual Raw Sienna")</f>
        <v>Virtual Raw Sienna</v>
      </c>
      <c r="B1129" s="47" t="str">
        <f>IFERROR(__xludf.DUMMYFUNCTION("""COMPUTED_VALUE"""),"whatsoverthere")</f>
        <v>whatsoverthere</v>
      </c>
      <c r="C1129" s="78" t="str">
        <f>IFERROR(__xludf.DUMMYFUNCTION("""COMPUTED_VALUE"""),"https://www.munzee.com/m/Whatsoverthere/8248/")</f>
        <v>https://www.munzee.com/m/Whatsoverthere/8248/</v>
      </c>
      <c r="D1129" s="47"/>
      <c r="E1129" s="47" t="b">
        <f>IFERROR(__xludf.DUMMYFUNCTION("""COMPUTED_VALUE"""),TRUE)</f>
        <v>1</v>
      </c>
      <c r="F1129" s="47" t="str">
        <f>IFERROR(__xludf.DUMMYFUNCTION("""COMPUTED_VALUE"""),"")</f>
        <v/>
      </c>
      <c r="G1129" s="47" t="str">
        <f>IFERROR(__xludf.DUMMYFUNCTION("""COMPUTED_VALUE"""),"")</f>
        <v/>
      </c>
      <c r="H1129" s="47"/>
      <c r="I1129" s="47">
        <f>IFERROR(__xludf.DUMMYFUNCTION("""COMPUTED_VALUE"""),2.0)</f>
        <v>2</v>
      </c>
      <c r="J1129" s="47" t="str">
        <f>IFERROR(__xludf.DUMMYFUNCTION("""COMPUTED_VALUE"""),"https:")</f>
        <v>https:</v>
      </c>
      <c r="K1129" s="78" t="str">
        <f>IFERROR(__xludf.DUMMYFUNCTION("""COMPUTED_VALUE"""),"www.munzee.com")</f>
        <v>www.munzee.com</v>
      </c>
      <c r="L1129" s="47" t="str">
        <f>IFERROR(__xludf.DUMMYFUNCTION("""COMPUTED_VALUE"""),"m")</f>
        <v>m</v>
      </c>
      <c r="M1129" s="47" t="str">
        <f>IFERROR(__xludf.DUMMYFUNCTION("""COMPUTED_VALUE"""),"Whatsoverthere")</f>
        <v>Whatsoverthere</v>
      </c>
    </row>
    <row r="1130">
      <c r="A1130" s="47" t="str">
        <f>IFERROR(__xludf.DUMMYFUNCTION("""COMPUTED_VALUE"""),"Virtual Brown")</f>
        <v>Virtual Brown</v>
      </c>
      <c r="B1130" s="47" t="str">
        <f>IFERROR(__xludf.DUMMYFUNCTION("""COMPUTED_VALUE"""),"Oppresso1983")</f>
        <v>Oppresso1983</v>
      </c>
      <c r="C1130" s="78" t="str">
        <f>IFERROR(__xludf.DUMMYFUNCTION("""COMPUTED_VALUE"""),"https://www.munzee.com/m/Oppresso1983/3782/")</f>
        <v>https://www.munzee.com/m/Oppresso1983/3782/</v>
      </c>
      <c r="D1130" s="47"/>
      <c r="E1130" s="47" t="b">
        <f>IFERROR(__xludf.DUMMYFUNCTION("""COMPUTED_VALUE"""),TRUE)</f>
        <v>1</v>
      </c>
      <c r="F1130" s="47" t="str">
        <f>IFERROR(__xludf.DUMMYFUNCTION("""COMPUTED_VALUE"""),"")</f>
        <v/>
      </c>
      <c r="G1130" s="47" t="str">
        <f>IFERROR(__xludf.DUMMYFUNCTION("""COMPUTED_VALUE"""),"")</f>
        <v/>
      </c>
      <c r="H1130" s="47"/>
      <c r="I1130" s="47">
        <f>IFERROR(__xludf.DUMMYFUNCTION("""COMPUTED_VALUE"""),2.0)</f>
        <v>2</v>
      </c>
      <c r="J1130" s="47" t="str">
        <f>IFERROR(__xludf.DUMMYFUNCTION("""COMPUTED_VALUE"""),"https:")</f>
        <v>https:</v>
      </c>
      <c r="K1130" s="78" t="str">
        <f>IFERROR(__xludf.DUMMYFUNCTION("""COMPUTED_VALUE"""),"www.munzee.com")</f>
        <v>www.munzee.com</v>
      </c>
      <c r="L1130" s="47" t="str">
        <f>IFERROR(__xludf.DUMMYFUNCTION("""COMPUTED_VALUE"""),"m")</f>
        <v>m</v>
      </c>
      <c r="M1130" s="47" t="str">
        <f>IFERROR(__xludf.DUMMYFUNCTION("""COMPUTED_VALUE"""),"Oppresso1983")</f>
        <v>Oppresso1983</v>
      </c>
    </row>
    <row r="1131">
      <c r="A1131" s="47" t="str">
        <f>IFERROR(__xludf.DUMMYFUNCTION("""COMPUTED_VALUE"""),"Virtual Brown")</f>
        <v>Virtual Brown</v>
      </c>
      <c r="B1131" s="47"/>
      <c r="C1131" s="47"/>
      <c r="D1131" s="47"/>
      <c r="E1131" s="47" t="b">
        <f>IFERROR(__xludf.DUMMYFUNCTION("""COMPUTED_VALUE"""),FALSE)</f>
        <v>0</v>
      </c>
      <c r="F1131" s="47"/>
      <c r="G1131" s="47" t="str">
        <f>IFERROR(__xludf.DUMMYFUNCTION("""COMPUTED_VALUE"""),"")</f>
        <v/>
      </c>
      <c r="H1131" s="47"/>
      <c r="I1131" s="47">
        <f>IFERROR(__xludf.DUMMYFUNCTION("""COMPUTED_VALUE"""),0.0)</f>
        <v>0</v>
      </c>
      <c r="J1131" s="47" t="str">
        <f>IFERROR(__xludf.DUMMYFUNCTION("""COMPUTED_VALUE"""),"#VALUE!")</f>
        <v>#VALUE!</v>
      </c>
      <c r="K1131" s="47"/>
      <c r="L1131" s="47"/>
      <c r="M1131" s="47"/>
    </row>
    <row r="1132">
      <c r="A1132" s="47" t="str">
        <f>IFERROR(__xludf.DUMMYFUNCTION("""COMPUTED_VALUE"""),"Virtual Raw Sienna")</f>
        <v>Virtual Raw Sienna</v>
      </c>
      <c r="B1132" s="47" t="str">
        <f>IFERROR(__xludf.DUMMYFUNCTION("""COMPUTED_VALUE"""),"res2100")</f>
        <v>res2100</v>
      </c>
      <c r="C1132" s="78" t="str">
        <f>IFERROR(__xludf.DUMMYFUNCTION("""COMPUTED_VALUE"""),"https://www.munzee.com/m/res2100/872")</f>
        <v>https://www.munzee.com/m/res2100/872</v>
      </c>
      <c r="D1132" s="47"/>
      <c r="E1132" s="47" t="b">
        <f>IFERROR(__xludf.DUMMYFUNCTION("""COMPUTED_VALUE"""),TRUE)</f>
        <v>1</v>
      </c>
      <c r="F1132" s="47" t="str">
        <f>IFERROR(__xludf.DUMMYFUNCTION("""COMPUTED_VALUE"""),"")</f>
        <v/>
      </c>
      <c r="G1132" s="47" t="str">
        <f>IFERROR(__xludf.DUMMYFUNCTION("""COMPUTED_VALUE"""),"")</f>
        <v/>
      </c>
      <c r="H1132" s="47"/>
      <c r="I1132" s="47">
        <f>IFERROR(__xludf.DUMMYFUNCTION("""COMPUTED_VALUE"""),2.0)</f>
        <v>2</v>
      </c>
      <c r="J1132" s="47" t="str">
        <f>IFERROR(__xludf.DUMMYFUNCTION("""COMPUTED_VALUE"""),"https:")</f>
        <v>https:</v>
      </c>
      <c r="K1132" s="78" t="str">
        <f>IFERROR(__xludf.DUMMYFUNCTION("""COMPUTED_VALUE"""),"www.munzee.com")</f>
        <v>www.munzee.com</v>
      </c>
      <c r="L1132" s="47" t="str">
        <f>IFERROR(__xludf.DUMMYFUNCTION("""COMPUTED_VALUE"""),"m")</f>
        <v>m</v>
      </c>
      <c r="M1132" s="47" t="str">
        <f>IFERROR(__xludf.DUMMYFUNCTION("""COMPUTED_VALUE"""),"res2100")</f>
        <v>res2100</v>
      </c>
    </row>
    <row r="1133">
      <c r="A1133" s="47" t="str">
        <f>IFERROR(__xludf.DUMMYFUNCTION("""COMPUTED_VALUE"""),"Virtual Brown")</f>
        <v>Virtual Brown</v>
      </c>
      <c r="B1133" s="47" t="str">
        <f>IFERROR(__xludf.DUMMYFUNCTION("""COMPUTED_VALUE"""),"TheFrog")</f>
        <v>TheFrog</v>
      </c>
      <c r="C1133" s="78" t="str">
        <f>IFERROR(__xludf.DUMMYFUNCTION("""COMPUTED_VALUE"""),"https://www.munzee.com/m/TheFrog/3574/")</f>
        <v>https://www.munzee.com/m/TheFrog/3574/</v>
      </c>
      <c r="D1133" s="47"/>
      <c r="E1133" s="47" t="b">
        <f>IFERROR(__xludf.DUMMYFUNCTION("""COMPUTED_VALUE"""),TRUE)</f>
        <v>1</v>
      </c>
      <c r="F1133" s="47" t="str">
        <f>IFERROR(__xludf.DUMMYFUNCTION("""COMPUTED_VALUE"""),"")</f>
        <v/>
      </c>
      <c r="G1133" s="47" t="str">
        <f>IFERROR(__xludf.DUMMYFUNCTION("""COMPUTED_VALUE"""),"")</f>
        <v/>
      </c>
      <c r="H1133" s="47"/>
      <c r="I1133" s="47">
        <f>IFERROR(__xludf.DUMMYFUNCTION("""COMPUTED_VALUE"""),2.0)</f>
        <v>2</v>
      </c>
      <c r="J1133" s="47" t="str">
        <f>IFERROR(__xludf.DUMMYFUNCTION("""COMPUTED_VALUE"""),"https:")</f>
        <v>https:</v>
      </c>
      <c r="K1133" s="78" t="str">
        <f>IFERROR(__xludf.DUMMYFUNCTION("""COMPUTED_VALUE"""),"www.munzee.com")</f>
        <v>www.munzee.com</v>
      </c>
      <c r="L1133" s="47" t="str">
        <f>IFERROR(__xludf.DUMMYFUNCTION("""COMPUTED_VALUE"""),"m")</f>
        <v>m</v>
      </c>
      <c r="M1133" s="47" t="str">
        <f>IFERROR(__xludf.DUMMYFUNCTION("""COMPUTED_VALUE"""),"TheFrog")</f>
        <v>TheFrog</v>
      </c>
    </row>
    <row r="1134">
      <c r="A1134" s="47" t="str">
        <f>IFERROR(__xludf.DUMMYFUNCTION("""COMPUTED_VALUE"""),"Virtual Brown")</f>
        <v>Virtual Brown</v>
      </c>
      <c r="B1134" s="47" t="str">
        <f>IFERROR(__xludf.DUMMYFUNCTION("""COMPUTED_VALUE"""),"123xilef")</f>
        <v>123xilef</v>
      </c>
      <c r="C1134" s="78" t="str">
        <f>IFERROR(__xludf.DUMMYFUNCTION("""COMPUTED_VALUE"""),"https://www.munzee.com/m/123xilef/13725/")</f>
        <v>https://www.munzee.com/m/123xilef/13725/</v>
      </c>
      <c r="D1134" s="47"/>
      <c r="E1134" s="47" t="b">
        <f>IFERROR(__xludf.DUMMYFUNCTION("""COMPUTED_VALUE"""),TRUE)</f>
        <v>1</v>
      </c>
      <c r="F1134" s="47" t="str">
        <f>IFERROR(__xludf.DUMMYFUNCTION("""COMPUTED_VALUE"""),"")</f>
        <v/>
      </c>
      <c r="G1134" s="47" t="str">
        <f>IFERROR(__xludf.DUMMYFUNCTION("""COMPUTED_VALUE"""),"")</f>
        <v/>
      </c>
      <c r="H1134" s="47"/>
      <c r="I1134" s="47">
        <f>IFERROR(__xludf.DUMMYFUNCTION("""COMPUTED_VALUE"""),2.0)</f>
        <v>2</v>
      </c>
      <c r="J1134" s="47" t="str">
        <f>IFERROR(__xludf.DUMMYFUNCTION("""COMPUTED_VALUE"""),"https:")</f>
        <v>https:</v>
      </c>
      <c r="K1134" s="78" t="str">
        <f>IFERROR(__xludf.DUMMYFUNCTION("""COMPUTED_VALUE"""),"www.munzee.com")</f>
        <v>www.munzee.com</v>
      </c>
      <c r="L1134" s="47" t="str">
        <f>IFERROR(__xludf.DUMMYFUNCTION("""COMPUTED_VALUE"""),"m")</f>
        <v>m</v>
      </c>
      <c r="M1134" s="47" t="str">
        <f>IFERROR(__xludf.DUMMYFUNCTION("""COMPUTED_VALUE"""),"123xilef")</f>
        <v>123xilef</v>
      </c>
    </row>
    <row r="1135">
      <c r="A1135" s="47" t="str">
        <f>IFERROR(__xludf.DUMMYFUNCTION("""COMPUTED_VALUE"""),"Virtual Raw Sienna")</f>
        <v>Virtual Raw Sienna</v>
      </c>
      <c r="B1135" s="47" t="str">
        <f>IFERROR(__xludf.DUMMYFUNCTION("""COMPUTED_VALUE"""),"Ellesche")</f>
        <v>Ellesche</v>
      </c>
      <c r="C1135" s="78" t="str">
        <f>IFERROR(__xludf.DUMMYFUNCTION("""COMPUTED_VALUE"""),"https://www.munzee.com/m/Ellesche/827")</f>
        <v>https://www.munzee.com/m/Ellesche/827</v>
      </c>
      <c r="D1135" s="47"/>
      <c r="E1135" s="47" t="b">
        <f>IFERROR(__xludf.DUMMYFUNCTION("""COMPUTED_VALUE"""),TRUE)</f>
        <v>1</v>
      </c>
      <c r="F1135" s="47" t="str">
        <f>IFERROR(__xludf.DUMMYFUNCTION("""COMPUTED_VALUE"""),"")</f>
        <v/>
      </c>
      <c r="G1135" s="47" t="str">
        <f>IFERROR(__xludf.DUMMYFUNCTION("""COMPUTED_VALUE"""),"")</f>
        <v/>
      </c>
      <c r="H1135" s="47"/>
      <c r="I1135" s="47">
        <f>IFERROR(__xludf.DUMMYFUNCTION("""COMPUTED_VALUE"""),2.0)</f>
        <v>2</v>
      </c>
      <c r="J1135" s="47" t="str">
        <f>IFERROR(__xludf.DUMMYFUNCTION("""COMPUTED_VALUE"""),"https:")</f>
        <v>https:</v>
      </c>
      <c r="K1135" s="78" t="str">
        <f>IFERROR(__xludf.DUMMYFUNCTION("""COMPUTED_VALUE"""),"www.munzee.com")</f>
        <v>www.munzee.com</v>
      </c>
      <c r="L1135" s="47" t="str">
        <f>IFERROR(__xludf.DUMMYFUNCTION("""COMPUTED_VALUE"""),"m")</f>
        <v>m</v>
      </c>
      <c r="M1135" s="47" t="str">
        <f>IFERROR(__xludf.DUMMYFUNCTION("""COMPUTED_VALUE"""),"Ellesche")</f>
        <v>Ellesche</v>
      </c>
    </row>
    <row r="1136">
      <c r="A1136" s="47" t="str">
        <f>IFERROR(__xludf.DUMMYFUNCTION("""COMPUTED_VALUE"""),"Virtual Brown")</f>
        <v>Virtual Brown</v>
      </c>
      <c r="B1136" s="47"/>
      <c r="C1136" s="47"/>
      <c r="D1136" s="47"/>
      <c r="E1136" s="47" t="b">
        <f>IFERROR(__xludf.DUMMYFUNCTION("""COMPUTED_VALUE"""),FALSE)</f>
        <v>0</v>
      </c>
      <c r="F1136" s="47"/>
      <c r="G1136" s="47" t="str">
        <f>IFERROR(__xludf.DUMMYFUNCTION("""COMPUTED_VALUE"""),"")</f>
        <v/>
      </c>
      <c r="H1136" s="47"/>
      <c r="I1136" s="47">
        <f>IFERROR(__xludf.DUMMYFUNCTION("""COMPUTED_VALUE"""),0.0)</f>
        <v>0</v>
      </c>
      <c r="J1136" s="47" t="str">
        <f>IFERROR(__xludf.DUMMYFUNCTION("""COMPUTED_VALUE"""),"#VALUE!")</f>
        <v>#VALUE!</v>
      </c>
      <c r="K1136" s="47"/>
      <c r="L1136" s="47"/>
      <c r="M1136" s="47"/>
    </row>
    <row r="1137">
      <c r="A1137" s="47" t="str">
        <f>IFERROR(__xludf.DUMMYFUNCTION("""COMPUTED_VALUE"""),"Virtual Brown")</f>
        <v>Virtual Brown</v>
      </c>
      <c r="B1137" s="47"/>
      <c r="C1137" s="47"/>
      <c r="D1137" s="47"/>
      <c r="E1137" s="47" t="b">
        <f>IFERROR(__xludf.DUMMYFUNCTION("""COMPUTED_VALUE"""),FALSE)</f>
        <v>0</v>
      </c>
      <c r="F1137" s="47"/>
      <c r="G1137" s="47" t="str">
        <f>IFERROR(__xludf.DUMMYFUNCTION("""COMPUTED_VALUE"""),"")</f>
        <v/>
      </c>
      <c r="H1137" s="47"/>
      <c r="I1137" s="47">
        <f>IFERROR(__xludf.DUMMYFUNCTION("""COMPUTED_VALUE"""),0.0)</f>
        <v>0</v>
      </c>
      <c r="J1137" s="47" t="str">
        <f>IFERROR(__xludf.DUMMYFUNCTION("""COMPUTED_VALUE"""),"#VALUE!")</f>
        <v>#VALUE!</v>
      </c>
      <c r="K1137" s="47"/>
      <c r="L1137" s="47"/>
      <c r="M1137" s="47"/>
    </row>
    <row r="1138">
      <c r="A1138" s="47" t="str">
        <f>IFERROR(__xludf.DUMMYFUNCTION("""COMPUTED_VALUE"""),"Virtual Brown")</f>
        <v>Virtual Brown</v>
      </c>
      <c r="B1138" s="47"/>
      <c r="C1138" s="47"/>
      <c r="D1138" s="47"/>
      <c r="E1138" s="47" t="b">
        <f>IFERROR(__xludf.DUMMYFUNCTION("""COMPUTED_VALUE"""),FALSE)</f>
        <v>0</v>
      </c>
      <c r="F1138" s="47"/>
      <c r="G1138" s="47" t="str">
        <f>IFERROR(__xludf.DUMMYFUNCTION("""COMPUTED_VALUE"""),"")</f>
        <v/>
      </c>
      <c r="H1138" s="47"/>
      <c r="I1138" s="47">
        <f>IFERROR(__xludf.DUMMYFUNCTION("""COMPUTED_VALUE"""),0.0)</f>
        <v>0</v>
      </c>
      <c r="J1138" s="47" t="str">
        <f>IFERROR(__xludf.DUMMYFUNCTION("""COMPUTED_VALUE"""),"#VALUE!")</f>
        <v>#VALUE!</v>
      </c>
      <c r="K1138" s="47"/>
      <c r="L1138" s="47"/>
      <c r="M1138" s="47"/>
    </row>
    <row r="1139">
      <c r="A1139" s="47" t="str">
        <f>IFERROR(__xludf.DUMMYFUNCTION("""COMPUTED_VALUE"""),"Virtual Brown")</f>
        <v>Virtual Brown</v>
      </c>
      <c r="B1139" s="47"/>
      <c r="C1139" s="47"/>
      <c r="D1139" s="47"/>
      <c r="E1139" s="47" t="b">
        <f>IFERROR(__xludf.DUMMYFUNCTION("""COMPUTED_VALUE"""),FALSE)</f>
        <v>0</v>
      </c>
      <c r="F1139" s="47"/>
      <c r="G1139" s="47" t="str">
        <f>IFERROR(__xludf.DUMMYFUNCTION("""COMPUTED_VALUE"""),"")</f>
        <v/>
      </c>
      <c r="H1139" s="47"/>
      <c r="I1139" s="47">
        <f>IFERROR(__xludf.DUMMYFUNCTION("""COMPUTED_VALUE"""),0.0)</f>
        <v>0</v>
      </c>
      <c r="J1139" s="47" t="str">
        <f>IFERROR(__xludf.DUMMYFUNCTION("""COMPUTED_VALUE"""),"#VALUE!")</f>
        <v>#VALUE!</v>
      </c>
      <c r="K1139" s="47"/>
      <c r="L1139" s="47"/>
      <c r="M1139" s="47"/>
    </row>
    <row r="1140">
      <c r="A1140" s="47" t="str">
        <f>IFERROR(__xludf.DUMMYFUNCTION("""COMPUTED_VALUE"""),"Virtual Brown")</f>
        <v>Virtual Brown</v>
      </c>
      <c r="B1140" s="47" t="str">
        <f>IFERROR(__xludf.DUMMYFUNCTION("""COMPUTED_VALUE"""),"mortonfox")</f>
        <v>mortonfox</v>
      </c>
      <c r="C1140" s="78" t="str">
        <f>IFERROR(__xludf.DUMMYFUNCTION("""COMPUTED_VALUE"""),"https://www.munzee.com/m/mortonfox/22766/")</f>
        <v>https://www.munzee.com/m/mortonfox/22766/</v>
      </c>
      <c r="D1140" s="47"/>
      <c r="E1140" s="47" t="b">
        <f>IFERROR(__xludf.DUMMYFUNCTION("""COMPUTED_VALUE"""),TRUE)</f>
        <v>1</v>
      </c>
      <c r="F1140" s="47" t="str">
        <f>IFERROR(__xludf.DUMMYFUNCTION("""COMPUTED_VALUE"""),"")</f>
        <v/>
      </c>
      <c r="G1140" s="47" t="str">
        <f>IFERROR(__xludf.DUMMYFUNCTION("""COMPUTED_VALUE"""),"")</f>
        <v/>
      </c>
      <c r="H1140" s="47"/>
      <c r="I1140" s="47">
        <f>IFERROR(__xludf.DUMMYFUNCTION("""COMPUTED_VALUE"""),2.0)</f>
        <v>2</v>
      </c>
      <c r="J1140" s="47" t="str">
        <f>IFERROR(__xludf.DUMMYFUNCTION("""COMPUTED_VALUE"""),"https:")</f>
        <v>https:</v>
      </c>
      <c r="K1140" s="78" t="str">
        <f>IFERROR(__xludf.DUMMYFUNCTION("""COMPUTED_VALUE"""),"www.munzee.com")</f>
        <v>www.munzee.com</v>
      </c>
      <c r="L1140" s="47" t="str">
        <f>IFERROR(__xludf.DUMMYFUNCTION("""COMPUTED_VALUE"""),"m")</f>
        <v>m</v>
      </c>
      <c r="M1140" s="47" t="str">
        <f>IFERROR(__xludf.DUMMYFUNCTION("""COMPUTED_VALUE"""),"mortonfox")</f>
        <v>mortonfox</v>
      </c>
    </row>
    <row r="1141">
      <c r="A1141" s="47" t="str">
        <f>IFERROR(__xludf.DUMMYFUNCTION("""COMPUTED_VALUE"""),"Virtual Brown")</f>
        <v>Virtual Brown</v>
      </c>
      <c r="B1141" s="47"/>
      <c r="C1141" s="47"/>
      <c r="D1141" s="47"/>
      <c r="E1141" s="47" t="b">
        <f>IFERROR(__xludf.DUMMYFUNCTION("""COMPUTED_VALUE"""),FALSE)</f>
        <v>0</v>
      </c>
      <c r="F1141" s="47"/>
      <c r="G1141" s="47" t="str">
        <f>IFERROR(__xludf.DUMMYFUNCTION("""COMPUTED_VALUE"""),"")</f>
        <v/>
      </c>
      <c r="H1141" s="47"/>
      <c r="I1141" s="47">
        <f>IFERROR(__xludf.DUMMYFUNCTION("""COMPUTED_VALUE"""),0.0)</f>
        <v>0</v>
      </c>
      <c r="J1141" s="47" t="str">
        <f>IFERROR(__xludf.DUMMYFUNCTION("""COMPUTED_VALUE"""),"#VALUE!")</f>
        <v>#VALUE!</v>
      </c>
      <c r="K1141" s="47"/>
      <c r="L1141" s="47"/>
      <c r="M1141" s="47"/>
    </row>
    <row r="1142">
      <c r="A1142" s="47" t="str">
        <f>IFERROR(__xludf.DUMMYFUNCTION("""COMPUTED_VALUE"""),"Virtual Raw Sienna")</f>
        <v>Virtual Raw Sienna</v>
      </c>
      <c r="B1142" s="47" t="str">
        <f>IFERROR(__xludf.DUMMYFUNCTION("""COMPUTED_VALUE"""),"raunas")</f>
        <v>raunas</v>
      </c>
      <c r="C1142" s="78" t="str">
        <f>IFERROR(__xludf.DUMMYFUNCTION("""COMPUTED_VALUE"""),"https://www.munzee.com/m/raunas/12671")</f>
        <v>https://www.munzee.com/m/raunas/12671</v>
      </c>
      <c r="D1142" s="47"/>
      <c r="E1142" s="47" t="b">
        <f>IFERROR(__xludf.DUMMYFUNCTION("""COMPUTED_VALUE"""),TRUE)</f>
        <v>1</v>
      </c>
      <c r="F1142" s="47"/>
      <c r="G1142" s="47" t="str">
        <f>IFERROR(__xludf.DUMMYFUNCTION("""COMPUTED_VALUE"""),"")</f>
        <v/>
      </c>
      <c r="H1142" s="47"/>
      <c r="I1142" s="47">
        <f>IFERROR(__xludf.DUMMYFUNCTION("""COMPUTED_VALUE"""),2.0)</f>
        <v>2</v>
      </c>
      <c r="J1142" s="47" t="str">
        <f>IFERROR(__xludf.DUMMYFUNCTION("""COMPUTED_VALUE"""),"https:")</f>
        <v>https:</v>
      </c>
      <c r="K1142" s="78" t="str">
        <f>IFERROR(__xludf.DUMMYFUNCTION("""COMPUTED_VALUE"""),"www.munzee.com")</f>
        <v>www.munzee.com</v>
      </c>
      <c r="L1142" s="47" t="str">
        <f>IFERROR(__xludf.DUMMYFUNCTION("""COMPUTED_VALUE"""),"m")</f>
        <v>m</v>
      </c>
      <c r="M1142" s="47" t="str">
        <f>IFERROR(__xludf.DUMMYFUNCTION("""COMPUTED_VALUE"""),"raunas")</f>
        <v>raunas</v>
      </c>
    </row>
    <row r="1143">
      <c r="A1143" s="47" t="str">
        <f>IFERROR(__xludf.DUMMYFUNCTION("""COMPUTED_VALUE"""),"Virtual Raw Sienna")</f>
        <v>Virtual Raw Sienna</v>
      </c>
      <c r="B1143" s="47" t="str">
        <f>IFERROR(__xludf.DUMMYFUNCTION("""COMPUTED_VALUE"""),"barefootguru")</f>
        <v>barefootguru</v>
      </c>
      <c r="C1143" s="78" t="str">
        <f>IFERROR(__xludf.DUMMYFUNCTION("""COMPUTED_VALUE"""),"https://www.munzee.com/m/barefootguru/3398/")</f>
        <v>https://www.munzee.com/m/barefootguru/3398/</v>
      </c>
      <c r="D1143" s="47"/>
      <c r="E1143" s="47" t="b">
        <f>IFERROR(__xludf.DUMMYFUNCTION("""COMPUTED_VALUE"""),TRUE)</f>
        <v>1</v>
      </c>
      <c r="F1143" s="47" t="str">
        <f>IFERROR(__xludf.DUMMYFUNCTION("""COMPUTED_VALUE"""),"")</f>
        <v/>
      </c>
      <c r="G1143" s="47" t="str">
        <f>IFERROR(__xludf.DUMMYFUNCTION("""COMPUTED_VALUE"""),"")</f>
        <v/>
      </c>
      <c r="H1143" s="47"/>
      <c r="I1143" s="47">
        <f>IFERROR(__xludf.DUMMYFUNCTION("""COMPUTED_VALUE"""),2.0)</f>
        <v>2</v>
      </c>
      <c r="J1143" s="47" t="str">
        <f>IFERROR(__xludf.DUMMYFUNCTION("""COMPUTED_VALUE"""),"https:")</f>
        <v>https:</v>
      </c>
      <c r="K1143" s="78" t="str">
        <f>IFERROR(__xludf.DUMMYFUNCTION("""COMPUTED_VALUE"""),"www.munzee.com")</f>
        <v>www.munzee.com</v>
      </c>
      <c r="L1143" s="47" t="str">
        <f>IFERROR(__xludf.DUMMYFUNCTION("""COMPUTED_VALUE"""),"m")</f>
        <v>m</v>
      </c>
      <c r="M1143" s="47" t="str">
        <f>IFERROR(__xludf.DUMMYFUNCTION("""COMPUTED_VALUE"""),"barefootguru")</f>
        <v>barefootguru</v>
      </c>
    </row>
    <row r="1144">
      <c r="A1144" s="47" t="str">
        <f>IFERROR(__xludf.DUMMYFUNCTION("""COMPUTED_VALUE"""),"Virtual Brown")</f>
        <v>Virtual Brown</v>
      </c>
      <c r="B1144" s="47" t="str">
        <f>IFERROR(__xludf.DUMMYFUNCTION("""COMPUTED_VALUE"""),"whatsoverthere")</f>
        <v>whatsoverthere</v>
      </c>
      <c r="C1144" s="78" t="str">
        <f>IFERROR(__xludf.DUMMYFUNCTION("""COMPUTED_VALUE"""),"https://www.munzee.com/m/Whatsoverthere/8114/")</f>
        <v>https://www.munzee.com/m/Whatsoverthere/8114/</v>
      </c>
      <c r="D1144" s="47"/>
      <c r="E1144" s="47" t="b">
        <f>IFERROR(__xludf.DUMMYFUNCTION("""COMPUTED_VALUE"""),TRUE)</f>
        <v>1</v>
      </c>
      <c r="F1144" s="47" t="str">
        <f>IFERROR(__xludf.DUMMYFUNCTION("""COMPUTED_VALUE"""),"")</f>
        <v/>
      </c>
      <c r="G1144" s="47" t="str">
        <f>IFERROR(__xludf.DUMMYFUNCTION("""COMPUTED_VALUE"""),"")</f>
        <v/>
      </c>
      <c r="H1144" s="47"/>
      <c r="I1144" s="47">
        <f>IFERROR(__xludf.DUMMYFUNCTION("""COMPUTED_VALUE"""),2.0)</f>
        <v>2</v>
      </c>
      <c r="J1144" s="47" t="str">
        <f>IFERROR(__xludf.DUMMYFUNCTION("""COMPUTED_VALUE"""),"https:")</f>
        <v>https:</v>
      </c>
      <c r="K1144" s="78" t="str">
        <f>IFERROR(__xludf.DUMMYFUNCTION("""COMPUTED_VALUE"""),"www.munzee.com")</f>
        <v>www.munzee.com</v>
      </c>
      <c r="L1144" s="47" t="str">
        <f>IFERROR(__xludf.DUMMYFUNCTION("""COMPUTED_VALUE"""),"m")</f>
        <v>m</v>
      </c>
      <c r="M1144" s="47" t="str">
        <f>IFERROR(__xludf.DUMMYFUNCTION("""COMPUTED_VALUE"""),"Whatsoverthere")</f>
        <v>Whatsoverthere</v>
      </c>
    </row>
    <row r="1145">
      <c r="A1145" s="47" t="str">
        <f>IFERROR(__xludf.DUMMYFUNCTION("""COMPUTED_VALUE"""),"Virtual Brown")</f>
        <v>Virtual Brown</v>
      </c>
      <c r="B1145" s="47" t="str">
        <f>IFERROR(__xludf.DUMMYFUNCTION("""COMPUTED_VALUE"""),"belladivadee")</f>
        <v>belladivadee</v>
      </c>
      <c r="C1145" s="78" t="str">
        <f>IFERROR(__xludf.DUMMYFUNCTION("""COMPUTED_VALUE"""),"https://www.munzee.com/m/belladivadee/3765/")</f>
        <v>https://www.munzee.com/m/belladivadee/3765/</v>
      </c>
      <c r="D1145" s="47"/>
      <c r="E1145" s="47" t="b">
        <f>IFERROR(__xludf.DUMMYFUNCTION("""COMPUTED_VALUE"""),TRUE)</f>
        <v>1</v>
      </c>
      <c r="F1145" s="47" t="str">
        <f>IFERROR(__xludf.DUMMYFUNCTION("""COMPUTED_VALUE"""),"")</f>
        <v/>
      </c>
      <c r="G1145" s="47" t="str">
        <f>IFERROR(__xludf.DUMMYFUNCTION("""COMPUTED_VALUE"""),"")</f>
        <v/>
      </c>
      <c r="H1145" s="47"/>
      <c r="I1145" s="47">
        <f>IFERROR(__xludf.DUMMYFUNCTION("""COMPUTED_VALUE"""),2.0)</f>
        <v>2</v>
      </c>
      <c r="J1145" s="47" t="str">
        <f>IFERROR(__xludf.DUMMYFUNCTION("""COMPUTED_VALUE"""),"https:")</f>
        <v>https:</v>
      </c>
      <c r="K1145" s="78" t="str">
        <f>IFERROR(__xludf.DUMMYFUNCTION("""COMPUTED_VALUE"""),"www.munzee.com")</f>
        <v>www.munzee.com</v>
      </c>
      <c r="L1145" s="47" t="str">
        <f>IFERROR(__xludf.DUMMYFUNCTION("""COMPUTED_VALUE"""),"m")</f>
        <v>m</v>
      </c>
      <c r="M1145" s="47" t="str">
        <f>IFERROR(__xludf.DUMMYFUNCTION("""COMPUTED_VALUE"""),"belladivadee")</f>
        <v>belladivadee</v>
      </c>
    </row>
    <row r="1146">
      <c r="A1146" s="47" t="str">
        <f>IFERROR(__xludf.DUMMYFUNCTION("""COMPUTED_VALUE"""),"Virtual Brown")</f>
        <v>Virtual Brown</v>
      </c>
      <c r="B1146" s="47" t="str">
        <f>IFERROR(__xludf.DUMMYFUNCTION("""COMPUTED_VALUE"""),"sverlaan")</f>
        <v>sverlaan</v>
      </c>
      <c r="C1146" s="78" t="str">
        <f>IFERROR(__xludf.DUMMYFUNCTION("""COMPUTED_VALUE"""),"https://www.munzee.com/m/sverlaan/6306/")</f>
        <v>https://www.munzee.com/m/sverlaan/6306/</v>
      </c>
      <c r="D1146" s="47"/>
      <c r="E1146" s="47" t="b">
        <f>IFERROR(__xludf.DUMMYFUNCTION("""COMPUTED_VALUE"""),TRUE)</f>
        <v>1</v>
      </c>
      <c r="F1146" s="47" t="str">
        <f>IFERROR(__xludf.DUMMYFUNCTION("""COMPUTED_VALUE"""),"")</f>
        <v/>
      </c>
      <c r="G1146" s="47" t="str">
        <f>IFERROR(__xludf.DUMMYFUNCTION("""COMPUTED_VALUE"""),"")</f>
        <v/>
      </c>
      <c r="H1146" s="47"/>
      <c r="I1146" s="47">
        <f>IFERROR(__xludf.DUMMYFUNCTION("""COMPUTED_VALUE"""),2.0)</f>
        <v>2</v>
      </c>
      <c r="J1146" s="47" t="str">
        <f>IFERROR(__xludf.DUMMYFUNCTION("""COMPUTED_VALUE"""),"https:")</f>
        <v>https:</v>
      </c>
      <c r="K1146" s="78" t="str">
        <f>IFERROR(__xludf.DUMMYFUNCTION("""COMPUTED_VALUE"""),"www.munzee.com")</f>
        <v>www.munzee.com</v>
      </c>
      <c r="L1146" s="47" t="str">
        <f>IFERROR(__xludf.DUMMYFUNCTION("""COMPUTED_VALUE"""),"m")</f>
        <v>m</v>
      </c>
      <c r="M1146" s="47" t="str">
        <f>IFERROR(__xludf.DUMMYFUNCTION("""COMPUTED_VALUE"""),"sverlaan")</f>
        <v>sverlaan</v>
      </c>
    </row>
    <row r="1147">
      <c r="A1147" s="47" t="str">
        <f>IFERROR(__xludf.DUMMYFUNCTION("""COMPUTED_VALUE"""),"Virtual Raw Sienna")</f>
        <v>Virtual Raw Sienna</v>
      </c>
      <c r="B1147" s="47" t="str">
        <f>IFERROR(__xludf.DUMMYFUNCTION("""COMPUTED_VALUE"""),"emilep68")</f>
        <v>emilep68</v>
      </c>
      <c r="C1147" s="78" t="str">
        <f>IFERROR(__xludf.DUMMYFUNCTION("""COMPUTED_VALUE"""),"https://www.munzee.com/m/EmileP68/5153/")</f>
        <v>https://www.munzee.com/m/EmileP68/5153/</v>
      </c>
      <c r="D1147" s="47"/>
      <c r="E1147" s="47" t="b">
        <f>IFERROR(__xludf.DUMMYFUNCTION("""COMPUTED_VALUE"""),TRUE)</f>
        <v>1</v>
      </c>
      <c r="F1147" s="47" t="str">
        <f>IFERROR(__xludf.DUMMYFUNCTION("""COMPUTED_VALUE"""),"")</f>
        <v/>
      </c>
      <c r="G1147" s="47" t="str">
        <f>IFERROR(__xludf.DUMMYFUNCTION("""COMPUTED_VALUE"""),"")</f>
        <v/>
      </c>
      <c r="H1147" s="47"/>
      <c r="I1147" s="47">
        <f>IFERROR(__xludf.DUMMYFUNCTION("""COMPUTED_VALUE"""),2.0)</f>
        <v>2</v>
      </c>
      <c r="J1147" s="47" t="str">
        <f>IFERROR(__xludf.DUMMYFUNCTION("""COMPUTED_VALUE"""),"https:")</f>
        <v>https:</v>
      </c>
      <c r="K1147" s="78" t="str">
        <f>IFERROR(__xludf.DUMMYFUNCTION("""COMPUTED_VALUE"""),"www.munzee.com")</f>
        <v>www.munzee.com</v>
      </c>
      <c r="L1147" s="47" t="str">
        <f>IFERROR(__xludf.DUMMYFUNCTION("""COMPUTED_VALUE"""),"m")</f>
        <v>m</v>
      </c>
      <c r="M1147" s="47" t="str">
        <f>IFERROR(__xludf.DUMMYFUNCTION("""COMPUTED_VALUE"""),"EmileP68")</f>
        <v>EmileP68</v>
      </c>
    </row>
    <row r="1148">
      <c r="A1148" s="47" t="str">
        <f>IFERROR(__xludf.DUMMYFUNCTION("""COMPUTED_VALUE"""),"Virtual Raw Sienna")</f>
        <v>Virtual Raw Sienna</v>
      </c>
      <c r="B1148" s="47" t="str">
        <f>IFERROR(__xludf.DUMMYFUNCTION("""COMPUTED_VALUE"""),"pawpatrolthomas")</f>
        <v>pawpatrolthomas</v>
      </c>
      <c r="C1148" s="78" t="str">
        <f>IFERROR(__xludf.DUMMYFUNCTION("""COMPUTED_VALUE"""),"https://www.munzee.com/m/PawPatrolThomas/4323/")</f>
        <v>https://www.munzee.com/m/PawPatrolThomas/4323/</v>
      </c>
      <c r="D1148" s="47"/>
      <c r="E1148" s="47" t="b">
        <f>IFERROR(__xludf.DUMMYFUNCTION("""COMPUTED_VALUE"""),TRUE)</f>
        <v>1</v>
      </c>
      <c r="F1148" s="47" t="str">
        <f>IFERROR(__xludf.DUMMYFUNCTION("""COMPUTED_VALUE"""),"")</f>
        <v/>
      </c>
      <c r="G1148" s="47" t="str">
        <f>IFERROR(__xludf.DUMMYFUNCTION("""COMPUTED_VALUE"""),"")</f>
        <v/>
      </c>
      <c r="H1148" s="47"/>
      <c r="I1148" s="47">
        <f>IFERROR(__xludf.DUMMYFUNCTION("""COMPUTED_VALUE"""),2.0)</f>
        <v>2</v>
      </c>
      <c r="J1148" s="47" t="str">
        <f>IFERROR(__xludf.DUMMYFUNCTION("""COMPUTED_VALUE"""),"https:")</f>
        <v>https:</v>
      </c>
      <c r="K1148" s="78" t="str">
        <f>IFERROR(__xludf.DUMMYFUNCTION("""COMPUTED_VALUE"""),"www.munzee.com")</f>
        <v>www.munzee.com</v>
      </c>
      <c r="L1148" s="47" t="str">
        <f>IFERROR(__xludf.DUMMYFUNCTION("""COMPUTED_VALUE"""),"m")</f>
        <v>m</v>
      </c>
      <c r="M1148" s="47" t="str">
        <f>IFERROR(__xludf.DUMMYFUNCTION("""COMPUTED_VALUE"""),"PawPatrolThomas")</f>
        <v>PawPatrolThomas</v>
      </c>
    </row>
    <row r="1149">
      <c r="A1149" s="47" t="str">
        <f>IFERROR(__xludf.DUMMYFUNCTION("""COMPUTED_VALUE"""),"Virtual Brown")</f>
        <v>Virtual Brown</v>
      </c>
      <c r="B1149" s="47" t="str">
        <f>IFERROR(__xludf.DUMMYFUNCTION("""COMPUTED_VALUE"""),"BrotherWilliam")</f>
        <v>BrotherWilliam</v>
      </c>
      <c r="C1149" s="78" t="str">
        <f>IFERROR(__xludf.DUMMYFUNCTION("""COMPUTED_VALUE"""),"https://www.munzee.com/m/BrotherWilliam/5234/")</f>
        <v>https://www.munzee.com/m/BrotherWilliam/5234/</v>
      </c>
      <c r="D1149" s="47"/>
      <c r="E1149" s="47" t="b">
        <f>IFERROR(__xludf.DUMMYFUNCTION("""COMPUTED_VALUE"""),TRUE)</f>
        <v>1</v>
      </c>
      <c r="F1149" s="47" t="str">
        <f>IFERROR(__xludf.DUMMYFUNCTION("""COMPUTED_VALUE"""),"")</f>
        <v/>
      </c>
      <c r="G1149" s="47" t="str">
        <f>IFERROR(__xludf.DUMMYFUNCTION("""COMPUTED_VALUE"""),"")</f>
        <v/>
      </c>
      <c r="H1149" s="47"/>
      <c r="I1149" s="47">
        <f>IFERROR(__xludf.DUMMYFUNCTION("""COMPUTED_VALUE"""),2.0)</f>
        <v>2</v>
      </c>
      <c r="J1149" s="47" t="str">
        <f>IFERROR(__xludf.DUMMYFUNCTION("""COMPUTED_VALUE"""),"https:")</f>
        <v>https:</v>
      </c>
      <c r="K1149" s="78" t="str">
        <f>IFERROR(__xludf.DUMMYFUNCTION("""COMPUTED_VALUE"""),"www.munzee.com")</f>
        <v>www.munzee.com</v>
      </c>
      <c r="L1149" s="47" t="str">
        <f>IFERROR(__xludf.DUMMYFUNCTION("""COMPUTED_VALUE"""),"m")</f>
        <v>m</v>
      </c>
      <c r="M1149" s="47" t="str">
        <f>IFERROR(__xludf.DUMMYFUNCTION("""COMPUTED_VALUE"""),"BrotherWilliam")</f>
        <v>BrotherWilliam</v>
      </c>
    </row>
    <row r="1150">
      <c r="A1150" s="47" t="str">
        <f>IFERROR(__xludf.DUMMYFUNCTION("""COMPUTED_VALUE"""),"Virtual Brown")</f>
        <v>Virtual Brown</v>
      </c>
      <c r="B1150" s="47" t="str">
        <f>IFERROR(__xludf.DUMMYFUNCTION("""COMPUTED_VALUE"""),"ArtofEco")</f>
        <v>ArtofEco</v>
      </c>
      <c r="C1150" s="78" t="str">
        <f>IFERROR(__xludf.DUMMYFUNCTION("""COMPUTED_VALUE"""),"https://www.munzee.com/m/ArtofEco/3541/")</f>
        <v>https://www.munzee.com/m/ArtofEco/3541/</v>
      </c>
      <c r="D1150" s="47"/>
      <c r="E1150" s="47" t="b">
        <f>IFERROR(__xludf.DUMMYFUNCTION("""COMPUTED_VALUE"""),TRUE)</f>
        <v>1</v>
      </c>
      <c r="F1150" s="47" t="str">
        <f>IFERROR(__xludf.DUMMYFUNCTION("""COMPUTED_VALUE"""),"")</f>
        <v/>
      </c>
      <c r="G1150" s="47" t="str">
        <f>IFERROR(__xludf.DUMMYFUNCTION("""COMPUTED_VALUE"""),"")</f>
        <v/>
      </c>
      <c r="H1150" s="47"/>
      <c r="I1150" s="47">
        <f>IFERROR(__xludf.DUMMYFUNCTION("""COMPUTED_VALUE"""),2.0)</f>
        <v>2</v>
      </c>
      <c r="J1150" s="47" t="str">
        <f>IFERROR(__xludf.DUMMYFUNCTION("""COMPUTED_VALUE"""),"https:")</f>
        <v>https:</v>
      </c>
      <c r="K1150" s="78" t="str">
        <f>IFERROR(__xludf.DUMMYFUNCTION("""COMPUTED_VALUE"""),"www.munzee.com")</f>
        <v>www.munzee.com</v>
      </c>
      <c r="L1150" s="47" t="str">
        <f>IFERROR(__xludf.DUMMYFUNCTION("""COMPUTED_VALUE"""),"m")</f>
        <v>m</v>
      </c>
      <c r="M1150" s="47" t="str">
        <f>IFERROR(__xludf.DUMMYFUNCTION("""COMPUTED_VALUE"""),"ArtofEco")</f>
        <v>ArtofEco</v>
      </c>
    </row>
    <row r="1151">
      <c r="A1151" s="47" t="str">
        <f>IFERROR(__xludf.DUMMYFUNCTION("""COMPUTED_VALUE"""),"Virtual Brown")</f>
        <v>Virtual Brown</v>
      </c>
      <c r="B1151" s="47" t="str">
        <f>IFERROR(__xludf.DUMMYFUNCTION("""COMPUTED_VALUE"""),"J1Huisman")</f>
        <v>J1Huisman</v>
      </c>
      <c r="C1151" s="78" t="str">
        <f>IFERROR(__xludf.DUMMYFUNCTION("""COMPUTED_VALUE"""),"https://www.munzee.com/m/J1Huisman/14314/")</f>
        <v>https://www.munzee.com/m/J1Huisman/14314/</v>
      </c>
      <c r="D1151" s="47"/>
      <c r="E1151" s="47" t="b">
        <f>IFERROR(__xludf.DUMMYFUNCTION("""COMPUTED_VALUE"""),TRUE)</f>
        <v>1</v>
      </c>
      <c r="F1151" s="47" t="str">
        <f>IFERROR(__xludf.DUMMYFUNCTION("""COMPUTED_VALUE"""),"")</f>
        <v/>
      </c>
      <c r="G1151" s="47" t="str">
        <f>IFERROR(__xludf.DUMMYFUNCTION("""COMPUTED_VALUE"""),"")</f>
        <v/>
      </c>
      <c r="H1151" s="47"/>
      <c r="I1151" s="47">
        <f>IFERROR(__xludf.DUMMYFUNCTION("""COMPUTED_VALUE"""),2.0)</f>
        <v>2</v>
      </c>
      <c r="J1151" s="47" t="str">
        <f>IFERROR(__xludf.DUMMYFUNCTION("""COMPUTED_VALUE"""),"https:")</f>
        <v>https:</v>
      </c>
      <c r="K1151" s="78" t="str">
        <f>IFERROR(__xludf.DUMMYFUNCTION("""COMPUTED_VALUE"""),"www.munzee.com")</f>
        <v>www.munzee.com</v>
      </c>
      <c r="L1151" s="47" t="str">
        <f>IFERROR(__xludf.DUMMYFUNCTION("""COMPUTED_VALUE"""),"m")</f>
        <v>m</v>
      </c>
      <c r="M1151" s="47" t="str">
        <f>IFERROR(__xludf.DUMMYFUNCTION("""COMPUTED_VALUE"""),"J1Huisman")</f>
        <v>J1Huisman</v>
      </c>
    </row>
    <row r="1152">
      <c r="A1152" s="47" t="str">
        <f>IFERROR(__xludf.DUMMYFUNCTION("""COMPUTED_VALUE"""),"Virtual Raw Sienna")</f>
        <v>Virtual Raw Sienna</v>
      </c>
      <c r="B1152" s="47" t="str">
        <f>IFERROR(__xludf.DUMMYFUNCTION("""COMPUTED_VALUE"""),"fsafranek")</f>
        <v>fsafranek</v>
      </c>
      <c r="C1152" s="78" t="str">
        <f>IFERROR(__xludf.DUMMYFUNCTION("""COMPUTED_VALUE"""),"https://www.munzee.com/m/fsafranek/5374/")</f>
        <v>https://www.munzee.com/m/fsafranek/5374/</v>
      </c>
      <c r="D1152" s="47"/>
      <c r="E1152" s="47" t="b">
        <f>IFERROR(__xludf.DUMMYFUNCTION("""COMPUTED_VALUE"""),TRUE)</f>
        <v>1</v>
      </c>
      <c r="F1152" s="47" t="str">
        <f>IFERROR(__xludf.DUMMYFUNCTION("""COMPUTED_VALUE"""),"")</f>
        <v/>
      </c>
      <c r="G1152" s="47" t="str">
        <f>IFERROR(__xludf.DUMMYFUNCTION("""COMPUTED_VALUE"""),"")</f>
        <v/>
      </c>
      <c r="H1152" s="47"/>
      <c r="I1152" s="47">
        <f>IFERROR(__xludf.DUMMYFUNCTION("""COMPUTED_VALUE"""),2.0)</f>
        <v>2</v>
      </c>
      <c r="J1152" s="47" t="str">
        <f>IFERROR(__xludf.DUMMYFUNCTION("""COMPUTED_VALUE"""),"https:")</f>
        <v>https:</v>
      </c>
      <c r="K1152" s="78" t="str">
        <f>IFERROR(__xludf.DUMMYFUNCTION("""COMPUTED_VALUE"""),"www.munzee.com")</f>
        <v>www.munzee.com</v>
      </c>
      <c r="L1152" s="47" t="str">
        <f>IFERROR(__xludf.DUMMYFUNCTION("""COMPUTED_VALUE"""),"m")</f>
        <v>m</v>
      </c>
      <c r="M1152" s="47" t="str">
        <f>IFERROR(__xludf.DUMMYFUNCTION("""COMPUTED_VALUE"""),"fsafranek")</f>
        <v>fsafranek</v>
      </c>
    </row>
    <row r="1153">
      <c r="A1153" s="47" t="str">
        <f>IFERROR(__xludf.DUMMYFUNCTION("""COMPUTED_VALUE"""),"Virtual Brown")</f>
        <v>Virtual Brown</v>
      </c>
      <c r="B1153" s="47" t="str">
        <f>IFERROR(__xludf.DUMMYFUNCTION("""COMPUTED_VALUE"""),"raunas")</f>
        <v>raunas</v>
      </c>
      <c r="C1153" s="78" t="str">
        <f>IFERROR(__xludf.DUMMYFUNCTION("""COMPUTED_VALUE"""),"https://www.munzee.com/m/raunas/7437")</f>
        <v>https://www.munzee.com/m/raunas/7437</v>
      </c>
      <c r="D1153" s="47"/>
      <c r="E1153" s="47" t="b">
        <f>IFERROR(__xludf.DUMMYFUNCTION("""COMPUTED_VALUE"""),TRUE)</f>
        <v>1</v>
      </c>
      <c r="F1153" s="47" t="str">
        <f>IFERROR(__xludf.DUMMYFUNCTION("""COMPUTED_VALUE"""),"")</f>
        <v/>
      </c>
      <c r="G1153" s="47" t="str">
        <f>IFERROR(__xludf.DUMMYFUNCTION("""COMPUTED_VALUE"""),"")</f>
        <v/>
      </c>
      <c r="H1153" s="47"/>
      <c r="I1153" s="47">
        <f>IFERROR(__xludf.DUMMYFUNCTION("""COMPUTED_VALUE"""),2.0)</f>
        <v>2</v>
      </c>
      <c r="J1153" s="47" t="str">
        <f>IFERROR(__xludf.DUMMYFUNCTION("""COMPUTED_VALUE"""),"https:")</f>
        <v>https:</v>
      </c>
      <c r="K1153" s="78" t="str">
        <f>IFERROR(__xludf.DUMMYFUNCTION("""COMPUTED_VALUE"""),"www.munzee.com")</f>
        <v>www.munzee.com</v>
      </c>
      <c r="L1153" s="47" t="str">
        <f>IFERROR(__xludf.DUMMYFUNCTION("""COMPUTED_VALUE"""),"m")</f>
        <v>m</v>
      </c>
      <c r="M1153" s="47" t="str">
        <f>IFERROR(__xludf.DUMMYFUNCTION("""COMPUTED_VALUE"""),"raunas")</f>
        <v>raunas</v>
      </c>
    </row>
    <row r="1154">
      <c r="A1154" s="47" t="str">
        <f>IFERROR(__xludf.DUMMYFUNCTION("""COMPUTED_VALUE"""),"Virtual Brown")</f>
        <v>Virtual Brown</v>
      </c>
      <c r="B1154" s="47" t="str">
        <f>IFERROR(__xludf.DUMMYFUNCTION("""COMPUTED_VALUE"""),"xrayneex")</f>
        <v>xrayneex</v>
      </c>
      <c r="C1154" s="78" t="str">
        <f>IFERROR(__xludf.DUMMYFUNCTION("""COMPUTED_VALUE"""),"https://www.munzee.com/m/xrayneex/2330/")</f>
        <v>https://www.munzee.com/m/xrayneex/2330/</v>
      </c>
      <c r="D1154" s="47"/>
      <c r="E1154" s="47" t="b">
        <f>IFERROR(__xludf.DUMMYFUNCTION("""COMPUTED_VALUE"""),TRUE)</f>
        <v>1</v>
      </c>
      <c r="F1154" s="47" t="str">
        <f>IFERROR(__xludf.DUMMYFUNCTION("""COMPUTED_VALUE"""),"")</f>
        <v/>
      </c>
      <c r="G1154" s="47" t="str">
        <f>IFERROR(__xludf.DUMMYFUNCTION("""COMPUTED_VALUE"""),"")</f>
        <v/>
      </c>
      <c r="H1154" s="47"/>
      <c r="I1154" s="47">
        <f>IFERROR(__xludf.DUMMYFUNCTION("""COMPUTED_VALUE"""),2.0)</f>
        <v>2</v>
      </c>
      <c r="J1154" s="47" t="str">
        <f>IFERROR(__xludf.DUMMYFUNCTION("""COMPUTED_VALUE"""),"https:")</f>
        <v>https:</v>
      </c>
      <c r="K1154" s="78" t="str">
        <f>IFERROR(__xludf.DUMMYFUNCTION("""COMPUTED_VALUE"""),"www.munzee.com")</f>
        <v>www.munzee.com</v>
      </c>
      <c r="L1154" s="47" t="str">
        <f>IFERROR(__xludf.DUMMYFUNCTION("""COMPUTED_VALUE"""),"m")</f>
        <v>m</v>
      </c>
      <c r="M1154" s="47" t="str">
        <f>IFERROR(__xludf.DUMMYFUNCTION("""COMPUTED_VALUE"""),"xrayneex")</f>
        <v>xrayneex</v>
      </c>
    </row>
    <row r="1155">
      <c r="A1155" s="47" t="str">
        <f>IFERROR(__xludf.DUMMYFUNCTION("""COMPUTED_VALUE"""),"Virtual Brown")</f>
        <v>Virtual Brown</v>
      </c>
      <c r="B1155" s="47" t="str">
        <f>IFERROR(__xludf.DUMMYFUNCTION("""COMPUTED_VALUE"""),"Drazoria")</f>
        <v>Drazoria</v>
      </c>
      <c r="C1155" s="78" t="str">
        <f>IFERROR(__xludf.DUMMYFUNCTION("""COMPUTED_VALUE"""),"https://www.munzee.com/m/Drazoria/1585/")</f>
        <v>https://www.munzee.com/m/Drazoria/1585/</v>
      </c>
      <c r="D1155" s="47"/>
      <c r="E1155" s="47" t="b">
        <f>IFERROR(__xludf.DUMMYFUNCTION("""COMPUTED_VALUE"""),TRUE)</f>
        <v>1</v>
      </c>
      <c r="F1155" s="47" t="str">
        <f>IFERROR(__xludf.DUMMYFUNCTION("""COMPUTED_VALUE"""),"")</f>
        <v/>
      </c>
      <c r="G1155" s="47" t="str">
        <f>IFERROR(__xludf.DUMMYFUNCTION("""COMPUTED_VALUE"""),"")</f>
        <v/>
      </c>
      <c r="H1155" s="47"/>
      <c r="I1155" s="47">
        <f>IFERROR(__xludf.DUMMYFUNCTION("""COMPUTED_VALUE"""),2.0)</f>
        <v>2</v>
      </c>
      <c r="J1155" s="47" t="str">
        <f>IFERROR(__xludf.DUMMYFUNCTION("""COMPUTED_VALUE"""),"https:")</f>
        <v>https:</v>
      </c>
      <c r="K1155" s="78" t="str">
        <f>IFERROR(__xludf.DUMMYFUNCTION("""COMPUTED_VALUE"""),"www.munzee.com")</f>
        <v>www.munzee.com</v>
      </c>
      <c r="L1155" s="47" t="str">
        <f>IFERROR(__xludf.DUMMYFUNCTION("""COMPUTED_VALUE"""),"m")</f>
        <v>m</v>
      </c>
      <c r="M1155" s="47" t="str">
        <f>IFERROR(__xludf.DUMMYFUNCTION("""COMPUTED_VALUE"""),"Drazoria")</f>
        <v>Drazoria</v>
      </c>
    </row>
    <row r="1156">
      <c r="A1156" s="47" t="str">
        <f>IFERROR(__xludf.DUMMYFUNCTION("""COMPUTED_VALUE"""),"Virtual Brown")</f>
        <v>Virtual Brown</v>
      </c>
      <c r="B1156" s="47" t="str">
        <f>IFERROR(__xludf.DUMMYFUNCTION("""COMPUTED_VALUE"""),"Tinake1309")</f>
        <v>Tinake1309</v>
      </c>
      <c r="C1156" s="78" t="str">
        <f>IFERROR(__xludf.DUMMYFUNCTION("""COMPUTED_VALUE"""),"https://www.munzee.com/m/Tinake1309/1618/")</f>
        <v>https://www.munzee.com/m/Tinake1309/1618/</v>
      </c>
      <c r="D1156" s="47"/>
      <c r="E1156" s="47" t="b">
        <f>IFERROR(__xludf.DUMMYFUNCTION("""COMPUTED_VALUE"""),TRUE)</f>
        <v>1</v>
      </c>
      <c r="F1156" s="47" t="str">
        <f>IFERROR(__xludf.DUMMYFUNCTION("""COMPUTED_VALUE"""),"")</f>
        <v/>
      </c>
      <c r="G1156" s="47" t="str">
        <f>IFERROR(__xludf.DUMMYFUNCTION("""COMPUTED_VALUE"""),"")</f>
        <v/>
      </c>
      <c r="H1156" s="47"/>
      <c r="I1156" s="47">
        <f>IFERROR(__xludf.DUMMYFUNCTION("""COMPUTED_VALUE"""),2.0)</f>
        <v>2</v>
      </c>
      <c r="J1156" s="47" t="str">
        <f>IFERROR(__xludf.DUMMYFUNCTION("""COMPUTED_VALUE"""),"https:")</f>
        <v>https:</v>
      </c>
      <c r="K1156" s="78" t="str">
        <f>IFERROR(__xludf.DUMMYFUNCTION("""COMPUTED_VALUE"""),"www.munzee.com")</f>
        <v>www.munzee.com</v>
      </c>
      <c r="L1156" s="47" t="str">
        <f>IFERROR(__xludf.DUMMYFUNCTION("""COMPUTED_VALUE"""),"m")</f>
        <v>m</v>
      </c>
      <c r="M1156" s="47" t="str">
        <f>IFERROR(__xludf.DUMMYFUNCTION("""COMPUTED_VALUE"""),"Tinake1309")</f>
        <v>Tinake1309</v>
      </c>
    </row>
    <row r="1157">
      <c r="A1157" s="47" t="str">
        <f>IFERROR(__xludf.DUMMYFUNCTION("""COMPUTED_VALUE"""),"Virtual Brown")</f>
        <v>Virtual Brown</v>
      </c>
      <c r="B1157" s="47" t="str">
        <f>IFERROR(__xludf.DUMMYFUNCTION("""COMPUTED_VALUE"""),"Berg14")</f>
        <v>Berg14</v>
      </c>
      <c r="C1157" s="78" t="str">
        <f>IFERROR(__xludf.DUMMYFUNCTION("""COMPUTED_VALUE"""),"https://www.munzee.com/m/Berg14/1536/")</f>
        <v>https://www.munzee.com/m/Berg14/1536/</v>
      </c>
      <c r="D1157" s="47"/>
      <c r="E1157" s="47" t="b">
        <f>IFERROR(__xludf.DUMMYFUNCTION("""COMPUTED_VALUE"""),TRUE)</f>
        <v>1</v>
      </c>
      <c r="F1157" s="47" t="str">
        <f>IFERROR(__xludf.DUMMYFUNCTION("""COMPUTED_VALUE"""),"")</f>
        <v/>
      </c>
      <c r="G1157" s="47" t="str">
        <f>IFERROR(__xludf.DUMMYFUNCTION("""COMPUTED_VALUE"""),"")</f>
        <v/>
      </c>
      <c r="H1157" s="47"/>
      <c r="I1157" s="47">
        <f>IFERROR(__xludf.DUMMYFUNCTION("""COMPUTED_VALUE"""),2.0)</f>
        <v>2</v>
      </c>
      <c r="J1157" s="47" t="str">
        <f>IFERROR(__xludf.DUMMYFUNCTION("""COMPUTED_VALUE"""),"https:")</f>
        <v>https:</v>
      </c>
      <c r="K1157" s="78" t="str">
        <f>IFERROR(__xludf.DUMMYFUNCTION("""COMPUTED_VALUE"""),"www.munzee.com")</f>
        <v>www.munzee.com</v>
      </c>
      <c r="L1157" s="47" t="str">
        <f>IFERROR(__xludf.DUMMYFUNCTION("""COMPUTED_VALUE"""),"m")</f>
        <v>m</v>
      </c>
      <c r="M1157" s="47" t="str">
        <f>IFERROR(__xludf.DUMMYFUNCTION("""COMPUTED_VALUE"""),"Berg14")</f>
        <v>Berg14</v>
      </c>
    </row>
    <row r="1158">
      <c r="A1158" s="47" t="str">
        <f>IFERROR(__xludf.DUMMYFUNCTION("""COMPUTED_VALUE"""),"Virtual Brown")</f>
        <v>Virtual Brown</v>
      </c>
      <c r="B1158" s="47" t="str">
        <f>IFERROR(__xludf.DUMMYFUNCTION("""COMPUTED_VALUE"""),"Niks13")</f>
        <v>Niks13</v>
      </c>
      <c r="C1158" s="78" t="str">
        <f>IFERROR(__xludf.DUMMYFUNCTION("""COMPUTED_VALUE"""),"https://www.munzee.com/m/Niks13/1487/")</f>
        <v>https://www.munzee.com/m/Niks13/1487/</v>
      </c>
      <c r="D1158" s="47"/>
      <c r="E1158" s="47" t="b">
        <f>IFERROR(__xludf.DUMMYFUNCTION("""COMPUTED_VALUE"""),TRUE)</f>
        <v>1</v>
      </c>
      <c r="F1158" s="47" t="str">
        <f>IFERROR(__xludf.DUMMYFUNCTION("""COMPUTED_VALUE"""),"")</f>
        <v/>
      </c>
      <c r="G1158" s="47" t="str">
        <f>IFERROR(__xludf.DUMMYFUNCTION("""COMPUTED_VALUE"""),"")</f>
        <v/>
      </c>
      <c r="H1158" s="47"/>
      <c r="I1158" s="47">
        <f>IFERROR(__xludf.DUMMYFUNCTION("""COMPUTED_VALUE"""),2.0)</f>
        <v>2</v>
      </c>
      <c r="J1158" s="47" t="str">
        <f>IFERROR(__xludf.DUMMYFUNCTION("""COMPUTED_VALUE"""),"https:")</f>
        <v>https:</v>
      </c>
      <c r="K1158" s="78" t="str">
        <f>IFERROR(__xludf.DUMMYFUNCTION("""COMPUTED_VALUE"""),"www.munzee.com")</f>
        <v>www.munzee.com</v>
      </c>
      <c r="L1158" s="47" t="str">
        <f>IFERROR(__xludf.DUMMYFUNCTION("""COMPUTED_VALUE"""),"m")</f>
        <v>m</v>
      </c>
      <c r="M1158" s="47" t="str">
        <f>IFERROR(__xludf.DUMMYFUNCTION("""COMPUTED_VALUE"""),"Niks13")</f>
        <v>Niks13</v>
      </c>
    </row>
    <row r="1159">
      <c r="A1159" s="47" t="str">
        <f>IFERROR(__xludf.DUMMYFUNCTION("""COMPUTED_VALUE"""),"Virtual Brown")</f>
        <v>Virtual Brown</v>
      </c>
      <c r="B1159" s="47" t="str">
        <f>IFERROR(__xludf.DUMMYFUNCTION("""COMPUTED_VALUE"""),"lupo6")</f>
        <v>lupo6</v>
      </c>
      <c r="C1159" s="78" t="str">
        <f>IFERROR(__xludf.DUMMYFUNCTION("""COMPUTED_VALUE"""),"https://www.munzee.com/m/lupo6/6878")</f>
        <v>https://www.munzee.com/m/lupo6/6878</v>
      </c>
      <c r="D1159" s="47"/>
      <c r="E1159" s="47" t="b">
        <f>IFERROR(__xludf.DUMMYFUNCTION("""COMPUTED_VALUE"""),TRUE)</f>
        <v>1</v>
      </c>
      <c r="F1159" s="47" t="str">
        <f>IFERROR(__xludf.DUMMYFUNCTION("""COMPUTED_VALUE"""),"")</f>
        <v/>
      </c>
      <c r="G1159" s="47" t="str">
        <f>IFERROR(__xludf.DUMMYFUNCTION("""COMPUTED_VALUE"""),"")</f>
        <v/>
      </c>
      <c r="H1159" s="47"/>
      <c r="I1159" s="47">
        <f>IFERROR(__xludf.DUMMYFUNCTION("""COMPUTED_VALUE"""),2.0)</f>
        <v>2</v>
      </c>
      <c r="J1159" s="47" t="str">
        <f>IFERROR(__xludf.DUMMYFUNCTION("""COMPUTED_VALUE"""),"https:")</f>
        <v>https:</v>
      </c>
      <c r="K1159" s="78" t="str">
        <f>IFERROR(__xludf.DUMMYFUNCTION("""COMPUTED_VALUE"""),"www.munzee.com")</f>
        <v>www.munzee.com</v>
      </c>
      <c r="L1159" s="47" t="str">
        <f>IFERROR(__xludf.DUMMYFUNCTION("""COMPUTED_VALUE"""),"m")</f>
        <v>m</v>
      </c>
      <c r="M1159" s="47" t="str">
        <f>IFERROR(__xludf.DUMMYFUNCTION("""COMPUTED_VALUE"""),"lupo6")</f>
        <v>lupo6</v>
      </c>
    </row>
    <row r="1160">
      <c r="A1160" s="47" t="str">
        <f>IFERROR(__xludf.DUMMYFUNCTION("""COMPUTED_VALUE"""),"Virtual Brown")</f>
        <v>Virtual Brown</v>
      </c>
      <c r="B1160" s="47" t="str">
        <f>IFERROR(__xludf.DUMMYFUNCTION("""COMPUTED_VALUE"""),"Ellesche")</f>
        <v>Ellesche</v>
      </c>
      <c r="C1160" s="78" t="str">
        <f>IFERROR(__xludf.DUMMYFUNCTION("""COMPUTED_VALUE"""),"https://www.munzee.com/m/Ellesche/724")</f>
        <v>https://www.munzee.com/m/Ellesche/724</v>
      </c>
      <c r="D1160" s="47"/>
      <c r="E1160" s="47" t="b">
        <f>IFERROR(__xludf.DUMMYFUNCTION("""COMPUTED_VALUE"""),TRUE)</f>
        <v>1</v>
      </c>
      <c r="F1160" s="47" t="str">
        <f>IFERROR(__xludf.DUMMYFUNCTION("""COMPUTED_VALUE"""),"")</f>
        <v/>
      </c>
      <c r="G1160" s="47" t="str">
        <f>IFERROR(__xludf.DUMMYFUNCTION("""COMPUTED_VALUE"""),"")</f>
        <v/>
      </c>
      <c r="H1160" s="47"/>
      <c r="I1160" s="47">
        <f>IFERROR(__xludf.DUMMYFUNCTION("""COMPUTED_VALUE"""),2.0)</f>
        <v>2</v>
      </c>
      <c r="J1160" s="47" t="str">
        <f>IFERROR(__xludf.DUMMYFUNCTION("""COMPUTED_VALUE"""),"https:")</f>
        <v>https:</v>
      </c>
      <c r="K1160" s="78" t="str">
        <f>IFERROR(__xludf.DUMMYFUNCTION("""COMPUTED_VALUE"""),"www.munzee.com")</f>
        <v>www.munzee.com</v>
      </c>
      <c r="L1160" s="47" t="str">
        <f>IFERROR(__xludf.DUMMYFUNCTION("""COMPUTED_VALUE"""),"m")</f>
        <v>m</v>
      </c>
      <c r="M1160" s="47" t="str">
        <f>IFERROR(__xludf.DUMMYFUNCTION("""COMPUTED_VALUE"""),"Ellesche")</f>
        <v>Ellesche</v>
      </c>
    </row>
    <row r="1161">
      <c r="A1161" s="47" t="str">
        <f>IFERROR(__xludf.DUMMYFUNCTION("""COMPUTED_VALUE"""),"Virtual Brown")</f>
        <v>Virtual Brown</v>
      </c>
      <c r="B1161" s="47" t="str">
        <f>IFERROR(__xludf.DUMMYFUNCTION("""COMPUTED_VALUE"""),"OdinsFiRe")</f>
        <v>OdinsFiRe</v>
      </c>
      <c r="C1161" s="78" t="str">
        <f>IFERROR(__xludf.DUMMYFUNCTION("""COMPUTED_VALUE"""),"https://www.munzee.com/m/OdinsFiRe/2018/")</f>
        <v>https://www.munzee.com/m/OdinsFiRe/2018/</v>
      </c>
      <c r="D1161" s="47"/>
      <c r="E1161" s="47" t="b">
        <f>IFERROR(__xludf.DUMMYFUNCTION("""COMPUTED_VALUE"""),TRUE)</f>
        <v>1</v>
      </c>
      <c r="F1161" s="47" t="str">
        <f>IFERROR(__xludf.DUMMYFUNCTION("""COMPUTED_VALUE"""),"")</f>
        <v/>
      </c>
      <c r="G1161" s="47" t="str">
        <f>IFERROR(__xludf.DUMMYFUNCTION("""COMPUTED_VALUE"""),"")</f>
        <v/>
      </c>
      <c r="H1161" s="47"/>
      <c r="I1161" s="47">
        <f>IFERROR(__xludf.DUMMYFUNCTION("""COMPUTED_VALUE"""),2.0)</f>
        <v>2</v>
      </c>
      <c r="J1161" s="47" t="str">
        <f>IFERROR(__xludf.DUMMYFUNCTION("""COMPUTED_VALUE"""),"https:")</f>
        <v>https:</v>
      </c>
      <c r="K1161" s="78" t="str">
        <f>IFERROR(__xludf.DUMMYFUNCTION("""COMPUTED_VALUE"""),"www.munzee.com")</f>
        <v>www.munzee.com</v>
      </c>
      <c r="L1161" s="47" t="str">
        <f>IFERROR(__xludf.DUMMYFUNCTION("""COMPUTED_VALUE"""),"m")</f>
        <v>m</v>
      </c>
      <c r="M1161" s="47" t="str">
        <f>IFERROR(__xludf.DUMMYFUNCTION("""COMPUTED_VALUE"""),"OdinsFiRe")</f>
        <v>OdinsFiRe</v>
      </c>
    </row>
    <row r="1162">
      <c r="A1162" s="47" t="str">
        <f>IFERROR(__xludf.DUMMYFUNCTION("""COMPUTED_VALUE"""),"Virtual Brown")</f>
        <v>Virtual Brown</v>
      </c>
      <c r="B1162" s="47" t="str">
        <f>IFERROR(__xludf.DUMMYFUNCTION("""COMPUTED_VALUE"""),"tommobil")</f>
        <v>tommobil</v>
      </c>
      <c r="C1162" s="78" t="str">
        <f>IFERROR(__xludf.DUMMYFUNCTION("""COMPUTED_VALUE"""),"https://www.munzee.com/m/tommobil/1401")</f>
        <v>https://www.munzee.com/m/tommobil/1401</v>
      </c>
      <c r="D1162" s="47"/>
      <c r="E1162" s="47" t="b">
        <f>IFERROR(__xludf.DUMMYFUNCTION("""COMPUTED_VALUE"""),TRUE)</f>
        <v>1</v>
      </c>
      <c r="F1162" s="47" t="str">
        <f>IFERROR(__xludf.DUMMYFUNCTION("""COMPUTED_VALUE"""),"")</f>
        <v/>
      </c>
      <c r="G1162" s="47" t="str">
        <f>IFERROR(__xludf.DUMMYFUNCTION("""COMPUTED_VALUE"""),"")</f>
        <v/>
      </c>
      <c r="H1162" s="47"/>
      <c r="I1162" s="47">
        <f>IFERROR(__xludf.DUMMYFUNCTION("""COMPUTED_VALUE"""),2.0)</f>
        <v>2</v>
      </c>
      <c r="J1162" s="47" t="str">
        <f>IFERROR(__xludf.DUMMYFUNCTION("""COMPUTED_VALUE"""),"https:")</f>
        <v>https:</v>
      </c>
      <c r="K1162" s="78" t="str">
        <f>IFERROR(__xludf.DUMMYFUNCTION("""COMPUTED_VALUE"""),"www.munzee.com")</f>
        <v>www.munzee.com</v>
      </c>
      <c r="L1162" s="47" t="str">
        <f>IFERROR(__xludf.DUMMYFUNCTION("""COMPUTED_VALUE"""),"m")</f>
        <v>m</v>
      </c>
      <c r="M1162" s="47" t="str">
        <f>IFERROR(__xludf.DUMMYFUNCTION("""COMPUTED_VALUE"""),"tommobil")</f>
        <v>tommobil</v>
      </c>
    </row>
    <row r="1163">
      <c r="A1163" s="47" t="str">
        <f>IFERROR(__xludf.DUMMYFUNCTION("""COMPUTED_VALUE"""),"Virtual Brown")</f>
        <v>Virtual Brown</v>
      </c>
      <c r="B1163" s="47" t="str">
        <f>IFERROR(__xludf.DUMMYFUNCTION("""COMPUTED_VALUE"""),"res2100")</f>
        <v>res2100</v>
      </c>
      <c r="C1163" s="78" t="str">
        <f>IFERROR(__xludf.DUMMYFUNCTION("""COMPUTED_VALUE"""),"https://www.munzee.com/m/res2100/886/")</f>
        <v>https://www.munzee.com/m/res2100/886/</v>
      </c>
      <c r="D1163" s="47"/>
      <c r="E1163" s="47" t="b">
        <f>IFERROR(__xludf.DUMMYFUNCTION("""COMPUTED_VALUE"""),TRUE)</f>
        <v>1</v>
      </c>
      <c r="F1163" s="47" t="str">
        <f>IFERROR(__xludf.DUMMYFUNCTION("""COMPUTED_VALUE"""),"")</f>
        <v/>
      </c>
      <c r="G1163" s="47" t="str">
        <f>IFERROR(__xludf.DUMMYFUNCTION("""COMPUTED_VALUE"""),"")</f>
        <v/>
      </c>
      <c r="H1163" s="47"/>
      <c r="I1163" s="47">
        <f>IFERROR(__xludf.DUMMYFUNCTION("""COMPUTED_VALUE"""),2.0)</f>
        <v>2</v>
      </c>
      <c r="J1163" s="47" t="str">
        <f>IFERROR(__xludf.DUMMYFUNCTION("""COMPUTED_VALUE"""),"https:")</f>
        <v>https:</v>
      </c>
      <c r="K1163" s="78" t="str">
        <f>IFERROR(__xludf.DUMMYFUNCTION("""COMPUTED_VALUE"""),"www.munzee.com")</f>
        <v>www.munzee.com</v>
      </c>
      <c r="L1163" s="47" t="str">
        <f>IFERROR(__xludf.DUMMYFUNCTION("""COMPUTED_VALUE"""),"m")</f>
        <v>m</v>
      </c>
      <c r="M1163" s="47" t="str">
        <f>IFERROR(__xludf.DUMMYFUNCTION("""COMPUTED_VALUE"""),"res2100")</f>
        <v>res2100</v>
      </c>
    </row>
    <row r="1164">
      <c r="A1164" s="47" t="str">
        <f>IFERROR(__xludf.DUMMYFUNCTION("""COMPUTED_VALUE"""),"Virtual Raw Sienna")</f>
        <v>Virtual Raw Sienna</v>
      </c>
      <c r="B1164" s="47" t="str">
        <f>IFERROR(__xludf.DUMMYFUNCTION("""COMPUTED_VALUE"""),"tommobil")</f>
        <v>tommobil</v>
      </c>
      <c r="C1164" s="78" t="str">
        <f>IFERROR(__xludf.DUMMYFUNCTION("""COMPUTED_VALUE"""),"https://www.munzee.com/m/tommobil/1404")</f>
        <v>https://www.munzee.com/m/tommobil/1404</v>
      </c>
      <c r="D1164" s="47"/>
      <c r="E1164" s="47" t="b">
        <f>IFERROR(__xludf.DUMMYFUNCTION("""COMPUTED_VALUE"""),TRUE)</f>
        <v>1</v>
      </c>
      <c r="F1164" s="47" t="str">
        <f>IFERROR(__xludf.DUMMYFUNCTION("""COMPUTED_VALUE"""),"")</f>
        <v/>
      </c>
      <c r="G1164" s="47" t="str">
        <f>IFERROR(__xludf.DUMMYFUNCTION("""COMPUTED_VALUE"""),"")</f>
        <v/>
      </c>
      <c r="H1164" s="47"/>
      <c r="I1164" s="47">
        <f>IFERROR(__xludf.DUMMYFUNCTION("""COMPUTED_VALUE"""),2.0)</f>
        <v>2</v>
      </c>
      <c r="J1164" s="47" t="str">
        <f>IFERROR(__xludf.DUMMYFUNCTION("""COMPUTED_VALUE"""),"https:")</f>
        <v>https:</v>
      </c>
      <c r="K1164" s="78" t="str">
        <f>IFERROR(__xludf.DUMMYFUNCTION("""COMPUTED_VALUE"""),"www.munzee.com")</f>
        <v>www.munzee.com</v>
      </c>
      <c r="L1164" s="47" t="str">
        <f>IFERROR(__xludf.DUMMYFUNCTION("""COMPUTED_VALUE"""),"m")</f>
        <v>m</v>
      </c>
      <c r="M1164" s="47" t="str">
        <f>IFERROR(__xludf.DUMMYFUNCTION("""COMPUTED_VALUE"""),"tommobil")</f>
        <v>tommobil</v>
      </c>
    </row>
    <row r="1165">
      <c r="A1165" s="47" t="str">
        <f>IFERROR(__xludf.DUMMYFUNCTION("""COMPUTED_VALUE"""),"Virtual Brown")</f>
        <v>Virtual Brown</v>
      </c>
      <c r="B1165" s="47" t="str">
        <f>IFERROR(__xludf.DUMMYFUNCTION("""COMPUTED_VALUE"""),"Csiki86")</f>
        <v>Csiki86</v>
      </c>
      <c r="C1165" s="78" t="str">
        <f>IFERROR(__xludf.DUMMYFUNCTION("""COMPUTED_VALUE"""),"https://www.munzee.com/m/Csiki86/450/")</f>
        <v>https://www.munzee.com/m/Csiki86/450/</v>
      </c>
      <c r="D1165" s="47"/>
      <c r="E1165" s="47" t="b">
        <f>IFERROR(__xludf.DUMMYFUNCTION("""COMPUTED_VALUE"""),TRUE)</f>
        <v>1</v>
      </c>
      <c r="F1165" s="47" t="str">
        <f>IFERROR(__xludf.DUMMYFUNCTION("""COMPUTED_VALUE"""),"")</f>
        <v/>
      </c>
      <c r="G1165" s="47" t="str">
        <f>IFERROR(__xludf.DUMMYFUNCTION("""COMPUTED_VALUE"""),"")</f>
        <v/>
      </c>
      <c r="H1165" s="47"/>
      <c r="I1165" s="47">
        <f>IFERROR(__xludf.DUMMYFUNCTION("""COMPUTED_VALUE"""),2.0)</f>
        <v>2</v>
      </c>
      <c r="J1165" s="47" t="str">
        <f>IFERROR(__xludf.DUMMYFUNCTION("""COMPUTED_VALUE"""),"https:")</f>
        <v>https:</v>
      </c>
      <c r="K1165" s="78" t="str">
        <f>IFERROR(__xludf.DUMMYFUNCTION("""COMPUTED_VALUE"""),"www.munzee.com")</f>
        <v>www.munzee.com</v>
      </c>
      <c r="L1165" s="47" t="str">
        <f>IFERROR(__xludf.DUMMYFUNCTION("""COMPUTED_VALUE"""),"m")</f>
        <v>m</v>
      </c>
      <c r="M1165" s="47" t="str">
        <f>IFERROR(__xludf.DUMMYFUNCTION("""COMPUTED_VALUE"""),"Csiki86")</f>
        <v>Csiki86</v>
      </c>
    </row>
    <row r="1166">
      <c r="A1166" s="47" t="str">
        <f>IFERROR(__xludf.DUMMYFUNCTION("""COMPUTED_VALUE"""),"Virtual Brown")</f>
        <v>Virtual Brown</v>
      </c>
      <c r="B1166" s="47" t="str">
        <f>IFERROR(__xludf.DUMMYFUNCTION("""COMPUTED_VALUE"""),"Anetzet ")</f>
        <v>Anetzet </v>
      </c>
      <c r="C1166" s="78" t="str">
        <f>IFERROR(__xludf.DUMMYFUNCTION("""COMPUTED_VALUE"""),"https://www.munzee.com/m/Anetzet/4656/")</f>
        <v>https://www.munzee.com/m/Anetzet/4656/</v>
      </c>
      <c r="D1166" s="47"/>
      <c r="E1166" s="47" t="b">
        <f>IFERROR(__xludf.DUMMYFUNCTION("""COMPUTED_VALUE"""),TRUE)</f>
        <v>1</v>
      </c>
      <c r="F1166" s="47" t="str">
        <f>IFERROR(__xludf.DUMMYFUNCTION("""COMPUTED_VALUE"""),"")</f>
        <v/>
      </c>
      <c r="G1166" s="47" t="str">
        <f>IFERROR(__xludf.DUMMYFUNCTION("""COMPUTED_VALUE"""),"")</f>
        <v/>
      </c>
      <c r="H1166" s="47"/>
      <c r="I1166" s="47">
        <f>IFERROR(__xludf.DUMMYFUNCTION("""COMPUTED_VALUE"""),2.0)</f>
        <v>2</v>
      </c>
      <c r="J1166" s="47" t="str">
        <f>IFERROR(__xludf.DUMMYFUNCTION("""COMPUTED_VALUE"""),"https:")</f>
        <v>https:</v>
      </c>
      <c r="K1166" s="78" t="str">
        <f>IFERROR(__xludf.DUMMYFUNCTION("""COMPUTED_VALUE"""),"www.munzee.com")</f>
        <v>www.munzee.com</v>
      </c>
      <c r="L1166" s="47" t="str">
        <f>IFERROR(__xludf.DUMMYFUNCTION("""COMPUTED_VALUE"""),"m")</f>
        <v>m</v>
      </c>
      <c r="M1166" s="47" t="str">
        <f>IFERROR(__xludf.DUMMYFUNCTION("""COMPUTED_VALUE"""),"Anetzet")</f>
        <v>Anetzet</v>
      </c>
    </row>
    <row r="1167">
      <c r="A1167" s="47" t="str">
        <f>IFERROR(__xludf.DUMMYFUNCTION("""COMPUTED_VALUE"""),"Virtual Brown")</f>
        <v>Virtual Brown</v>
      </c>
      <c r="B1167" s="47" t="str">
        <f>IFERROR(__xludf.DUMMYFUNCTION("""COMPUTED_VALUE"""),"tommobil ")</f>
        <v>tommobil </v>
      </c>
      <c r="C1167" s="78" t="str">
        <f>IFERROR(__xludf.DUMMYFUNCTION("""COMPUTED_VALUE"""),"https://www.munzee.com/m/tommobil/1405/")</f>
        <v>https://www.munzee.com/m/tommobil/1405/</v>
      </c>
      <c r="D1167" s="47"/>
      <c r="E1167" s="47" t="b">
        <f>IFERROR(__xludf.DUMMYFUNCTION("""COMPUTED_VALUE"""),TRUE)</f>
        <v>1</v>
      </c>
      <c r="F1167" s="47" t="str">
        <f>IFERROR(__xludf.DUMMYFUNCTION("""COMPUTED_VALUE"""),"")</f>
        <v/>
      </c>
      <c r="G1167" s="47" t="str">
        <f>IFERROR(__xludf.DUMMYFUNCTION("""COMPUTED_VALUE"""),"")</f>
        <v/>
      </c>
      <c r="H1167" s="47"/>
      <c r="I1167" s="47">
        <f>IFERROR(__xludf.DUMMYFUNCTION("""COMPUTED_VALUE"""),2.0)</f>
        <v>2</v>
      </c>
      <c r="J1167" s="47" t="str">
        <f>IFERROR(__xludf.DUMMYFUNCTION("""COMPUTED_VALUE"""),"https:")</f>
        <v>https:</v>
      </c>
      <c r="K1167" s="78" t="str">
        <f>IFERROR(__xludf.DUMMYFUNCTION("""COMPUTED_VALUE"""),"www.munzee.com")</f>
        <v>www.munzee.com</v>
      </c>
      <c r="L1167" s="47" t="str">
        <f>IFERROR(__xludf.DUMMYFUNCTION("""COMPUTED_VALUE"""),"m")</f>
        <v>m</v>
      </c>
      <c r="M1167" s="47" t="str">
        <f>IFERROR(__xludf.DUMMYFUNCTION("""COMPUTED_VALUE"""),"tommobil")</f>
        <v>tommobil</v>
      </c>
    </row>
    <row r="1168">
      <c r="A1168" s="47" t="str">
        <f>IFERROR(__xludf.DUMMYFUNCTION("""COMPUTED_VALUE"""),"Virtual Raw Sienna")</f>
        <v>Virtual Raw Sienna</v>
      </c>
      <c r="B1168" s="47" t="str">
        <f>IFERROR(__xludf.DUMMYFUNCTION("""COMPUTED_VALUE"""),"Csiki86")</f>
        <v>Csiki86</v>
      </c>
      <c r="C1168" s="78" t="str">
        <f>IFERROR(__xludf.DUMMYFUNCTION("""COMPUTED_VALUE"""),"https://www.munzee.com/m/Csiki86/456/")</f>
        <v>https://www.munzee.com/m/Csiki86/456/</v>
      </c>
      <c r="D1168" s="47"/>
      <c r="E1168" s="47" t="b">
        <f>IFERROR(__xludf.DUMMYFUNCTION("""COMPUTED_VALUE"""),TRUE)</f>
        <v>1</v>
      </c>
      <c r="F1168" s="47" t="str">
        <f>IFERROR(__xludf.DUMMYFUNCTION("""COMPUTED_VALUE"""),"")</f>
        <v/>
      </c>
      <c r="G1168" s="47" t="str">
        <f>IFERROR(__xludf.DUMMYFUNCTION("""COMPUTED_VALUE"""),"")</f>
        <v/>
      </c>
      <c r="H1168" s="47"/>
      <c r="I1168" s="47">
        <f>IFERROR(__xludf.DUMMYFUNCTION("""COMPUTED_VALUE"""),2.0)</f>
        <v>2</v>
      </c>
      <c r="J1168" s="47" t="str">
        <f>IFERROR(__xludf.DUMMYFUNCTION("""COMPUTED_VALUE"""),"https:")</f>
        <v>https:</v>
      </c>
      <c r="K1168" s="78" t="str">
        <f>IFERROR(__xludf.DUMMYFUNCTION("""COMPUTED_VALUE"""),"www.munzee.com")</f>
        <v>www.munzee.com</v>
      </c>
      <c r="L1168" s="47" t="str">
        <f>IFERROR(__xludf.DUMMYFUNCTION("""COMPUTED_VALUE"""),"m")</f>
        <v>m</v>
      </c>
      <c r="M1168" s="47" t="str">
        <f>IFERROR(__xludf.DUMMYFUNCTION("""COMPUTED_VALUE"""),"Csiki86")</f>
        <v>Csiki86</v>
      </c>
    </row>
    <row r="1169">
      <c r="A1169" s="47" t="str">
        <f>IFERROR(__xludf.DUMMYFUNCTION("""COMPUTED_VALUE"""),"Virtual Brown")</f>
        <v>Virtual Brown</v>
      </c>
      <c r="B1169" s="47" t="str">
        <f>IFERROR(__xludf.DUMMYFUNCTION("""COMPUTED_VALUE"""),"alexmester ")</f>
        <v>alexmester </v>
      </c>
      <c r="C1169" s="78" t="str">
        <f>IFERROR(__xludf.DUMMYFUNCTION("""COMPUTED_VALUE"""),"https://www.munzee.com/m/alexmester/1235/")</f>
        <v>https://www.munzee.com/m/alexmester/1235/</v>
      </c>
      <c r="D1169" s="47"/>
      <c r="E1169" s="47" t="b">
        <f>IFERROR(__xludf.DUMMYFUNCTION("""COMPUTED_VALUE"""),TRUE)</f>
        <v>1</v>
      </c>
      <c r="F1169" s="47" t="str">
        <f>IFERROR(__xludf.DUMMYFUNCTION("""COMPUTED_VALUE"""),"")</f>
        <v/>
      </c>
      <c r="G1169" s="47" t="str">
        <f>IFERROR(__xludf.DUMMYFUNCTION("""COMPUTED_VALUE"""),"")</f>
        <v/>
      </c>
      <c r="H1169" s="47"/>
      <c r="I1169" s="47">
        <f>IFERROR(__xludf.DUMMYFUNCTION("""COMPUTED_VALUE"""),2.0)</f>
        <v>2</v>
      </c>
      <c r="J1169" s="47" t="str">
        <f>IFERROR(__xludf.DUMMYFUNCTION("""COMPUTED_VALUE"""),"https:")</f>
        <v>https:</v>
      </c>
      <c r="K1169" s="78" t="str">
        <f>IFERROR(__xludf.DUMMYFUNCTION("""COMPUTED_VALUE"""),"www.munzee.com")</f>
        <v>www.munzee.com</v>
      </c>
      <c r="L1169" s="47" t="str">
        <f>IFERROR(__xludf.DUMMYFUNCTION("""COMPUTED_VALUE"""),"m")</f>
        <v>m</v>
      </c>
      <c r="M1169" s="47" t="str">
        <f>IFERROR(__xludf.DUMMYFUNCTION("""COMPUTED_VALUE"""),"alexmester")</f>
        <v>alexmester</v>
      </c>
    </row>
    <row r="1170">
      <c r="A1170" s="47" t="str">
        <f>IFERROR(__xludf.DUMMYFUNCTION("""COMPUTED_VALUE"""),"Virtual Brown")</f>
        <v>Virtual Brown</v>
      </c>
      <c r="B1170" s="47" t="str">
        <f>IFERROR(__xludf.DUMMYFUNCTION("""COMPUTED_VALUE"""),"crscousins")</f>
        <v>crscousins</v>
      </c>
      <c r="C1170" s="78" t="str">
        <f>IFERROR(__xludf.DUMMYFUNCTION("""COMPUTED_VALUE"""),"https://www.munzee.com/m/crscousins/7148/")</f>
        <v>https://www.munzee.com/m/crscousins/7148/</v>
      </c>
      <c r="D1170" s="47"/>
      <c r="E1170" s="47" t="b">
        <f>IFERROR(__xludf.DUMMYFUNCTION("""COMPUTED_VALUE"""),TRUE)</f>
        <v>1</v>
      </c>
      <c r="F1170" s="47" t="str">
        <f>IFERROR(__xludf.DUMMYFUNCTION("""COMPUTED_VALUE"""),"")</f>
        <v/>
      </c>
      <c r="G1170" s="47" t="str">
        <f>IFERROR(__xludf.DUMMYFUNCTION("""COMPUTED_VALUE"""),"")</f>
        <v/>
      </c>
      <c r="H1170" s="47"/>
      <c r="I1170" s="47">
        <f>IFERROR(__xludf.DUMMYFUNCTION("""COMPUTED_VALUE"""),2.0)</f>
        <v>2</v>
      </c>
      <c r="J1170" s="47" t="str">
        <f>IFERROR(__xludf.DUMMYFUNCTION("""COMPUTED_VALUE"""),"https:")</f>
        <v>https:</v>
      </c>
      <c r="K1170" s="78" t="str">
        <f>IFERROR(__xludf.DUMMYFUNCTION("""COMPUTED_VALUE"""),"www.munzee.com")</f>
        <v>www.munzee.com</v>
      </c>
      <c r="L1170" s="47" t="str">
        <f>IFERROR(__xludf.DUMMYFUNCTION("""COMPUTED_VALUE"""),"m")</f>
        <v>m</v>
      </c>
      <c r="M1170" s="47" t="str">
        <f>IFERROR(__xludf.DUMMYFUNCTION("""COMPUTED_VALUE"""),"crscousins")</f>
        <v>crscousins</v>
      </c>
    </row>
    <row r="1171">
      <c r="A1171" s="47" t="str">
        <f>IFERROR(__xludf.DUMMYFUNCTION("""COMPUTED_VALUE"""),"Virtual Raw Sienna")</f>
        <v>Virtual Raw Sienna</v>
      </c>
      <c r="B1171" s="47" t="str">
        <f>IFERROR(__xludf.DUMMYFUNCTION("""COMPUTED_VALUE"""),"alexmester")</f>
        <v>alexmester</v>
      </c>
      <c r="C1171" s="78" t="str">
        <f>IFERROR(__xludf.DUMMYFUNCTION("""COMPUTED_VALUE"""),"https://www.munzee.com/m/alexmester/1234/")</f>
        <v>https://www.munzee.com/m/alexmester/1234/</v>
      </c>
      <c r="D1171" s="47"/>
      <c r="E1171" s="47" t="b">
        <f>IFERROR(__xludf.DUMMYFUNCTION("""COMPUTED_VALUE"""),TRUE)</f>
        <v>1</v>
      </c>
      <c r="F1171" s="47" t="str">
        <f>IFERROR(__xludf.DUMMYFUNCTION("""COMPUTED_VALUE"""),"")</f>
        <v/>
      </c>
      <c r="G1171" s="47" t="str">
        <f>IFERROR(__xludf.DUMMYFUNCTION("""COMPUTED_VALUE"""),"")</f>
        <v/>
      </c>
      <c r="H1171" s="47"/>
      <c r="I1171" s="47">
        <f>IFERROR(__xludf.DUMMYFUNCTION("""COMPUTED_VALUE"""),2.0)</f>
        <v>2</v>
      </c>
      <c r="J1171" s="47" t="str">
        <f>IFERROR(__xludf.DUMMYFUNCTION("""COMPUTED_VALUE"""),"https:")</f>
        <v>https:</v>
      </c>
      <c r="K1171" s="78" t="str">
        <f>IFERROR(__xludf.DUMMYFUNCTION("""COMPUTED_VALUE"""),"www.munzee.com")</f>
        <v>www.munzee.com</v>
      </c>
      <c r="L1171" s="47" t="str">
        <f>IFERROR(__xludf.DUMMYFUNCTION("""COMPUTED_VALUE"""),"m")</f>
        <v>m</v>
      </c>
      <c r="M1171" s="47" t="str">
        <f>IFERROR(__xludf.DUMMYFUNCTION("""COMPUTED_VALUE"""),"alexmester")</f>
        <v>alexmester</v>
      </c>
    </row>
    <row r="1172">
      <c r="A1172" s="47" t="str">
        <f>IFERROR(__xludf.DUMMYFUNCTION("""COMPUTED_VALUE"""),"Virtual Brown")</f>
        <v>Virtual Brown</v>
      </c>
      <c r="B1172" s="47" t="str">
        <f>IFERROR(__xludf.DUMMYFUNCTION("""COMPUTED_VALUE"""),"cbf600")</f>
        <v>cbf600</v>
      </c>
      <c r="C1172" s="78" t="str">
        <f>IFERROR(__xludf.DUMMYFUNCTION("""COMPUTED_VALUE"""),"https://www.munzee.com/m/cbf600/3662/")</f>
        <v>https://www.munzee.com/m/cbf600/3662/</v>
      </c>
      <c r="D1172" s="47"/>
      <c r="E1172" s="47" t="b">
        <f>IFERROR(__xludf.DUMMYFUNCTION("""COMPUTED_VALUE"""),TRUE)</f>
        <v>1</v>
      </c>
      <c r="F1172" s="47"/>
      <c r="G1172" s="47" t="str">
        <f>IFERROR(__xludf.DUMMYFUNCTION("""COMPUTED_VALUE"""),"")</f>
        <v/>
      </c>
      <c r="H1172" s="47"/>
      <c r="I1172" s="47">
        <f>IFERROR(__xludf.DUMMYFUNCTION("""COMPUTED_VALUE"""),2.0)</f>
        <v>2</v>
      </c>
      <c r="J1172" s="47" t="str">
        <f>IFERROR(__xludf.DUMMYFUNCTION("""COMPUTED_VALUE"""),"https:")</f>
        <v>https:</v>
      </c>
      <c r="K1172" s="78" t="str">
        <f>IFERROR(__xludf.DUMMYFUNCTION("""COMPUTED_VALUE"""),"www.munzee.com")</f>
        <v>www.munzee.com</v>
      </c>
      <c r="L1172" s="47" t="str">
        <f>IFERROR(__xludf.DUMMYFUNCTION("""COMPUTED_VALUE"""),"m")</f>
        <v>m</v>
      </c>
      <c r="M1172" s="47" t="str">
        <f>IFERROR(__xludf.DUMMYFUNCTION("""COMPUTED_VALUE"""),"cbf600")</f>
        <v>cbf600</v>
      </c>
    </row>
    <row r="1173">
      <c r="A1173" s="47" t="str">
        <f>IFERROR(__xludf.DUMMYFUNCTION("""COMPUTED_VALUE"""),"Virtual Raw Sienna")</f>
        <v>Virtual Raw Sienna</v>
      </c>
      <c r="B1173" s="47" t="str">
        <f>IFERROR(__xludf.DUMMYFUNCTION("""COMPUTED_VALUE"""),"Derlame ")</f>
        <v>Derlame </v>
      </c>
      <c r="C1173" s="78" t="str">
        <f>IFERROR(__xludf.DUMMYFUNCTION("""COMPUTED_VALUE"""),"https://www.munzee.com/m/Derlame/45500/")</f>
        <v>https://www.munzee.com/m/Derlame/45500/</v>
      </c>
      <c r="D1173" s="47"/>
      <c r="E1173" s="47" t="b">
        <f>IFERROR(__xludf.DUMMYFUNCTION("""COMPUTED_VALUE"""),TRUE)</f>
        <v>1</v>
      </c>
      <c r="F1173" s="47"/>
      <c r="G1173" s="47" t="str">
        <f>IFERROR(__xludf.DUMMYFUNCTION("""COMPUTED_VALUE"""),"")</f>
        <v/>
      </c>
      <c r="H1173" s="47"/>
      <c r="I1173" s="47">
        <f>IFERROR(__xludf.DUMMYFUNCTION("""COMPUTED_VALUE"""),2.0)</f>
        <v>2</v>
      </c>
      <c r="J1173" s="47" t="str">
        <f>IFERROR(__xludf.DUMMYFUNCTION("""COMPUTED_VALUE"""),"https:")</f>
        <v>https:</v>
      </c>
      <c r="K1173" s="78" t="str">
        <f>IFERROR(__xludf.DUMMYFUNCTION("""COMPUTED_VALUE"""),"www.munzee.com")</f>
        <v>www.munzee.com</v>
      </c>
      <c r="L1173" s="47" t="str">
        <f>IFERROR(__xludf.DUMMYFUNCTION("""COMPUTED_VALUE"""),"m")</f>
        <v>m</v>
      </c>
      <c r="M1173" s="47" t="str">
        <f>IFERROR(__xludf.DUMMYFUNCTION("""COMPUTED_VALUE"""),"Derlame")</f>
        <v>Derlame</v>
      </c>
    </row>
    <row r="1174">
      <c r="A1174" s="47" t="str">
        <f>IFERROR(__xludf.DUMMYFUNCTION("""COMPUTED_VALUE"""),"Virtual Brown")</f>
        <v>Virtual Brown</v>
      </c>
      <c r="B1174" s="47" t="str">
        <f>IFERROR(__xludf.DUMMYFUNCTION("""COMPUTED_VALUE"""),"alexmester")</f>
        <v>alexmester</v>
      </c>
      <c r="C1174" s="78" t="str">
        <f>IFERROR(__xludf.DUMMYFUNCTION("""COMPUTED_VALUE"""),"https://www.munzee.com/m/alexmester/1236/")</f>
        <v>https://www.munzee.com/m/alexmester/1236/</v>
      </c>
      <c r="D1174" s="47"/>
      <c r="E1174" s="47" t="b">
        <f>IFERROR(__xludf.DUMMYFUNCTION("""COMPUTED_VALUE"""),TRUE)</f>
        <v>1</v>
      </c>
      <c r="F1174" s="47" t="str">
        <f>IFERROR(__xludf.DUMMYFUNCTION("""COMPUTED_VALUE"""),"")</f>
        <v/>
      </c>
      <c r="G1174" s="47" t="str">
        <f>IFERROR(__xludf.DUMMYFUNCTION("""COMPUTED_VALUE"""),"")</f>
        <v/>
      </c>
      <c r="H1174" s="47"/>
      <c r="I1174" s="47">
        <f>IFERROR(__xludf.DUMMYFUNCTION("""COMPUTED_VALUE"""),2.0)</f>
        <v>2</v>
      </c>
      <c r="J1174" s="47" t="str">
        <f>IFERROR(__xludf.DUMMYFUNCTION("""COMPUTED_VALUE"""),"https:")</f>
        <v>https:</v>
      </c>
      <c r="K1174" s="78" t="str">
        <f>IFERROR(__xludf.DUMMYFUNCTION("""COMPUTED_VALUE"""),"www.munzee.com")</f>
        <v>www.munzee.com</v>
      </c>
      <c r="L1174" s="47" t="str">
        <f>IFERROR(__xludf.DUMMYFUNCTION("""COMPUTED_VALUE"""),"m")</f>
        <v>m</v>
      </c>
      <c r="M1174" s="47" t="str">
        <f>IFERROR(__xludf.DUMMYFUNCTION("""COMPUTED_VALUE"""),"alexmester")</f>
        <v>alexmester</v>
      </c>
    </row>
    <row r="1175">
      <c r="A1175" s="47" t="str">
        <f>IFERROR(__xludf.DUMMYFUNCTION("""COMPUTED_VALUE"""),"Virtual Brown")</f>
        <v>Virtual Brown</v>
      </c>
      <c r="B1175" s="47" t="str">
        <f>IFERROR(__xludf.DUMMYFUNCTION("""COMPUTED_VALUE"""),"CzPeet")</f>
        <v>CzPeet</v>
      </c>
      <c r="C1175" s="78" t="str">
        <f>IFERROR(__xludf.DUMMYFUNCTION("""COMPUTED_VALUE"""),"https://www.munzee.com/m/CzPeet/6764")</f>
        <v>https://www.munzee.com/m/CzPeet/6764</v>
      </c>
      <c r="D1175" s="47"/>
      <c r="E1175" s="47" t="b">
        <f>IFERROR(__xludf.DUMMYFUNCTION("""COMPUTED_VALUE"""),TRUE)</f>
        <v>1</v>
      </c>
      <c r="F1175" s="47" t="str">
        <f>IFERROR(__xludf.DUMMYFUNCTION("""COMPUTED_VALUE"""),"")</f>
        <v/>
      </c>
      <c r="G1175" s="47" t="str">
        <f>IFERROR(__xludf.DUMMYFUNCTION("""COMPUTED_VALUE"""),"")</f>
        <v/>
      </c>
      <c r="H1175" s="47"/>
      <c r="I1175" s="47">
        <f>IFERROR(__xludf.DUMMYFUNCTION("""COMPUTED_VALUE"""),2.0)</f>
        <v>2</v>
      </c>
      <c r="J1175" s="47" t="str">
        <f>IFERROR(__xludf.DUMMYFUNCTION("""COMPUTED_VALUE"""),"https:")</f>
        <v>https:</v>
      </c>
      <c r="K1175" s="78" t="str">
        <f>IFERROR(__xludf.DUMMYFUNCTION("""COMPUTED_VALUE"""),"www.munzee.com")</f>
        <v>www.munzee.com</v>
      </c>
      <c r="L1175" s="47" t="str">
        <f>IFERROR(__xludf.DUMMYFUNCTION("""COMPUTED_VALUE"""),"m")</f>
        <v>m</v>
      </c>
      <c r="M1175" s="47" t="str">
        <f>IFERROR(__xludf.DUMMYFUNCTION("""COMPUTED_VALUE"""),"CzPeet")</f>
        <v>CzPeet</v>
      </c>
    </row>
    <row r="1176">
      <c r="A1176" s="47" t="str">
        <f>IFERROR(__xludf.DUMMYFUNCTION("""COMPUTED_VALUE"""),"Virtual Brown")</f>
        <v>Virtual Brown</v>
      </c>
      <c r="B1176" s="47" t="str">
        <f>IFERROR(__xludf.DUMMYFUNCTION("""COMPUTED_VALUE"""),"Aniara")</f>
        <v>Aniara</v>
      </c>
      <c r="C1176" s="78" t="str">
        <f>IFERROR(__xludf.DUMMYFUNCTION("""COMPUTED_VALUE"""),"https://www.munzee.com/m/Aniara/17961/")</f>
        <v>https://www.munzee.com/m/Aniara/17961/</v>
      </c>
      <c r="D1176" s="47"/>
      <c r="E1176" s="47" t="b">
        <f>IFERROR(__xludf.DUMMYFUNCTION("""COMPUTED_VALUE"""),TRUE)</f>
        <v>1</v>
      </c>
      <c r="F1176" s="47" t="str">
        <f>IFERROR(__xludf.DUMMYFUNCTION("""COMPUTED_VALUE"""),"")</f>
        <v/>
      </c>
      <c r="G1176" s="47" t="str">
        <f>IFERROR(__xludf.DUMMYFUNCTION("""COMPUTED_VALUE"""),"")</f>
        <v/>
      </c>
      <c r="H1176" s="47"/>
      <c r="I1176" s="47">
        <f>IFERROR(__xludf.DUMMYFUNCTION("""COMPUTED_VALUE"""),2.0)</f>
        <v>2</v>
      </c>
      <c r="J1176" s="47" t="str">
        <f>IFERROR(__xludf.DUMMYFUNCTION("""COMPUTED_VALUE"""),"https:")</f>
        <v>https:</v>
      </c>
      <c r="K1176" s="78" t="str">
        <f>IFERROR(__xludf.DUMMYFUNCTION("""COMPUTED_VALUE"""),"www.munzee.com")</f>
        <v>www.munzee.com</v>
      </c>
      <c r="L1176" s="47" t="str">
        <f>IFERROR(__xludf.DUMMYFUNCTION("""COMPUTED_VALUE"""),"m")</f>
        <v>m</v>
      </c>
      <c r="M1176" s="47" t="str">
        <f>IFERROR(__xludf.DUMMYFUNCTION("""COMPUTED_VALUE"""),"Aniara")</f>
        <v>Aniara</v>
      </c>
    </row>
    <row r="1177">
      <c r="A1177" s="47" t="str">
        <f>IFERROR(__xludf.DUMMYFUNCTION("""COMPUTED_VALUE"""),"Virtual Brown")</f>
        <v>Virtual Brown</v>
      </c>
      <c r="B1177" s="47" t="str">
        <f>IFERROR(__xludf.DUMMYFUNCTION("""COMPUTED_VALUE"""),"lison55")</f>
        <v>lison55</v>
      </c>
      <c r="C1177" s="78" t="str">
        <f>IFERROR(__xludf.DUMMYFUNCTION("""COMPUTED_VALUE"""),"https://www.munzee.com/m/lison55/16649")</f>
        <v>https://www.munzee.com/m/lison55/16649</v>
      </c>
      <c r="D1177" s="47"/>
      <c r="E1177" s="47" t="b">
        <f>IFERROR(__xludf.DUMMYFUNCTION("""COMPUTED_VALUE"""),TRUE)</f>
        <v>1</v>
      </c>
      <c r="F1177" s="47" t="str">
        <f>IFERROR(__xludf.DUMMYFUNCTION("""COMPUTED_VALUE"""),"")</f>
        <v/>
      </c>
      <c r="G1177" s="47" t="str">
        <f>IFERROR(__xludf.DUMMYFUNCTION("""COMPUTED_VALUE"""),"")</f>
        <v/>
      </c>
      <c r="H1177" s="47"/>
      <c r="I1177" s="47">
        <f>IFERROR(__xludf.DUMMYFUNCTION("""COMPUTED_VALUE"""),2.0)</f>
        <v>2</v>
      </c>
      <c r="J1177" s="47" t="str">
        <f>IFERROR(__xludf.DUMMYFUNCTION("""COMPUTED_VALUE"""),"https:")</f>
        <v>https:</v>
      </c>
      <c r="K1177" s="78" t="str">
        <f>IFERROR(__xludf.DUMMYFUNCTION("""COMPUTED_VALUE"""),"www.munzee.com")</f>
        <v>www.munzee.com</v>
      </c>
      <c r="L1177" s="47" t="str">
        <f>IFERROR(__xludf.DUMMYFUNCTION("""COMPUTED_VALUE"""),"m")</f>
        <v>m</v>
      </c>
      <c r="M1177" s="47" t="str">
        <f>IFERROR(__xludf.DUMMYFUNCTION("""COMPUTED_VALUE"""),"lison55")</f>
        <v>lison55</v>
      </c>
    </row>
    <row r="1178">
      <c r="A1178" s="47" t="str">
        <f>IFERROR(__xludf.DUMMYFUNCTION("""COMPUTED_VALUE"""),"Virtual Brown")</f>
        <v>Virtual Brown</v>
      </c>
      <c r="B1178" s="47" t="str">
        <f>IFERROR(__xludf.DUMMYFUNCTION("""COMPUTED_VALUE"""),"cbf600")</f>
        <v>cbf600</v>
      </c>
      <c r="C1178" s="78" t="str">
        <f>IFERROR(__xludf.DUMMYFUNCTION("""COMPUTED_VALUE"""),"https://www.munzee.com/m/cbf600/12154/")</f>
        <v>https://www.munzee.com/m/cbf600/12154/</v>
      </c>
      <c r="D1178" s="47"/>
      <c r="E1178" s="47" t="b">
        <f>IFERROR(__xludf.DUMMYFUNCTION("""COMPUTED_VALUE"""),TRUE)</f>
        <v>1</v>
      </c>
      <c r="F1178" s="47" t="str">
        <f>IFERROR(__xludf.DUMMYFUNCTION("""COMPUTED_VALUE"""),"")</f>
        <v/>
      </c>
      <c r="G1178" s="47" t="str">
        <f>IFERROR(__xludf.DUMMYFUNCTION("""COMPUTED_VALUE"""),"")</f>
        <v/>
      </c>
      <c r="H1178" s="47"/>
      <c r="I1178" s="47">
        <f>IFERROR(__xludf.DUMMYFUNCTION("""COMPUTED_VALUE"""),2.0)</f>
        <v>2</v>
      </c>
      <c r="J1178" s="47" t="str">
        <f>IFERROR(__xludf.DUMMYFUNCTION("""COMPUTED_VALUE"""),"https:")</f>
        <v>https:</v>
      </c>
      <c r="K1178" s="78" t="str">
        <f>IFERROR(__xludf.DUMMYFUNCTION("""COMPUTED_VALUE"""),"www.munzee.com")</f>
        <v>www.munzee.com</v>
      </c>
      <c r="L1178" s="47" t="str">
        <f>IFERROR(__xludf.DUMMYFUNCTION("""COMPUTED_VALUE"""),"m")</f>
        <v>m</v>
      </c>
      <c r="M1178" s="47" t="str">
        <f>IFERROR(__xludf.DUMMYFUNCTION("""COMPUTED_VALUE"""),"cbf600")</f>
        <v>cbf600</v>
      </c>
    </row>
    <row r="1179">
      <c r="A1179" s="47" t="str">
        <f>IFERROR(__xludf.DUMMYFUNCTION("""COMPUTED_VALUE"""),"Virtual Brown")</f>
        <v>Virtual Brown</v>
      </c>
      <c r="B1179" s="47"/>
      <c r="C1179" s="47"/>
      <c r="D1179" s="47"/>
      <c r="E1179" s="47" t="b">
        <f>IFERROR(__xludf.DUMMYFUNCTION("""COMPUTED_VALUE"""),FALSE)</f>
        <v>0</v>
      </c>
      <c r="F1179" s="47"/>
      <c r="G1179" s="47" t="str">
        <f>IFERROR(__xludf.DUMMYFUNCTION("""COMPUTED_VALUE"""),"")</f>
        <v/>
      </c>
      <c r="H1179" s="47"/>
      <c r="I1179" s="47">
        <f>IFERROR(__xludf.DUMMYFUNCTION("""COMPUTED_VALUE"""),0.0)</f>
        <v>0</v>
      </c>
      <c r="J1179" s="47" t="str">
        <f>IFERROR(__xludf.DUMMYFUNCTION("""COMPUTED_VALUE"""),"#VALUE!")</f>
        <v>#VALUE!</v>
      </c>
      <c r="K1179" s="47"/>
      <c r="L1179" s="47"/>
      <c r="M1179" s="47"/>
    </row>
    <row r="1180">
      <c r="A1180" s="47" t="str">
        <f>IFERROR(__xludf.DUMMYFUNCTION("""COMPUTED_VALUE"""),"Virtual Brown")</f>
        <v>Virtual Brown</v>
      </c>
      <c r="B1180" s="47" t="str">
        <f>IFERROR(__xludf.DUMMYFUNCTION("""COMPUTED_VALUE"""),"Bisquick2")</f>
        <v>Bisquick2</v>
      </c>
      <c r="C1180" s="78" t="str">
        <f>IFERROR(__xludf.DUMMYFUNCTION("""COMPUTED_VALUE"""),"https://www.munzee.com/m/Bisquick2/7109/")</f>
        <v>https://www.munzee.com/m/Bisquick2/7109/</v>
      </c>
      <c r="D1180" s="47"/>
      <c r="E1180" s="47" t="b">
        <f>IFERROR(__xludf.DUMMYFUNCTION("""COMPUTED_VALUE"""),TRUE)</f>
        <v>1</v>
      </c>
      <c r="F1180" s="47" t="str">
        <f>IFERROR(__xludf.DUMMYFUNCTION("""COMPUTED_VALUE"""),"")</f>
        <v/>
      </c>
      <c r="G1180" s="47" t="str">
        <f>IFERROR(__xludf.DUMMYFUNCTION("""COMPUTED_VALUE"""),"")</f>
        <v/>
      </c>
      <c r="H1180" s="47"/>
      <c r="I1180" s="47">
        <f>IFERROR(__xludf.DUMMYFUNCTION("""COMPUTED_VALUE"""),2.0)</f>
        <v>2</v>
      </c>
      <c r="J1180" s="47" t="str">
        <f>IFERROR(__xludf.DUMMYFUNCTION("""COMPUTED_VALUE"""),"https:")</f>
        <v>https:</v>
      </c>
      <c r="K1180" s="78" t="str">
        <f>IFERROR(__xludf.DUMMYFUNCTION("""COMPUTED_VALUE"""),"www.munzee.com")</f>
        <v>www.munzee.com</v>
      </c>
      <c r="L1180" s="47" t="str">
        <f>IFERROR(__xludf.DUMMYFUNCTION("""COMPUTED_VALUE"""),"m")</f>
        <v>m</v>
      </c>
      <c r="M1180" s="47" t="str">
        <f>IFERROR(__xludf.DUMMYFUNCTION("""COMPUTED_VALUE"""),"Bisquick2")</f>
        <v>Bisquick2</v>
      </c>
    </row>
    <row r="1181">
      <c r="A1181" s="47" t="str">
        <f>IFERROR(__xludf.DUMMYFUNCTION("""COMPUTED_VALUE"""),"Virtual Raw Sienna")</f>
        <v>Virtual Raw Sienna</v>
      </c>
      <c r="B1181" s="47" t="str">
        <f>IFERROR(__xludf.DUMMYFUNCTION("""COMPUTED_VALUE"""),"raunas")</f>
        <v>raunas</v>
      </c>
      <c r="C1181" s="78" t="str">
        <f>IFERROR(__xludf.DUMMYFUNCTION("""COMPUTED_VALUE"""),"https://www.munzee.com/m/raunas/12598")</f>
        <v>https://www.munzee.com/m/raunas/12598</v>
      </c>
      <c r="D1181" s="47"/>
      <c r="E1181" s="47" t="b">
        <f>IFERROR(__xludf.DUMMYFUNCTION("""COMPUTED_VALUE"""),TRUE)</f>
        <v>1</v>
      </c>
      <c r="F1181" s="47" t="str">
        <f>IFERROR(__xludf.DUMMYFUNCTION("""COMPUTED_VALUE"""),"")</f>
        <v/>
      </c>
      <c r="G1181" s="47" t="str">
        <f>IFERROR(__xludf.DUMMYFUNCTION("""COMPUTED_VALUE"""),"")</f>
        <v/>
      </c>
      <c r="H1181" s="47"/>
      <c r="I1181" s="47">
        <f>IFERROR(__xludf.DUMMYFUNCTION("""COMPUTED_VALUE"""),2.0)</f>
        <v>2</v>
      </c>
      <c r="J1181" s="47" t="str">
        <f>IFERROR(__xludf.DUMMYFUNCTION("""COMPUTED_VALUE"""),"https:")</f>
        <v>https:</v>
      </c>
      <c r="K1181" s="78" t="str">
        <f>IFERROR(__xludf.DUMMYFUNCTION("""COMPUTED_VALUE"""),"www.munzee.com")</f>
        <v>www.munzee.com</v>
      </c>
      <c r="L1181" s="47" t="str">
        <f>IFERROR(__xludf.DUMMYFUNCTION("""COMPUTED_VALUE"""),"m")</f>
        <v>m</v>
      </c>
      <c r="M1181" s="47" t="str">
        <f>IFERROR(__xludf.DUMMYFUNCTION("""COMPUTED_VALUE"""),"raunas")</f>
        <v>raunas</v>
      </c>
    </row>
    <row r="1182">
      <c r="A1182" s="47" t="str">
        <f>IFERROR(__xludf.DUMMYFUNCTION("""COMPUTED_VALUE"""),"Virtual Brown")</f>
        <v>Virtual Brown</v>
      </c>
      <c r="B1182" s="47" t="str">
        <f>IFERROR(__xludf.DUMMYFUNCTION("""COMPUTED_VALUE"""),"barefootguru")</f>
        <v>barefootguru</v>
      </c>
      <c r="C1182" s="78" t="str">
        <f>IFERROR(__xludf.DUMMYFUNCTION("""COMPUTED_VALUE"""),"https://www.munzee.com/m/barefootguru/5278/")</f>
        <v>https://www.munzee.com/m/barefootguru/5278/</v>
      </c>
      <c r="D1182" s="47"/>
      <c r="E1182" s="47" t="b">
        <f>IFERROR(__xludf.DUMMYFUNCTION("""COMPUTED_VALUE"""),TRUE)</f>
        <v>1</v>
      </c>
      <c r="F1182" s="47" t="str">
        <f>IFERROR(__xludf.DUMMYFUNCTION("""COMPUTED_VALUE"""),"")</f>
        <v/>
      </c>
      <c r="G1182" s="47" t="str">
        <f>IFERROR(__xludf.DUMMYFUNCTION("""COMPUTED_VALUE"""),"")</f>
        <v/>
      </c>
      <c r="H1182" s="47"/>
      <c r="I1182" s="47">
        <f>IFERROR(__xludf.DUMMYFUNCTION("""COMPUTED_VALUE"""),2.0)</f>
        <v>2</v>
      </c>
      <c r="J1182" s="47" t="str">
        <f>IFERROR(__xludf.DUMMYFUNCTION("""COMPUTED_VALUE"""),"https:")</f>
        <v>https:</v>
      </c>
      <c r="K1182" s="78" t="str">
        <f>IFERROR(__xludf.DUMMYFUNCTION("""COMPUTED_VALUE"""),"www.munzee.com")</f>
        <v>www.munzee.com</v>
      </c>
      <c r="L1182" s="47" t="str">
        <f>IFERROR(__xludf.DUMMYFUNCTION("""COMPUTED_VALUE"""),"m")</f>
        <v>m</v>
      </c>
      <c r="M1182" s="47" t="str">
        <f>IFERROR(__xludf.DUMMYFUNCTION("""COMPUTED_VALUE"""),"barefootguru")</f>
        <v>barefootguru</v>
      </c>
    </row>
    <row r="1183">
      <c r="A1183" s="47" t="str">
        <f>IFERROR(__xludf.DUMMYFUNCTION("""COMPUTED_VALUE"""),"Virtual Brown")</f>
        <v>Virtual Brown</v>
      </c>
      <c r="B1183" s="47" t="str">
        <f>IFERROR(__xludf.DUMMYFUNCTION("""COMPUTED_VALUE"""),"cbf600")</f>
        <v>cbf600</v>
      </c>
      <c r="C1183" s="78" t="str">
        <f>IFERROR(__xludf.DUMMYFUNCTION("""COMPUTED_VALUE"""),"https://www.munzee.com/m/cbf600/12155/")</f>
        <v>https://www.munzee.com/m/cbf600/12155/</v>
      </c>
      <c r="D1183" s="47"/>
      <c r="E1183" s="47" t="b">
        <f>IFERROR(__xludf.DUMMYFUNCTION("""COMPUTED_VALUE"""),TRUE)</f>
        <v>1</v>
      </c>
      <c r="F1183" s="47" t="str">
        <f>IFERROR(__xludf.DUMMYFUNCTION("""COMPUTED_VALUE"""),"")</f>
        <v/>
      </c>
      <c r="G1183" s="47" t="str">
        <f>IFERROR(__xludf.DUMMYFUNCTION("""COMPUTED_VALUE"""),"")</f>
        <v/>
      </c>
      <c r="H1183" s="47"/>
      <c r="I1183" s="47">
        <f>IFERROR(__xludf.DUMMYFUNCTION("""COMPUTED_VALUE"""),2.0)</f>
        <v>2</v>
      </c>
      <c r="J1183" s="47" t="str">
        <f>IFERROR(__xludf.DUMMYFUNCTION("""COMPUTED_VALUE"""),"https:")</f>
        <v>https:</v>
      </c>
      <c r="K1183" s="78" t="str">
        <f>IFERROR(__xludf.DUMMYFUNCTION("""COMPUTED_VALUE"""),"www.munzee.com")</f>
        <v>www.munzee.com</v>
      </c>
      <c r="L1183" s="47" t="str">
        <f>IFERROR(__xludf.DUMMYFUNCTION("""COMPUTED_VALUE"""),"m")</f>
        <v>m</v>
      </c>
      <c r="M1183" s="47" t="str">
        <f>IFERROR(__xludf.DUMMYFUNCTION("""COMPUTED_VALUE"""),"cbf600")</f>
        <v>cbf600</v>
      </c>
    </row>
    <row r="1184">
      <c r="A1184" s="47" t="str">
        <f>IFERROR(__xludf.DUMMYFUNCTION("""COMPUTED_VALUE"""),"Virtual Raw Sienna")</f>
        <v>Virtual Raw Sienna</v>
      </c>
      <c r="B1184" s="47" t="str">
        <f>IFERROR(__xludf.DUMMYFUNCTION("""COMPUTED_VALUE"""),"Bungle")</f>
        <v>Bungle</v>
      </c>
      <c r="C1184" s="78" t="str">
        <f>IFERROR(__xludf.DUMMYFUNCTION("""COMPUTED_VALUE"""),"https://www.munzee.com/m/Bungle/10437")</f>
        <v>https://www.munzee.com/m/Bungle/10437</v>
      </c>
      <c r="D1184" s="47"/>
      <c r="E1184" s="47" t="b">
        <f>IFERROR(__xludf.DUMMYFUNCTION("""COMPUTED_VALUE"""),TRUE)</f>
        <v>1</v>
      </c>
      <c r="F1184" s="47" t="str">
        <f>IFERROR(__xludf.DUMMYFUNCTION("""COMPUTED_VALUE"""),"")</f>
        <v/>
      </c>
      <c r="G1184" s="47" t="str">
        <f>IFERROR(__xludf.DUMMYFUNCTION("""COMPUTED_VALUE"""),"")</f>
        <v/>
      </c>
      <c r="H1184" s="47"/>
      <c r="I1184" s="47">
        <f>IFERROR(__xludf.DUMMYFUNCTION("""COMPUTED_VALUE"""),2.0)</f>
        <v>2</v>
      </c>
      <c r="J1184" s="47" t="str">
        <f>IFERROR(__xludf.DUMMYFUNCTION("""COMPUTED_VALUE"""),"https:")</f>
        <v>https:</v>
      </c>
      <c r="K1184" s="78" t="str">
        <f>IFERROR(__xludf.DUMMYFUNCTION("""COMPUTED_VALUE"""),"www.munzee.com")</f>
        <v>www.munzee.com</v>
      </c>
      <c r="L1184" s="47" t="str">
        <f>IFERROR(__xludf.DUMMYFUNCTION("""COMPUTED_VALUE"""),"m")</f>
        <v>m</v>
      </c>
      <c r="M1184" s="47" t="str">
        <f>IFERROR(__xludf.DUMMYFUNCTION("""COMPUTED_VALUE"""),"Bungle")</f>
        <v>Bungle</v>
      </c>
    </row>
    <row r="1185">
      <c r="A1185" s="47" t="str">
        <f>IFERROR(__xludf.DUMMYFUNCTION("""COMPUTED_VALUE"""),"Virtual Brown")</f>
        <v>Virtual Brown</v>
      </c>
      <c r="B1185" s="47" t="str">
        <f>IFERROR(__xludf.DUMMYFUNCTION("""COMPUTED_VALUE"""),"TheFrog")</f>
        <v>TheFrog</v>
      </c>
      <c r="C1185" s="78" t="str">
        <f>IFERROR(__xludf.DUMMYFUNCTION("""COMPUTED_VALUE"""),"https://www.munzee.com/m/TheFrog/5375/")</f>
        <v>https://www.munzee.com/m/TheFrog/5375/</v>
      </c>
      <c r="D1185" s="47"/>
      <c r="E1185" s="47" t="b">
        <f>IFERROR(__xludf.DUMMYFUNCTION("""COMPUTED_VALUE"""),TRUE)</f>
        <v>1</v>
      </c>
      <c r="F1185" s="47" t="str">
        <f>IFERROR(__xludf.DUMMYFUNCTION("""COMPUTED_VALUE"""),"")</f>
        <v/>
      </c>
      <c r="G1185" s="47" t="str">
        <f>IFERROR(__xludf.DUMMYFUNCTION("""COMPUTED_VALUE"""),"")</f>
        <v/>
      </c>
      <c r="H1185" s="47"/>
      <c r="I1185" s="47">
        <f>IFERROR(__xludf.DUMMYFUNCTION("""COMPUTED_VALUE"""),2.0)</f>
        <v>2</v>
      </c>
      <c r="J1185" s="47" t="str">
        <f>IFERROR(__xludf.DUMMYFUNCTION("""COMPUTED_VALUE"""),"https:")</f>
        <v>https:</v>
      </c>
      <c r="K1185" s="78" t="str">
        <f>IFERROR(__xludf.DUMMYFUNCTION("""COMPUTED_VALUE"""),"www.munzee.com")</f>
        <v>www.munzee.com</v>
      </c>
      <c r="L1185" s="47" t="str">
        <f>IFERROR(__xludf.DUMMYFUNCTION("""COMPUTED_VALUE"""),"m")</f>
        <v>m</v>
      </c>
      <c r="M1185" s="47" t="str">
        <f>IFERROR(__xludf.DUMMYFUNCTION("""COMPUTED_VALUE"""),"TheFrog")</f>
        <v>TheFrog</v>
      </c>
    </row>
    <row r="1186">
      <c r="A1186" s="47" t="str">
        <f>IFERROR(__xludf.DUMMYFUNCTION("""COMPUTED_VALUE"""),"Virtual Brown")</f>
        <v>Virtual Brown</v>
      </c>
      <c r="B1186" s="47" t="str">
        <f>IFERROR(__xludf.DUMMYFUNCTION("""COMPUTED_VALUE"""),"123xilef")</f>
        <v>123xilef</v>
      </c>
      <c r="C1186" s="78" t="str">
        <f>IFERROR(__xludf.DUMMYFUNCTION("""COMPUTED_VALUE"""),"https://www.munzee.com/m/123xilef/13724/")</f>
        <v>https://www.munzee.com/m/123xilef/13724/</v>
      </c>
      <c r="D1186" s="47"/>
      <c r="E1186" s="47" t="b">
        <f>IFERROR(__xludf.DUMMYFUNCTION("""COMPUTED_VALUE"""),TRUE)</f>
        <v>1</v>
      </c>
      <c r="F1186" s="47" t="str">
        <f>IFERROR(__xludf.DUMMYFUNCTION("""COMPUTED_VALUE"""),"")</f>
        <v/>
      </c>
      <c r="G1186" s="47" t="str">
        <f>IFERROR(__xludf.DUMMYFUNCTION("""COMPUTED_VALUE"""),"")</f>
        <v/>
      </c>
      <c r="H1186" s="47"/>
      <c r="I1186" s="47">
        <f>IFERROR(__xludf.DUMMYFUNCTION("""COMPUTED_VALUE"""),2.0)</f>
        <v>2</v>
      </c>
      <c r="J1186" s="47" t="str">
        <f>IFERROR(__xludf.DUMMYFUNCTION("""COMPUTED_VALUE"""),"https:")</f>
        <v>https:</v>
      </c>
      <c r="K1186" s="78" t="str">
        <f>IFERROR(__xludf.DUMMYFUNCTION("""COMPUTED_VALUE"""),"www.munzee.com")</f>
        <v>www.munzee.com</v>
      </c>
      <c r="L1186" s="47" t="str">
        <f>IFERROR(__xludf.DUMMYFUNCTION("""COMPUTED_VALUE"""),"m")</f>
        <v>m</v>
      </c>
      <c r="M1186" s="47" t="str">
        <f>IFERROR(__xludf.DUMMYFUNCTION("""COMPUTED_VALUE"""),"123xilef")</f>
        <v>123xilef</v>
      </c>
    </row>
    <row r="1187">
      <c r="A1187" s="47" t="str">
        <f>IFERROR(__xludf.DUMMYFUNCTION("""COMPUTED_VALUE"""),"Virtual Raw Sienna")</f>
        <v>Virtual Raw Sienna</v>
      </c>
      <c r="B1187" s="47" t="str">
        <f>IFERROR(__xludf.DUMMYFUNCTION("""COMPUTED_VALUE"""),"tommobil")</f>
        <v>tommobil</v>
      </c>
      <c r="C1187" s="78" t="str">
        <f>IFERROR(__xludf.DUMMYFUNCTION("""COMPUTED_VALUE"""),"https://www.munzee.com/m/tommobil/1407/")</f>
        <v>https://www.munzee.com/m/tommobil/1407/</v>
      </c>
      <c r="D1187" s="47"/>
      <c r="E1187" s="47" t="b">
        <f>IFERROR(__xludf.DUMMYFUNCTION("""COMPUTED_VALUE"""),TRUE)</f>
        <v>1</v>
      </c>
      <c r="F1187" s="47" t="str">
        <f>IFERROR(__xludf.DUMMYFUNCTION("""COMPUTED_VALUE"""),"")</f>
        <v/>
      </c>
      <c r="G1187" s="47" t="str">
        <f>IFERROR(__xludf.DUMMYFUNCTION("""COMPUTED_VALUE"""),"")</f>
        <v/>
      </c>
      <c r="H1187" s="47"/>
      <c r="I1187" s="47">
        <f>IFERROR(__xludf.DUMMYFUNCTION("""COMPUTED_VALUE"""),2.0)</f>
        <v>2</v>
      </c>
      <c r="J1187" s="47" t="str">
        <f>IFERROR(__xludf.DUMMYFUNCTION("""COMPUTED_VALUE"""),"https:")</f>
        <v>https:</v>
      </c>
      <c r="K1187" s="78" t="str">
        <f>IFERROR(__xludf.DUMMYFUNCTION("""COMPUTED_VALUE"""),"www.munzee.com")</f>
        <v>www.munzee.com</v>
      </c>
      <c r="L1187" s="47" t="str">
        <f>IFERROR(__xludf.DUMMYFUNCTION("""COMPUTED_VALUE"""),"m")</f>
        <v>m</v>
      </c>
      <c r="M1187" s="47" t="str">
        <f>IFERROR(__xludf.DUMMYFUNCTION("""COMPUTED_VALUE"""),"tommobil")</f>
        <v>tommobil</v>
      </c>
    </row>
    <row r="1188">
      <c r="A1188" s="47" t="str">
        <f>IFERROR(__xludf.DUMMYFUNCTION("""COMPUTED_VALUE"""),"Virtual Brown")</f>
        <v>Virtual Brown</v>
      </c>
      <c r="B1188" s="47" t="str">
        <f>IFERROR(__xludf.DUMMYFUNCTION("""COMPUTED_VALUE"""),"mortonfox")</f>
        <v>mortonfox</v>
      </c>
      <c r="C1188" s="78" t="str">
        <f>IFERROR(__xludf.DUMMYFUNCTION("""COMPUTED_VALUE"""),"https://www.munzee.com/m/mortonfox/22624/")</f>
        <v>https://www.munzee.com/m/mortonfox/22624/</v>
      </c>
      <c r="D1188" s="47"/>
      <c r="E1188" s="47" t="b">
        <f>IFERROR(__xludf.DUMMYFUNCTION("""COMPUTED_VALUE"""),TRUE)</f>
        <v>1</v>
      </c>
      <c r="F1188" s="47" t="str">
        <f>IFERROR(__xludf.DUMMYFUNCTION("""COMPUTED_VALUE"""),"")</f>
        <v/>
      </c>
      <c r="G1188" s="47" t="str">
        <f>IFERROR(__xludf.DUMMYFUNCTION("""COMPUTED_VALUE"""),"")</f>
        <v/>
      </c>
      <c r="H1188" s="47"/>
      <c r="I1188" s="47">
        <f>IFERROR(__xludf.DUMMYFUNCTION("""COMPUTED_VALUE"""),2.0)</f>
        <v>2</v>
      </c>
      <c r="J1188" s="47" t="str">
        <f>IFERROR(__xludf.DUMMYFUNCTION("""COMPUTED_VALUE"""),"https:")</f>
        <v>https:</v>
      </c>
      <c r="K1188" s="78" t="str">
        <f>IFERROR(__xludf.DUMMYFUNCTION("""COMPUTED_VALUE"""),"www.munzee.com")</f>
        <v>www.munzee.com</v>
      </c>
      <c r="L1188" s="47" t="str">
        <f>IFERROR(__xludf.DUMMYFUNCTION("""COMPUTED_VALUE"""),"m")</f>
        <v>m</v>
      </c>
      <c r="M1188" s="47" t="str">
        <f>IFERROR(__xludf.DUMMYFUNCTION("""COMPUTED_VALUE"""),"mortonfox")</f>
        <v>mortonfox</v>
      </c>
    </row>
    <row r="1189">
      <c r="A1189" s="47" t="str">
        <f>IFERROR(__xludf.DUMMYFUNCTION("""COMPUTED_VALUE"""),"Virtual Brown")</f>
        <v>Virtual Brown</v>
      </c>
      <c r="B1189" s="47" t="str">
        <f>IFERROR(__xludf.DUMMYFUNCTION("""COMPUTED_VALUE"""),"Fossillady")</f>
        <v>Fossillady</v>
      </c>
      <c r="C1189" s="78" t="str">
        <f>IFERROR(__xludf.DUMMYFUNCTION("""COMPUTED_VALUE"""),"https://www.munzee.com/m/Fossillady/5417")</f>
        <v>https://www.munzee.com/m/Fossillady/5417</v>
      </c>
      <c r="D1189" s="47"/>
      <c r="E1189" s="47" t="b">
        <f>IFERROR(__xludf.DUMMYFUNCTION("""COMPUTED_VALUE"""),FALSE)</f>
        <v>0</v>
      </c>
      <c r="F1189" s="47"/>
      <c r="G1189" s="47" t="str">
        <f>IFERROR(__xludf.DUMMYFUNCTION("""COMPUTED_VALUE"""),"Deployed")</f>
        <v>Deployed</v>
      </c>
      <c r="H1189" s="47"/>
      <c r="I1189" s="47">
        <f>IFERROR(__xludf.DUMMYFUNCTION("""COMPUTED_VALUE"""),1.0)</f>
        <v>1</v>
      </c>
      <c r="J1189" s="47" t="str">
        <f>IFERROR(__xludf.DUMMYFUNCTION("""COMPUTED_VALUE"""),"https:")</f>
        <v>https:</v>
      </c>
      <c r="K1189" s="78" t="str">
        <f>IFERROR(__xludf.DUMMYFUNCTION("""COMPUTED_VALUE"""),"www.munzee.com")</f>
        <v>www.munzee.com</v>
      </c>
      <c r="L1189" s="47" t="str">
        <f>IFERROR(__xludf.DUMMYFUNCTION("""COMPUTED_VALUE"""),"m")</f>
        <v>m</v>
      </c>
      <c r="M1189" s="47" t="str">
        <f>IFERROR(__xludf.DUMMYFUNCTION("""COMPUTED_VALUE"""),"Fossillady")</f>
        <v>Fossillady</v>
      </c>
    </row>
    <row r="1190">
      <c r="A1190" s="47" t="str">
        <f>IFERROR(__xludf.DUMMYFUNCTION("""COMPUTED_VALUE"""),"Virtual Brown")</f>
        <v>Virtual Brown</v>
      </c>
      <c r="B1190" s="47" t="str">
        <f>IFERROR(__xludf.DUMMYFUNCTION("""COMPUTED_VALUE"""),"tommobil")</f>
        <v>tommobil</v>
      </c>
      <c r="C1190" s="78" t="str">
        <f>IFERROR(__xludf.DUMMYFUNCTION("""COMPUTED_VALUE"""),"https://www.munzee.com/m/tommobil/1409/")</f>
        <v>https://www.munzee.com/m/tommobil/1409/</v>
      </c>
      <c r="D1190" s="47"/>
      <c r="E1190" s="47" t="b">
        <f>IFERROR(__xludf.DUMMYFUNCTION("""COMPUTED_VALUE"""),TRUE)</f>
        <v>1</v>
      </c>
      <c r="F1190" s="47" t="str">
        <f>IFERROR(__xludf.DUMMYFUNCTION("""COMPUTED_VALUE"""),"")</f>
        <v/>
      </c>
      <c r="G1190" s="47" t="str">
        <f>IFERROR(__xludf.DUMMYFUNCTION("""COMPUTED_VALUE"""),"")</f>
        <v/>
      </c>
      <c r="H1190" s="47"/>
      <c r="I1190" s="47">
        <f>IFERROR(__xludf.DUMMYFUNCTION("""COMPUTED_VALUE"""),2.0)</f>
        <v>2</v>
      </c>
      <c r="J1190" s="47" t="str">
        <f>IFERROR(__xludf.DUMMYFUNCTION("""COMPUTED_VALUE"""),"https:")</f>
        <v>https:</v>
      </c>
      <c r="K1190" s="78" t="str">
        <f>IFERROR(__xludf.DUMMYFUNCTION("""COMPUTED_VALUE"""),"www.munzee.com")</f>
        <v>www.munzee.com</v>
      </c>
      <c r="L1190" s="47" t="str">
        <f>IFERROR(__xludf.DUMMYFUNCTION("""COMPUTED_VALUE"""),"m")</f>
        <v>m</v>
      </c>
      <c r="M1190" s="47" t="str">
        <f>IFERROR(__xludf.DUMMYFUNCTION("""COMPUTED_VALUE"""),"tommobil")</f>
        <v>tommobil</v>
      </c>
    </row>
    <row r="1191">
      <c r="A1191" s="47" t="str">
        <f>IFERROR(__xludf.DUMMYFUNCTION("""COMPUTED_VALUE"""),"Virtual Brown")</f>
        <v>Virtual Brown</v>
      </c>
      <c r="B1191" s="47"/>
      <c r="C1191" s="47"/>
      <c r="D1191" s="47"/>
      <c r="E1191" s="47" t="b">
        <f>IFERROR(__xludf.DUMMYFUNCTION("""COMPUTED_VALUE"""),FALSE)</f>
        <v>0</v>
      </c>
      <c r="F1191" s="47"/>
      <c r="G1191" s="47" t="str">
        <f>IFERROR(__xludf.DUMMYFUNCTION("""COMPUTED_VALUE"""),"")</f>
        <v/>
      </c>
      <c r="H1191" s="47"/>
      <c r="I1191" s="47">
        <f>IFERROR(__xludf.DUMMYFUNCTION("""COMPUTED_VALUE"""),0.0)</f>
        <v>0</v>
      </c>
      <c r="J1191" s="47" t="str">
        <f>IFERROR(__xludf.DUMMYFUNCTION("""COMPUTED_VALUE"""),"#VALUE!")</f>
        <v>#VALUE!</v>
      </c>
      <c r="K1191" s="47"/>
      <c r="L1191" s="47"/>
      <c r="M1191" s="47"/>
    </row>
    <row r="1192">
      <c r="A1192" s="47" t="str">
        <f>IFERROR(__xludf.DUMMYFUNCTION("""COMPUTED_VALUE"""),"Virtual Brown")</f>
        <v>Virtual Brown</v>
      </c>
      <c r="B1192" s="47" t="str">
        <f>IFERROR(__xludf.DUMMYFUNCTION("""COMPUTED_VALUE"""),"alexmester")</f>
        <v>alexmester</v>
      </c>
      <c r="C1192" s="78" t="str">
        <f>IFERROR(__xludf.DUMMYFUNCTION("""COMPUTED_VALUE"""),"https://www.munzee.com/m/alexmester/1257/")</f>
        <v>https://www.munzee.com/m/alexmester/1257/</v>
      </c>
      <c r="D1192" s="47"/>
      <c r="E1192" s="47" t="b">
        <f>IFERROR(__xludf.DUMMYFUNCTION("""COMPUTED_VALUE"""),TRUE)</f>
        <v>1</v>
      </c>
      <c r="F1192" s="47" t="str">
        <f>IFERROR(__xludf.DUMMYFUNCTION("""COMPUTED_VALUE"""),"")</f>
        <v/>
      </c>
      <c r="G1192" s="47" t="str">
        <f>IFERROR(__xludf.DUMMYFUNCTION("""COMPUTED_VALUE"""),"")</f>
        <v/>
      </c>
      <c r="H1192" s="47"/>
      <c r="I1192" s="47">
        <f>IFERROR(__xludf.DUMMYFUNCTION("""COMPUTED_VALUE"""),2.0)</f>
        <v>2</v>
      </c>
      <c r="J1192" s="47" t="str">
        <f>IFERROR(__xludf.DUMMYFUNCTION("""COMPUTED_VALUE"""),"https:")</f>
        <v>https:</v>
      </c>
      <c r="K1192" s="78" t="str">
        <f>IFERROR(__xludf.DUMMYFUNCTION("""COMPUTED_VALUE"""),"www.munzee.com")</f>
        <v>www.munzee.com</v>
      </c>
      <c r="L1192" s="47" t="str">
        <f>IFERROR(__xludf.DUMMYFUNCTION("""COMPUTED_VALUE"""),"m")</f>
        <v>m</v>
      </c>
      <c r="M1192" s="47" t="str">
        <f>IFERROR(__xludf.DUMMYFUNCTION("""COMPUTED_VALUE"""),"alexmester")</f>
        <v>alexmester</v>
      </c>
    </row>
    <row r="1193">
      <c r="A1193" s="47" t="str">
        <f>IFERROR(__xludf.DUMMYFUNCTION("""COMPUTED_VALUE"""),"Virtual Brown")</f>
        <v>Virtual Brown</v>
      </c>
      <c r="B1193" s="47"/>
      <c r="C1193" s="47"/>
      <c r="D1193" s="47"/>
      <c r="E1193" s="47" t="b">
        <f>IFERROR(__xludf.DUMMYFUNCTION("""COMPUTED_VALUE"""),FALSE)</f>
        <v>0</v>
      </c>
      <c r="F1193" s="47"/>
      <c r="G1193" s="47" t="str">
        <f>IFERROR(__xludf.DUMMYFUNCTION("""COMPUTED_VALUE"""),"")</f>
        <v/>
      </c>
      <c r="H1193" s="47"/>
      <c r="I1193" s="47">
        <f>IFERROR(__xludf.DUMMYFUNCTION("""COMPUTED_VALUE"""),0.0)</f>
        <v>0</v>
      </c>
      <c r="J1193" s="47" t="str">
        <f>IFERROR(__xludf.DUMMYFUNCTION("""COMPUTED_VALUE"""),"#VALUE!")</f>
        <v>#VALUE!</v>
      </c>
      <c r="K1193" s="47"/>
      <c r="L1193" s="47"/>
      <c r="M1193" s="47"/>
    </row>
    <row r="1194">
      <c r="A1194" s="47" t="str">
        <f>IFERROR(__xludf.DUMMYFUNCTION("""COMPUTED_VALUE"""),"Virtual Raw Sienna")</f>
        <v>Virtual Raw Sienna</v>
      </c>
      <c r="B1194" s="47" t="str">
        <f>IFERROR(__xludf.DUMMYFUNCTION("""COMPUTED_VALUE"""),"alexmester")</f>
        <v>alexmester</v>
      </c>
      <c r="C1194" s="78" t="str">
        <f>IFERROR(__xludf.DUMMYFUNCTION("""COMPUTED_VALUE"""),"https://www.munzee.com/m/alexmester/1237/")</f>
        <v>https://www.munzee.com/m/alexmester/1237/</v>
      </c>
      <c r="D1194" s="47"/>
      <c r="E1194" s="47" t="b">
        <f>IFERROR(__xludf.DUMMYFUNCTION("""COMPUTED_VALUE"""),TRUE)</f>
        <v>1</v>
      </c>
      <c r="F1194" s="47"/>
      <c r="G1194" s="47" t="str">
        <f>IFERROR(__xludf.DUMMYFUNCTION("""COMPUTED_VALUE"""),"")</f>
        <v/>
      </c>
      <c r="H1194" s="47"/>
      <c r="I1194" s="47">
        <f>IFERROR(__xludf.DUMMYFUNCTION("""COMPUTED_VALUE"""),2.0)</f>
        <v>2</v>
      </c>
      <c r="J1194" s="47" t="str">
        <f>IFERROR(__xludf.DUMMYFUNCTION("""COMPUTED_VALUE"""),"https:")</f>
        <v>https:</v>
      </c>
      <c r="K1194" s="78" t="str">
        <f>IFERROR(__xludf.DUMMYFUNCTION("""COMPUTED_VALUE"""),"www.munzee.com")</f>
        <v>www.munzee.com</v>
      </c>
      <c r="L1194" s="47" t="str">
        <f>IFERROR(__xludf.DUMMYFUNCTION("""COMPUTED_VALUE"""),"m")</f>
        <v>m</v>
      </c>
      <c r="M1194" s="47" t="str">
        <f>IFERROR(__xludf.DUMMYFUNCTION("""COMPUTED_VALUE"""),"alexmester")</f>
        <v>alexmester</v>
      </c>
    </row>
    <row r="1195">
      <c r="A1195" s="47" t="str">
        <f>IFERROR(__xludf.DUMMYFUNCTION("""COMPUTED_VALUE"""),"Virtual Raw Sienna")</f>
        <v>Virtual Raw Sienna</v>
      </c>
      <c r="B1195" s="47" t="str">
        <f>IFERROR(__xludf.DUMMYFUNCTION("""COMPUTED_VALUE"""),"Trappertje")</f>
        <v>Trappertje</v>
      </c>
      <c r="C1195" s="78" t="str">
        <f>IFERROR(__xludf.DUMMYFUNCTION("""COMPUTED_VALUE"""),"https://www.munzee.com/m/Trappertje/15129/")</f>
        <v>https://www.munzee.com/m/Trappertje/15129/</v>
      </c>
      <c r="D1195" s="47"/>
      <c r="E1195" s="47" t="b">
        <f>IFERROR(__xludf.DUMMYFUNCTION("""COMPUTED_VALUE"""),TRUE)</f>
        <v>1</v>
      </c>
      <c r="F1195" s="47"/>
      <c r="G1195" s="47" t="str">
        <f>IFERROR(__xludf.DUMMYFUNCTION("""COMPUTED_VALUE"""),"")</f>
        <v/>
      </c>
      <c r="H1195" s="47"/>
      <c r="I1195" s="47">
        <f>IFERROR(__xludf.DUMMYFUNCTION("""COMPUTED_VALUE"""),2.0)</f>
        <v>2</v>
      </c>
      <c r="J1195" s="47" t="str">
        <f>IFERROR(__xludf.DUMMYFUNCTION("""COMPUTED_VALUE"""),"https:")</f>
        <v>https:</v>
      </c>
      <c r="K1195" s="78" t="str">
        <f>IFERROR(__xludf.DUMMYFUNCTION("""COMPUTED_VALUE"""),"www.munzee.com")</f>
        <v>www.munzee.com</v>
      </c>
      <c r="L1195" s="47" t="str">
        <f>IFERROR(__xludf.DUMMYFUNCTION("""COMPUTED_VALUE"""),"m")</f>
        <v>m</v>
      </c>
      <c r="M1195" s="47" t="str">
        <f>IFERROR(__xludf.DUMMYFUNCTION("""COMPUTED_VALUE"""),"Trappertje")</f>
        <v>Trappertje</v>
      </c>
    </row>
    <row r="1196">
      <c r="A1196" s="47" t="str">
        <f>IFERROR(__xludf.DUMMYFUNCTION("""COMPUTED_VALUE"""),"Virtual Brown")</f>
        <v>Virtual Brown</v>
      </c>
      <c r="B1196" s="47" t="str">
        <f>IFERROR(__xludf.DUMMYFUNCTION("""COMPUTED_VALUE"""),"Csiki86")</f>
        <v>Csiki86</v>
      </c>
      <c r="C1196" s="78" t="str">
        <f>IFERROR(__xludf.DUMMYFUNCTION("""COMPUTED_VALUE"""),"https://www.munzee.com/m/Csiki86/457/")</f>
        <v>https://www.munzee.com/m/Csiki86/457/</v>
      </c>
      <c r="D1196" s="47"/>
      <c r="E1196" s="47" t="b">
        <f>IFERROR(__xludf.DUMMYFUNCTION("""COMPUTED_VALUE"""),TRUE)</f>
        <v>1</v>
      </c>
      <c r="F1196" s="47"/>
      <c r="G1196" s="47" t="str">
        <f>IFERROR(__xludf.DUMMYFUNCTION("""COMPUTED_VALUE"""),"")</f>
        <v/>
      </c>
      <c r="H1196" s="47"/>
      <c r="I1196" s="47">
        <f>IFERROR(__xludf.DUMMYFUNCTION("""COMPUTED_VALUE"""),2.0)</f>
        <v>2</v>
      </c>
      <c r="J1196" s="47" t="str">
        <f>IFERROR(__xludf.DUMMYFUNCTION("""COMPUTED_VALUE"""),"https:")</f>
        <v>https:</v>
      </c>
      <c r="K1196" s="78" t="str">
        <f>IFERROR(__xludf.DUMMYFUNCTION("""COMPUTED_VALUE"""),"www.munzee.com")</f>
        <v>www.munzee.com</v>
      </c>
      <c r="L1196" s="47" t="str">
        <f>IFERROR(__xludf.DUMMYFUNCTION("""COMPUTED_VALUE"""),"m")</f>
        <v>m</v>
      </c>
      <c r="M1196" s="47" t="str">
        <f>IFERROR(__xludf.DUMMYFUNCTION("""COMPUTED_VALUE"""),"Csiki86")</f>
        <v>Csiki86</v>
      </c>
    </row>
    <row r="1197">
      <c r="A1197" s="47" t="str">
        <f>IFERROR(__xludf.DUMMYFUNCTION("""COMPUTED_VALUE"""),"Virtual Brown")</f>
        <v>Virtual Brown</v>
      </c>
      <c r="B1197" s="47" t="str">
        <f>IFERROR(__xludf.DUMMYFUNCTION("""COMPUTED_VALUE"""),"Belladivadee")</f>
        <v>Belladivadee</v>
      </c>
      <c r="C1197" s="78" t="str">
        <f>IFERROR(__xludf.DUMMYFUNCTION("""COMPUTED_VALUE"""),"https://www.munzee.com/m/belladivadee/3207")</f>
        <v>https://www.munzee.com/m/belladivadee/3207</v>
      </c>
      <c r="D1197" s="47"/>
      <c r="E1197" s="47" t="b">
        <f>IFERROR(__xludf.DUMMYFUNCTION("""COMPUTED_VALUE"""),TRUE)</f>
        <v>1</v>
      </c>
      <c r="F1197" s="47" t="str">
        <f>IFERROR(__xludf.DUMMYFUNCTION("""COMPUTED_VALUE"""),"")</f>
        <v/>
      </c>
      <c r="G1197" s="47" t="str">
        <f>IFERROR(__xludf.DUMMYFUNCTION("""COMPUTED_VALUE"""),"")</f>
        <v/>
      </c>
      <c r="H1197" s="47"/>
      <c r="I1197" s="47">
        <f>IFERROR(__xludf.DUMMYFUNCTION("""COMPUTED_VALUE"""),2.0)</f>
        <v>2</v>
      </c>
      <c r="J1197" s="47" t="str">
        <f>IFERROR(__xludf.DUMMYFUNCTION("""COMPUTED_VALUE"""),"https:")</f>
        <v>https:</v>
      </c>
      <c r="K1197" s="78" t="str">
        <f>IFERROR(__xludf.DUMMYFUNCTION("""COMPUTED_VALUE"""),"www.munzee.com")</f>
        <v>www.munzee.com</v>
      </c>
      <c r="L1197" s="47" t="str">
        <f>IFERROR(__xludf.DUMMYFUNCTION("""COMPUTED_VALUE"""),"m")</f>
        <v>m</v>
      </c>
      <c r="M1197" s="47" t="str">
        <f>IFERROR(__xludf.DUMMYFUNCTION("""COMPUTED_VALUE"""),"belladivadee")</f>
        <v>belladivadee</v>
      </c>
    </row>
    <row r="1198">
      <c r="A1198" s="47" t="str">
        <f>IFERROR(__xludf.DUMMYFUNCTION("""COMPUTED_VALUE"""),"Virtual Brown")</f>
        <v>Virtual Brown</v>
      </c>
      <c r="B1198" s="47" t="str">
        <f>IFERROR(__xludf.DUMMYFUNCTION("""COMPUTED_VALUE"""),"sverlaan")</f>
        <v>sverlaan</v>
      </c>
      <c r="C1198" s="78" t="str">
        <f>IFERROR(__xludf.DUMMYFUNCTION("""COMPUTED_VALUE"""),"https://www.munzee.com/m/sverlaan/6188/")</f>
        <v>https://www.munzee.com/m/sverlaan/6188/</v>
      </c>
      <c r="D1198" s="47"/>
      <c r="E1198" s="47" t="b">
        <f>IFERROR(__xludf.DUMMYFUNCTION("""COMPUTED_VALUE"""),TRUE)</f>
        <v>1</v>
      </c>
      <c r="F1198" s="47" t="str">
        <f>IFERROR(__xludf.DUMMYFUNCTION("""COMPUTED_VALUE"""),"")</f>
        <v/>
      </c>
      <c r="G1198" s="47" t="str">
        <f>IFERROR(__xludf.DUMMYFUNCTION("""COMPUTED_VALUE"""),"")</f>
        <v/>
      </c>
      <c r="H1198" s="47"/>
      <c r="I1198" s="47">
        <f>IFERROR(__xludf.DUMMYFUNCTION("""COMPUTED_VALUE"""),2.0)</f>
        <v>2</v>
      </c>
      <c r="J1198" s="47" t="str">
        <f>IFERROR(__xludf.DUMMYFUNCTION("""COMPUTED_VALUE"""),"https:")</f>
        <v>https:</v>
      </c>
      <c r="K1198" s="78" t="str">
        <f>IFERROR(__xludf.DUMMYFUNCTION("""COMPUTED_VALUE"""),"www.munzee.com")</f>
        <v>www.munzee.com</v>
      </c>
      <c r="L1198" s="47" t="str">
        <f>IFERROR(__xludf.DUMMYFUNCTION("""COMPUTED_VALUE"""),"m")</f>
        <v>m</v>
      </c>
      <c r="M1198" s="47" t="str">
        <f>IFERROR(__xludf.DUMMYFUNCTION("""COMPUTED_VALUE"""),"sverlaan")</f>
        <v>sverlaan</v>
      </c>
    </row>
    <row r="1199">
      <c r="A1199" s="47" t="str">
        <f>IFERROR(__xludf.DUMMYFUNCTION("""COMPUTED_VALUE"""),"Virtual Raw Sienna")</f>
        <v>Virtual Raw Sienna</v>
      </c>
      <c r="B1199" s="47" t="str">
        <f>IFERROR(__xludf.DUMMYFUNCTION("""COMPUTED_VALUE"""),"PawpatrolThomas")</f>
        <v>PawpatrolThomas</v>
      </c>
      <c r="C1199" s="78" t="str">
        <f>IFERROR(__xludf.DUMMYFUNCTION("""COMPUTED_VALUE"""),"https://www.munzee.com/m/PawPatrolThomas/4057/")</f>
        <v>https://www.munzee.com/m/PawPatrolThomas/4057/</v>
      </c>
      <c r="D1199" s="47"/>
      <c r="E1199" s="47" t="b">
        <f>IFERROR(__xludf.DUMMYFUNCTION("""COMPUTED_VALUE"""),TRUE)</f>
        <v>1</v>
      </c>
      <c r="F1199" s="47" t="str">
        <f>IFERROR(__xludf.DUMMYFUNCTION("""COMPUTED_VALUE"""),"")</f>
        <v/>
      </c>
      <c r="G1199" s="47" t="str">
        <f>IFERROR(__xludf.DUMMYFUNCTION("""COMPUTED_VALUE"""),"")</f>
        <v/>
      </c>
      <c r="H1199" s="47"/>
      <c r="I1199" s="47">
        <f>IFERROR(__xludf.DUMMYFUNCTION("""COMPUTED_VALUE"""),2.0)</f>
        <v>2</v>
      </c>
      <c r="J1199" s="47" t="str">
        <f>IFERROR(__xludf.DUMMYFUNCTION("""COMPUTED_VALUE"""),"https:")</f>
        <v>https:</v>
      </c>
      <c r="K1199" s="78" t="str">
        <f>IFERROR(__xludf.DUMMYFUNCTION("""COMPUTED_VALUE"""),"www.munzee.com")</f>
        <v>www.munzee.com</v>
      </c>
      <c r="L1199" s="47" t="str">
        <f>IFERROR(__xludf.DUMMYFUNCTION("""COMPUTED_VALUE"""),"m")</f>
        <v>m</v>
      </c>
      <c r="M1199" s="47" t="str">
        <f>IFERROR(__xludf.DUMMYFUNCTION("""COMPUTED_VALUE"""),"PawPatrolThomas")</f>
        <v>PawPatrolThomas</v>
      </c>
    </row>
    <row r="1200">
      <c r="A1200" s="47" t="str">
        <f>IFERROR(__xludf.DUMMYFUNCTION("""COMPUTED_VALUE"""),"Virtual Raw Sienna")</f>
        <v>Virtual Raw Sienna</v>
      </c>
      <c r="B1200" s="47" t="str">
        <f>IFERROR(__xludf.DUMMYFUNCTION("""COMPUTED_VALUE"""),"EmileP68")</f>
        <v>EmileP68</v>
      </c>
      <c r="C1200" s="78" t="str">
        <f>IFERROR(__xludf.DUMMYFUNCTION("""COMPUTED_VALUE"""),"https://www.munzee.com/m/EmileP68/4931/")</f>
        <v>https://www.munzee.com/m/EmileP68/4931/</v>
      </c>
      <c r="D1200" s="47"/>
      <c r="E1200" s="47" t="b">
        <f>IFERROR(__xludf.DUMMYFUNCTION("""COMPUTED_VALUE"""),TRUE)</f>
        <v>1</v>
      </c>
      <c r="F1200" s="47" t="str">
        <f>IFERROR(__xludf.DUMMYFUNCTION("""COMPUTED_VALUE"""),"")</f>
        <v/>
      </c>
      <c r="G1200" s="47" t="str">
        <f>IFERROR(__xludf.DUMMYFUNCTION("""COMPUTED_VALUE"""),"")</f>
        <v/>
      </c>
      <c r="H1200" s="47"/>
      <c r="I1200" s="47">
        <f>IFERROR(__xludf.DUMMYFUNCTION("""COMPUTED_VALUE"""),2.0)</f>
        <v>2</v>
      </c>
      <c r="J1200" s="47" t="str">
        <f>IFERROR(__xludf.DUMMYFUNCTION("""COMPUTED_VALUE"""),"https:")</f>
        <v>https:</v>
      </c>
      <c r="K1200" s="78" t="str">
        <f>IFERROR(__xludf.DUMMYFUNCTION("""COMPUTED_VALUE"""),"www.munzee.com")</f>
        <v>www.munzee.com</v>
      </c>
      <c r="L1200" s="47" t="str">
        <f>IFERROR(__xludf.DUMMYFUNCTION("""COMPUTED_VALUE"""),"m")</f>
        <v>m</v>
      </c>
      <c r="M1200" s="47" t="str">
        <f>IFERROR(__xludf.DUMMYFUNCTION("""COMPUTED_VALUE"""),"EmileP68")</f>
        <v>EmileP68</v>
      </c>
    </row>
    <row r="1201">
      <c r="A1201" s="47" t="str">
        <f>IFERROR(__xludf.DUMMYFUNCTION("""COMPUTED_VALUE"""),"Virtual Brown")</f>
        <v>Virtual Brown</v>
      </c>
      <c r="B1201" s="47" t="str">
        <f>IFERROR(__xludf.DUMMYFUNCTION("""COMPUTED_VALUE"""),"BrotherWilliam")</f>
        <v>BrotherWilliam</v>
      </c>
      <c r="C1201" s="78" t="str">
        <f>IFERROR(__xludf.DUMMYFUNCTION("""COMPUTED_VALUE"""),"https://www.munzee.com/m/BrotherWilliam/5399/")</f>
        <v>https://www.munzee.com/m/BrotherWilliam/5399/</v>
      </c>
      <c r="D1201" s="47"/>
      <c r="E1201" s="47" t="b">
        <f>IFERROR(__xludf.DUMMYFUNCTION("""COMPUTED_VALUE"""),TRUE)</f>
        <v>1</v>
      </c>
      <c r="F1201" s="47" t="str">
        <f>IFERROR(__xludf.DUMMYFUNCTION("""COMPUTED_VALUE"""),"")</f>
        <v/>
      </c>
      <c r="G1201" s="47" t="str">
        <f>IFERROR(__xludf.DUMMYFUNCTION("""COMPUTED_VALUE"""),"")</f>
        <v/>
      </c>
      <c r="H1201" s="47"/>
      <c r="I1201" s="47">
        <f>IFERROR(__xludf.DUMMYFUNCTION("""COMPUTED_VALUE"""),2.0)</f>
        <v>2</v>
      </c>
      <c r="J1201" s="47" t="str">
        <f>IFERROR(__xludf.DUMMYFUNCTION("""COMPUTED_VALUE"""),"https:")</f>
        <v>https:</v>
      </c>
      <c r="K1201" s="78" t="str">
        <f>IFERROR(__xludf.DUMMYFUNCTION("""COMPUTED_VALUE"""),"www.munzee.com")</f>
        <v>www.munzee.com</v>
      </c>
      <c r="L1201" s="47" t="str">
        <f>IFERROR(__xludf.DUMMYFUNCTION("""COMPUTED_VALUE"""),"m")</f>
        <v>m</v>
      </c>
      <c r="M1201" s="47" t="str">
        <f>IFERROR(__xludf.DUMMYFUNCTION("""COMPUTED_VALUE"""),"BrotherWilliam")</f>
        <v>BrotherWilliam</v>
      </c>
    </row>
    <row r="1202">
      <c r="A1202" s="47" t="str">
        <f>IFERROR(__xludf.DUMMYFUNCTION("""COMPUTED_VALUE"""),"Virtual Brown")</f>
        <v>Virtual Brown</v>
      </c>
      <c r="B1202" s="47" t="str">
        <f>IFERROR(__xludf.DUMMYFUNCTION("""COMPUTED_VALUE"""),"ArtofEco")</f>
        <v>ArtofEco</v>
      </c>
      <c r="C1202" s="78" t="str">
        <f>IFERROR(__xludf.DUMMYFUNCTION("""COMPUTED_VALUE"""),"https://www.munzee.com/m/ArtofEco/3658/")</f>
        <v>https://www.munzee.com/m/ArtofEco/3658/</v>
      </c>
      <c r="D1202" s="47"/>
      <c r="E1202" s="47" t="b">
        <f>IFERROR(__xludf.DUMMYFUNCTION("""COMPUTED_VALUE"""),TRUE)</f>
        <v>1</v>
      </c>
      <c r="F1202" s="47" t="str">
        <f>IFERROR(__xludf.DUMMYFUNCTION("""COMPUTED_VALUE"""),"")</f>
        <v/>
      </c>
      <c r="G1202" s="47" t="str">
        <f>IFERROR(__xludf.DUMMYFUNCTION("""COMPUTED_VALUE"""),"")</f>
        <v/>
      </c>
      <c r="H1202" s="47"/>
      <c r="I1202" s="47">
        <f>IFERROR(__xludf.DUMMYFUNCTION("""COMPUTED_VALUE"""),2.0)</f>
        <v>2</v>
      </c>
      <c r="J1202" s="47" t="str">
        <f>IFERROR(__xludf.DUMMYFUNCTION("""COMPUTED_VALUE"""),"https:")</f>
        <v>https:</v>
      </c>
      <c r="K1202" s="78" t="str">
        <f>IFERROR(__xludf.DUMMYFUNCTION("""COMPUTED_VALUE"""),"www.munzee.com")</f>
        <v>www.munzee.com</v>
      </c>
      <c r="L1202" s="47" t="str">
        <f>IFERROR(__xludf.DUMMYFUNCTION("""COMPUTED_VALUE"""),"m")</f>
        <v>m</v>
      </c>
      <c r="M1202" s="47" t="str">
        <f>IFERROR(__xludf.DUMMYFUNCTION("""COMPUTED_VALUE"""),"ArtofEco")</f>
        <v>ArtofEco</v>
      </c>
    </row>
    <row r="1203">
      <c r="A1203" s="47" t="str">
        <f>IFERROR(__xludf.DUMMYFUNCTION("""COMPUTED_VALUE"""),"Virtual Brown")</f>
        <v>Virtual Brown</v>
      </c>
      <c r="B1203" s="47" t="str">
        <f>IFERROR(__xludf.DUMMYFUNCTION("""COMPUTED_VALUE"""),"J1Hiuisman")</f>
        <v>J1Hiuisman</v>
      </c>
      <c r="C1203" s="78" t="str">
        <f>IFERROR(__xludf.DUMMYFUNCTION("""COMPUTED_VALUE"""),"https://www.munzee.com/m/J1Huisman/14279/")</f>
        <v>https://www.munzee.com/m/J1Huisman/14279/</v>
      </c>
      <c r="D1203" s="47"/>
      <c r="E1203" s="47" t="b">
        <f>IFERROR(__xludf.DUMMYFUNCTION("""COMPUTED_VALUE"""),TRUE)</f>
        <v>1</v>
      </c>
      <c r="F1203" s="47" t="str">
        <f>IFERROR(__xludf.DUMMYFUNCTION("""COMPUTED_VALUE"""),"")</f>
        <v/>
      </c>
      <c r="G1203" s="47" t="str">
        <f>IFERROR(__xludf.DUMMYFUNCTION("""COMPUTED_VALUE"""),"")</f>
        <v/>
      </c>
      <c r="H1203" s="47"/>
      <c r="I1203" s="47">
        <f>IFERROR(__xludf.DUMMYFUNCTION("""COMPUTED_VALUE"""),2.0)</f>
        <v>2</v>
      </c>
      <c r="J1203" s="47" t="str">
        <f>IFERROR(__xludf.DUMMYFUNCTION("""COMPUTED_VALUE"""),"https:")</f>
        <v>https:</v>
      </c>
      <c r="K1203" s="78" t="str">
        <f>IFERROR(__xludf.DUMMYFUNCTION("""COMPUTED_VALUE"""),"www.munzee.com")</f>
        <v>www.munzee.com</v>
      </c>
      <c r="L1203" s="47" t="str">
        <f>IFERROR(__xludf.DUMMYFUNCTION("""COMPUTED_VALUE"""),"m")</f>
        <v>m</v>
      </c>
      <c r="M1203" s="47" t="str">
        <f>IFERROR(__xludf.DUMMYFUNCTION("""COMPUTED_VALUE"""),"J1Huisman")</f>
        <v>J1Huisman</v>
      </c>
    </row>
    <row r="1204">
      <c r="A1204" s="47" t="str">
        <f>IFERROR(__xludf.DUMMYFUNCTION("""COMPUTED_VALUE"""),"Virtual Raw Sienna")</f>
        <v>Virtual Raw Sienna</v>
      </c>
      <c r="B1204" s="47" t="str">
        <f>IFERROR(__xludf.DUMMYFUNCTION("""COMPUTED_VALUE"""),"fsafranek")</f>
        <v>fsafranek</v>
      </c>
      <c r="C1204" s="78" t="str">
        <f>IFERROR(__xludf.DUMMYFUNCTION("""COMPUTED_VALUE"""),"https://www.munzee.com/m/fsafranek/5375/")</f>
        <v>https://www.munzee.com/m/fsafranek/5375/</v>
      </c>
      <c r="D1204" s="47"/>
      <c r="E1204" s="47" t="b">
        <f>IFERROR(__xludf.DUMMYFUNCTION("""COMPUTED_VALUE"""),TRUE)</f>
        <v>1</v>
      </c>
      <c r="F1204" s="47" t="str">
        <f>IFERROR(__xludf.DUMMYFUNCTION("""COMPUTED_VALUE"""),"")</f>
        <v/>
      </c>
      <c r="G1204" s="47" t="str">
        <f>IFERROR(__xludf.DUMMYFUNCTION("""COMPUTED_VALUE"""),"")</f>
        <v/>
      </c>
      <c r="H1204" s="47"/>
      <c r="I1204" s="47">
        <f>IFERROR(__xludf.DUMMYFUNCTION("""COMPUTED_VALUE"""),2.0)</f>
        <v>2</v>
      </c>
      <c r="J1204" s="47" t="str">
        <f>IFERROR(__xludf.DUMMYFUNCTION("""COMPUTED_VALUE"""),"https:")</f>
        <v>https:</v>
      </c>
      <c r="K1204" s="78" t="str">
        <f>IFERROR(__xludf.DUMMYFUNCTION("""COMPUTED_VALUE"""),"www.munzee.com")</f>
        <v>www.munzee.com</v>
      </c>
      <c r="L1204" s="47" t="str">
        <f>IFERROR(__xludf.DUMMYFUNCTION("""COMPUTED_VALUE"""),"m")</f>
        <v>m</v>
      </c>
      <c r="M1204" s="47" t="str">
        <f>IFERROR(__xludf.DUMMYFUNCTION("""COMPUTED_VALUE"""),"fsafranek")</f>
        <v>fsafranek</v>
      </c>
    </row>
    <row r="1205">
      <c r="A1205" s="47" t="str">
        <f>IFERROR(__xludf.DUMMYFUNCTION("""COMPUTED_VALUE"""),"Virtual Brown")</f>
        <v>Virtual Brown</v>
      </c>
      <c r="B1205" s="47" t="str">
        <f>IFERROR(__xludf.DUMMYFUNCTION("""COMPUTED_VALUE"""),"xrayneex")</f>
        <v>xrayneex</v>
      </c>
      <c r="C1205" s="78" t="str">
        <f>IFERROR(__xludf.DUMMYFUNCTION("""COMPUTED_VALUE"""),"https://www.munzee.com/m/xrayneex/2536/")</f>
        <v>https://www.munzee.com/m/xrayneex/2536/</v>
      </c>
      <c r="D1205" s="47"/>
      <c r="E1205" s="47" t="b">
        <f>IFERROR(__xludf.DUMMYFUNCTION("""COMPUTED_VALUE"""),TRUE)</f>
        <v>1</v>
      </c>
      <c r="F1205" s="47" t="str">
        <f>IFERROR(__xludf.DUMMYFUNCTION("""COMPUTED_VALUE"""),"")</f>
        <v/>
      </c>
      <c r="G1205" s="47" t="str">
        <f>IFERROR(__xludf.DUMMYFUNCTION("""COMPUTED_VALUE"""),"")</f>
        <v/>
      </c>
      <c r="H1205" s="47"/>
      <c r="I1205" s="47">
        <f>IFERROR(__xludf.DUMMYFUNCTION("""COMPUTED_VALUE"""),2.0)</f>
        <v>2</v>
      </c>
      <c r="J1205" s="47" t="str">
        <f>IFERROR(__xludf.DUMMYFUNCTION("""COMPUTED_VALUE"""),"https:")</f>
        <v>https:</v>
      </c>
      <c r="K1205" s="78" t="str">
        <f>IFERROR(__xludf.DUMMYFUNCTION("""COMPUTED_VALUE"""),"www.munzee.com")</f>
        <v>www.munzee.com</v>
      </c>
      <c r="L1205" s="47" t="str">
        <f>IFERROR(__xludf.DUMMYFUNCTION("""COMPUTED_VALUE"""),"m")</f>
        <v>m</v>
      </c>
      <c r="M1205" s="47" t="str">
        <f>IFERROR(__xludf.DUMMYFUNCTION("""COMPUTED_VALUE"""),"xrayneex")</f>
        <v>xrayneex</v>
      </c>
    </row>
    <row r="1206">
      <c r="A1206" s="47" t="str">
        <f>IFERROR(__xludf.DUMMYFUNCTION("""COMPUTED_VALUE"""),"Virtual Brown")</f>
        <v>Virtual Brown</v>
      </c>
      <c r="B1206" s="47" t="str">
        <f>IFERROR(__xludf.DUMMYFUNCTION("""COMPUTED_VALUE"""),"lupo6")</f>
        <v>lupo6</v>
      </c>
      <c r="C1206" s="78" t="str">
        <f>IFERROR(__xludf.DUMMYFUNCTION("""COMPUTED_VALUE"""),"https://www.munzee.com/m/lupo6/6877")</f>
        <v>https://www.munzee.com/m/lupo6/6877</v>
      </c>
      <c r="D1206" s="47"/>
      <c r="E1206" s="47" t="b">
        <f>IFERROR(__xludf.DUMMYFUNCTION("""COMPUTED_VALUE"""),TRUE)</f>
        <v>1</v>
      </c>
      <c r="F1206" s="47" t="str">
        <f>IFERROR(__xludf.DUMMYFUNCTION("""COMPUTED_VALUE"""),"")</f>
        <v/>
      </c>
      <c r="G1206" s="47" t="str">
        <f>IFERROR(__xludf.DUMMYFUNCTION("""COMPUTED_VALUE"""),"")</f>
        <v/>
      </c>
      <c r="H1206" s="47"/>
      <c r="I1206" s="47">
        <f>IFERROR(__xludf.DUMMYFUNCTION("""COMPUTED_VALUE"""),2.0)</f>
        <v>2</v>
      </c>
      <c r="J1206" s="47" t="str">
        <f>IFERROR(__xludf.DUMMYFUNCTION("""COMPUTED_VALUE"""),"https:")</f>
        <v>https:</v>
      </c>
      <c r="K1206" s="78" t="str">
        <f>IFERROR(__xludf.DUMMYFUNCTION("""COMPUTED_VALUE"""),"www.munzee.com")</f>
        <v>www.munzee.com</v>
      </c>
      <c r="L1206" s="47" t="str">
        <f>IFERROR(__xludf.DUMMYFUNCTION("""COMPUTED_VALUE"""),"m")</f>
        <v>m</v>
      </c>
      <c r="M1206" s="47" t="str">
        <f>IFERROR(__xludf.DUMMYFUNCTION("""COMPUTED_VALUE"""),"lupo6")</f>
        <v>lupo6</v>
      </c>
    </row>
    <row r="1207">
      <c r="A1207" s="47" t="str">
        <f>IFERROR(__xludf.DUMMYFUNCTION("""COMPUTED_VALUE"""),"Virtual Brown")</f>
        <v>Virtual Brown</v>
      </c>
      <c r="B1207" s="47" t="str">
        <f>IFERROR(__xludf.DUMMYFUNCTION("""COMPUTED_VALUE"""),"ddtsnorton")</f>
        <v>ddtsnorton</v>
      </c>
      <c r="C1207" s="78" t="str">
        <f>IFERROR(__xludf.DUMMYFUNCTION("""COMPUTED_VALUE"""),"https://www.munzee.com/m/ddtsnorton/11384/")</f>
        <v>https://www.munzee.com/m/ddtsnorton/11384/</v>
      </c>
      <c r="D1207" s="47"/>
      <c r="E1207" s="47" t="b">
        <f>IFERROR(__xludf.DUMMYFUNCTION("""COMPUTED_VALUE"""),TRUE)</f>
        <v>1</v>
      </c>
      <c r="F1207" s="47" t="str">
        <f>IFERROR(__xludf.DUMMYFUNCTION("""COMPUTED_VALUE"""),"")</f>
        <v/>
      </c>
      <c r="G1207" s="47" t="str">
        <f>IFERROR(__xludf.DUMMYFUNCTION("""COMPUTED_VALUE"""),"")</f>
        <v/>
      </c>
      <c r="H1207" s="47"/>
      <c r="I1207" s="47">
        <f>IFERROR(__xludf.DUMMYFUNCTION("""COMPUTED_VALUE"""),2.0)</f>
        <v>2</v>
      </c>
      <c r="J1207" s="47" t="str">
        <f>IFERROR(__xludf.DUMMYFUNCTION("""COMPUTED_VALUE"""),"https:")</f>
        <v>https:</v>
      </c>
      <c r="K1207" s="78" t="str">
        <f>IFERROR(__xludf.DUMMYFUNCTION("""COMPUTED_VALUE"""),"www.munzee.com")</f>
        <v>www.munzee.com</v>
      </c>
      <c r="L1207" s="47" t="str">
        <f>IFERROR(__xludf.DUMMYFUNCTION("""COMPUTED_VALUE"""),"m")</f>
        <v>m</v>
      </c>
      <c r="M1207" s="47" t="str">
        <f>IFERROR(__xludf.DUMMYFUNCTION("""COMPUTED_VALUE"""),"ddtsnorton")</f>
        <v>ddtsnorton</v>
      </c>
    </row>
    <row r="1208">
      <c r="A1208" s="47" t="str">
        <f>IFERROR(__xludf.DUMMYFUNCTION("""COMPUTED_VALUE"""),"Virtual Brown")</f>
        <v>Virtual Brown</v>
      </c>
      <c r="B1208" s="47" t="str">
        <f>IFERROR(__xludf.DUMMYFUNCTION("""COMPUTED_VALUE"""),"Ellesche")</f>
        <v>Ellesche</v>
      </c>
      <c r="C1208" s="78" t="str">
        <f>IFERROR(__xludf.DUMMYFUNCTION("""COMPUTED_VALUE"""),"https://www.munzee.com/m/Ellesche/802")</f>
        <v>https://www.munzee.com/m/Ellesche/802</v>
      </c>
      <c r="D1208" s="47"/>
      <c r="E1208" s="47" t="b">
        <f>IFERROR(__xludf.DUMMYFUNCTION("""COMPUTED_VALUE"""),TRUE)</f>
        <v>1</v>
      </c>
      <c r="F1208" s="47" t="str">
        <f>IFERROR(__xludf.DUMMYFUNCTION("""COMPUTED_VALUE"""),"")</f>
        <v/>
      </c>
      <c r="G1208" s="47" t="str">
        <f>IFERROR(__xludf.DUMMYFUNCTION("""COMPUTED_VALUE"""),"")</f>
        <v/>
      </c>
      <c r="H1208" s="47"/>
      <c r="I1208" s="47">
        <f>IFERROR(__xludf.DUMMYFUNCTION("""COMPUTED_VALUE"""),2.0)</f>
        <v>2</v>
      </c>
      <c r="J1208" s="47" t="str">
        <f>IFERROR(__xludf.DUMMYFUNCTION("""COMPUTED_VALUE"""),"https:")</f>
        <v>https:</v>
      </c>
      <c r="K1208" s="78" t="str">
        <f>IFERROR(__xludf.DUMMYFUNCTION("""COMPUTED_VALUE"""),"www.munzee.com")</f>
        <v>www.munzee.com</v>
      </c>
      <c r="L1208" s="47" t="str">
        <f>IFERROR(__xludf.DUMMYFUNCTION("""COMPUTED_VALUE"""),"m")</f>
        <v>m</v>
      </c>
      <c r="M1208" s="47" t="str">
        <f>IFERROR(__xludf.DUMMYFUNCTION("""COMPUTED_VALUE"""),"Ellesche")</f>
        <v>Ellesche</v>
      </c>
    </row>
    <row r="1209">
      <c r="A1209" s="47" t="str">
        <f>IFERROR(__xludf.DUMMYFUNCTION("""COMPUTED_VALUE"""),"Virtual Brown")</f>
        <v>Virtual Brown</v>
      </c>
      <c r="B1209" s="47" t="str">
        <f>IFERROR(__xludf.DUMMYFUNCTION("""COMPUTED_VALUE"""),"res2100")</f>
        <v>res2100</v>
      </c>
      <c r="C1209" s="78" t="str">
        <f>IFERROR(__xludf.DUMMYFUNCTION("""COMPUTED_VALUE"""),"https://www.munzee.com/m/res2100/878")</f>
        <v>https://www.munzee.com/m/res2100/878</v>
      </c>
      <c r="D1209" s="47"/>
      <c r="E1209" s="47" t="b">
        <f>IFERROR(__xludf.DUMMYFUNCTION("""COMPUTED_VALUE"""),TRUE)</f>
        <v>1</v>
      </c>
      <c r="F1209" s="47" t="str">
        <f>IFERROR(__xludf.DUMMYFUNCTION("""COMPUTED_VALUE"""),"")</f>
        <v/>
      </c>
      <c r="G1209" s="47" t="str">
        <f>IFERROR(__xludf.DUMMYFUNCTION("""COMPUTED_VALUE"""),"")</f>
        <v/>
      </c>
      <c r="H1209" s="47"/>
      <c r="I1209" s="47">
        <f>IFERROR(__xludf.DUMMYFUNCTION("""COMPUTED_VALUE"""),2.0)</f>
        <v>2</v>
      </c>
      <c r="J1209" s="47" t="str">
        <f>IFERROR(__xludf.DUMMYFUNCTION("""COMPUTED_VALUE"""),"https:")</f>
        <v>https:</v>
      </c>
      <c r="K1209" s="78" t="str">
        <f>IFERROR(__xludf.DUMMYFUNCTION("""COMPUTED_VALUE"""),"www.munzee.com")</f>
        <v>www.munzee.com</v>
      </c>
      <c r="L1209" s="47" t="str">
        <f>IFERROR(__xludf.DUMMYFUNCTION("""COMPUTED_VALUE"""),"m")</f>
        <v>m</v>
      </c>
      <c r="M1209" s="47" t="str">
        <f>IFERROR(__xludf.DUMMYFUNCTION("""COMPUTED_VALUE"""),"res2100")</f>
        <v>res2100</v>
      </c>
    </row>
    <row r="1210">
      <c r="A1210" s="47" t="str">
        <f>IFERROR(__xludf.DUMMYFUNCTION("""COMPUTED_VALUE"""),"Virtual Brown")</f>
        <v>Virtual Brown</v>
      </c>
      <c r="B1210" s="47" t="str">
        <f>IFERROR(__xludf.DUMMYFUNCTION("""COMPUTED_VALUE"""),"Drazoria")</f>
        <v>Drazoria</v>
      </c>
      <c r="C1210" s="78" t="str">
        <f>IFERROR(__xludf.DUMMYFUNCTION("""COMPUTED_VALUE"""),"https://www.munzee.com/m/Drazoria/1586/")</f>
        <v>https://www.munzee.com/m/Drazoria/1586/</v>
      </c>
      <c r="D1210" s="47"/>
      <c r="E1210" s="47" t="b">
        <f>IFERROR(__xludf.DUMMYFUNCTION("""COMPUTED_VALUE"""),TRUE)</f>
        <v>1</v>
      </c>
      <c r="F1210" s="47" t="str">
        <f>IFERROR(__xludf.DUMMYFUNCTION("""COMPUTED_VALUE"""),"")</f>
        <v/>
      </c>
      <c r="G1210" s="47" t="str">
        <f>IFERROR(__xludf.DUMMYFUNCTION("""COMPUTED_VALUE"""),"")</f>
        <v/>
      </c>
      <c r="H1210" s="47"/>
      <c r="I1210" s="47">
        <f>IFERROR(__xludf.DUMMYFUNCTION("""COMPUTED_VALUE"""),2.0)</f>
        <v>2</v>
      </c>
      <c r="J1210" s="47" t="str">
        <f>IFERROR(__xludf.DUMMYFUNCTION("""COMPUTED_VALUE"""),"https:")</f>
        <v>https:</v>
      </c>
      <c r="K1210" s="78" t="str">
        <f>IFERROR(__xludf.DUMMYFUNCTION("""COMPUTED_VALUE"""),"www.munzee.com")</f>
        <v>www.munzee.com</v>
      </c>
      <c r="L1210" s="47" t="str">
        <f>IFERROR(__xludf.DUMMYFUNCTION("""COMPUTED_VALUE"""),"m")</f>
        <v>m</v>
      </c>
      <c r="M1210" s="47" t="str">
        <f>IFERROR(__xludf.DUMMYFUNCTION("""COMPUTED_VALUE"""),"Drazoria")</f>
        <v>Drazoria</v>
      </c>
    </row>
    <row r="1211">
      <c r="A1211" s="47" t="str">
        <f>IFERROR(__xludf.DUMMYFUNCTION("""COMPUTED_VALUE"""),"Virtual Brown")</f>
        <v>Virtual Brown</v>
      </c>
      <c r="B1211" s="47" t="str">
        <f>IFERROR(__xludf.DUMMYFUNCTION("""COMPUTED_VALUE"""),"Tinake1309")</f>
        <v>Tinake1309</v>
      </c>
      <c r="C1211" s="78" t="str">
        <f>IFERROR(__xludf.DUMMYFUNCTION("""COMPUTED_VALUE"""),"https://www.munzee.com/m/Tinake1309/1664/")</f>
        <v>https://www.munzee.com/m/Tinake1309/1664/</v>
      </c>
      <c r="D1211" s="47"/>
      <c r="E1211" s="47" t="b">
        <f>IFERROR(__xludf.DUMMYFUNCTION("""COMPUTED_VALUE"""),TRUE)</f>
        <v>1</v>
      </c>
      <c r="F1211" s="47" t="str">
        <f>IFERROR(__xludf.DUMMYFUNCTION("""COMPUTED_VALUE"""),"")</f>
        <v/>
      </c>
      <c r="G1211" s="47" t="str">
        <f>IFERROR(__xludf.DUMMYFUNCTION("""COMPUTED_VALUE"""),"")</f>
        <v/>
      </c>
      <c r="H1211" s="47"/>
      <c r="I1211" s="47">
        <f>IFERROR(__xludf.DUMMYFUNCTION("""COMPUTED_VALUE"""),2.0)</f>
        <v>2</v>
      </c>
      <c r="J1211" s="47" t="str">
        <f>IFERROR(__xludf.DUMMYFUNCTION("""COMPUTED_VALUE"""),"https:")</f>
        <v>https:</v>
      </c>
      <c r="K1211" s="78" t="str">
        <f>IFERROR(__xludf.DUMMYFUNCTION("""COMPUTED_VALUE"""),"www.munzee.com")</f>
        <v>www.munzee.com</v>
      </c>
      <c r="L1211" s="47" t="str">
        <f>IFERROR(__xludf.DUMMYFUNCTION("""COMPUTED_VALUE"""),"m")</f>
        <v>m</v>
      </c>
      <c r="M1211" s="47" t="str">
        <f>IFERROR(__xludf.DUMMYFUNCTION("""COMPUTED_VALUE"""),"Tinake1309")</f>
        <v>Tinake1309</v>
      </c>
    </row>
    <row r="1212">
      <c r="A1212" s="47" t="str">
        <f>IFERROR(__xludf.DUMMYFUNCTION("""COMPUTED_VALUE"""),"Virtual Brown")</f>
        <v>Virtual Brown</v>
      </c>
      <c r="B1212" s="47" t="str">
        <f>IFERROR(__xludf.DUMMYFUNCTION("""COMPUTED_VALUE"""),"Berg14")</f>
        <v>Berg14</v>
      </c>
      <c r="C1212" s="78" t="str">
        <f>IFERROR(__xludf.DUMMYFUNCTION("""COMPUTED_VALUE"""),"https://www.munzee.com/m/Berg14/1540/")</f>
        <v>https://www.munzee.com/m/Berg14/1540/</v>
      </c>
      <c r="D1212" s="47"/>
      <c r="E1212" s="47" t="b">
        <f>IFERROR(__xludf.DUMMYFUNCTION("""COMPUTED_VALUE"""),TRUE)</f>
        <v>1</v>
      </c>
      <c r="F1212" s="47" t="str">
        <f>IFERROR(__xludf.DUMMYFUNCTION("""COMPUTED_VALUE"""),"")</f>
        <v/>
      </c>
      <c r="G1212" s="47" t="str">
        <f>IFERROR(__xludf.DUMMYFUNCTION("""COMPUTED_VALUE"""),"")</f>
        <v/>
      </c>
      <c r="H1212" s="47"/>
      <c r="I1212" s="47">
        <f>IFERROR(__xludf.DUMMYFUNCTION("""COMPUTED_VALUE"""),2.0)</f>
        <v>2</v>
      </c>
      <c r="J1212" s="47" t="str">
        <f>IFERROR(__xludf.DUMMYFUNCTION("""COMPUTED_VALUE"""),"https:")</f>
        <v>https:</v>
      </c>
      <c r="K1212" s="78" t="str">
        <f>IFERROR(__xludf.DUMMYFUNCTION("""COMPUTED_VALUE"""),"www.munzee.com")</f>
        <v>www.munzee.com</v>
      </c>
      <c r="L1212" s="47" t="str">
        <f>IFERROR(__xludf.DUMMYFUNCTION("""COMPUTED_VALUE"""),"m")</f>
        <v>m</v>
      </c>
      <c r="M1212" s="47" t="str">
        <f>IFERROR(__xludf.DUMMYFUNCTION("""COMPUTED_VALUE"""),"Berg14")</f>
        <v>Berg14</v>
      </c>
    </row>
    <row r="1213">
      <c r="A1213" s="47" t="str">
        <f>IFERROR(__xludf.DUMMYFUNCTION("""COMPUTED_VALUE"""),"Virtual Brown")</f>
        <v>Virtual Brown</v>
      </c>
      <c r="B1213" s="47" t="str">
        <f>IFERROR(__xludf.DUMMYFUNCTION("""COMPUTED_VALUE"""),"Niks13")</f>
        <v>Niks13</v>
      </c>
      <c r="C1213" s="78" t="str">
        <f>IFERROR(__xludf.DUMMYFUNCTION("""COMPUTED_VALUE"""),"https://www.munzee.com/m/Niks13/1525/")</f>
        <v>https://www.munzee.com/m/Niks13/1525/</v>
      </c>
      <c r="D1213" s="47"/>
      <c r="E1213" s="47" t="b">
        <f>IFERROR(__xludf.DUMMYFUNCTION("""COMPUTED_VALUE"""),TRUE)</f>
        <v>1</v>
      </c>
      <c r="F1213" s="47" t="str">
        <f>IFERROR(__xludf.DUMMYFUNCTION("""COMPUTED_VALUE"""),"")</f>
        <v/>
      </c>
      <c r="G1213" s="47" t="str">
        <f>IFERROR(__xludf.DUMMYFUNCTION("""COMPUTED_VALUE"""),"")</f>
        <v/>
      </c>
      <c r="H1213" s="47"/>
      <c r="I1213" s="47">
        <f>IFERROR(__xludf.DUMMYFUNCTION("""COMPUTED_VALUE"""),2.0)</f>
        <v>2</v>
      </c>
      <c r="J1213" s="47" t="str">
        <f>IFERROR(__xludf.DUMMYFUNCTION("""COMPUTED_VALUE"""),"https:")</f>
        <v>https:</v>
      </c>
      <c r="K1213" s="78" t="str">
        <f>IFERROR(__xludf.DUMMYFUNCTION("""COMPUTED_VALUE"""),"www.munzee.com")</f>
        <v>www.munzee.com</v>
      </c>
      <c r="L1213" s="47" t="str">
        <f>IFERROR(__xludf.DUMMYFUNCTION("""COMPUTED_VALUE"""),"m")</f>
        <v>m</v>
      </c>
      <c r="M1213" s="47" t="str">
        <f>IFERROR(__xludf.DUMMYFUNCTION("""COMPUTED_VALUE"""),"Niks13")</f>
        <v>Niks13</v>
      </c>
    </row>
    <row r="1214">
      <c r="A1214" s="47" t="str">
        <f>IFERROR(__xludf.DUMMYFUNCTION("""COMPUTED_VALUE"""),"Virtual Brown")</f>
        <v>Virtual Brown</v>
      </c>
      <c r="B1214" s="47" t="str">
        <f>IFERROR(__xludf.DUMMYFUNCTION("""COMPUTED_VALUE"""),"crscousins")</f>
        <v>crscousins</v>
      </c>
      <c r="C1214" s="78" t="str">
        <f>IFERROR(__xludf.DUMMYFUNCTION("""COMPUTED_VALUE"""),"https://www.munzee.com/m/crscousins/6802/")</f>
        <v>https://www.munzee.com/m/crscousins/6802/</v>
      </c>
      <c r="D1214" s="47"/>
      <c r="E1214" s="47" t="b">
        <f>IFERROR(__xludf.DUMMYFUNCTION("""COMPUTED_VALUE"""),TRUE)</f>
        <v>1</v>
      </c>
      <c r="F1214" s="47" t="str">
        <f>IFERROR(__xludf.DUMMYFUNCTION("""COMPUTED_VALUE"""),"")</f>
        <v/>
      </c>
      <c r="G1214" s="47" t="str">
        <f>IFERROR(__xludf.DUMMYFUNCTION("""COMPUTED_VALUE"""),"")</f>
        <v/>
      </c>
      <c r="H1214" s="47"/>
      <c r="I1214" s="47">
        <f>IFERROR(__xludf.DUMMYFUNCTION("""COMPUTED_VALUE"""),2.0)</f>
        <v>2</v>
      </c>
      <c r="J1214" s="47" t="str">
        <f>IFERROR(__xludf.DUMMYFUNCTION("""COMPUTED_VALUE"""),"https:")</f>
        <v>https:</v>
      </c>
      <c r="K1214" s="78" t="str">
        <f>IFERROR(__xludf.DUMMYFUNCTION("""COMPUTED_VALUE"""),"www.munzee.com")</f>
        <v>www.munzee.com</v>
      </c>
      <c r="L1214" s="47" t="str">
        <f>IFERROR(__xludf.DUMMYFUNCTION("""COMPUTED_VALUE"""),"m")</f>
        <v>m</v>
      </c>
      <c r="M1214" s="47" t="str">
        <f>IFERROR(__xludf.DUMMYFUNCTION("""COMPUTED_VALUE"""),"crscousins")</f>
        <v>crscousins</v>
      </c>
    </row>
    <row r="1215">
      <c r="A1215" s="47" t="str">
        <f>IFERROR(__xludf.DUMMYFUNCTION("""COMPUTED_VALUE"""),"Virtual Brown")</f>
        <v>Virtual Brown</v>
      </c>
      <c r="B1215" s="47" t="str">
        <f>IFERROR(__xludf.DUMMYFUNCTION("""COMPUTED_VALUE"""),"girlteddy5")</f>
        <v>girlteddy5</v>
      </c>
      <c r="C1215" s="78" t="str">
        <f>IFERROR(__xludf.DUMMYFUNCTION("""COMPUTED_VALUE"""),"https://www.munzee.com/m/Girlteddy5/31/")</f>
        <v>https://www.munzee.com/m/Girlteddy5/31/</v>
      </c>
      <c r="D1215" s="47"/>
      <c r="E1215" s="47" t="b">
        <f>IFERROR(__xludf.DUMMYFUNCTION("""COMPUTED_VALUE"""),TRUE)</f>
        <v>1</v>
      </c>
      <c r="F1215" s="47" t="str">
        <f>IFERROR(__xludf.DUMMYFUNCTION("""COMPUTED_VALUE"""),"")</f>
        <v/>
      </c>
      <c r="G1215" s="47" t="str">
        <f>IFERROR(__xludf.DUMMYFUNCTION("""COMPUTED_VALUE"""),"")</f>
        <v/>
      </c>
      <c r="H1215" s="47"/>
      <c r="I1215" s="47">
        <f>IFERROR(__xludf.DUMMYFUNCTION("""COMPUTED_VALUE"""),2.0)</f>
        <v>2</v>
      </c>
      <c r="J1215" s="47" t="str">
        <f>IFERROR(__xludf.DUMMYFUNCTION("""COMPUTED_VALUE"""),"https:")</f>
        <v>https:</v>
      </c>
      <c r="K1215" s="78" t="str">
        <f>IFERROR(__xludf.DUMMYFUNCTION("""COMPUTED_VALUE"""),"www.munzee.com")</f>
        <v>www.munzee.com</v>
      </c>
      <c r="L1215" s="47" t="str">
        <f>IFERROR(__xludf.DUMMYFUNCTION("""COMPUTED_VALUE"""),"m")</f>
        <v>m</v>
      </c>
      <c r="M1215" s="47" t="str">
        <f>IFERROR(__xludf.DUMMYFUNCTION("""COMPUTED_VALUE"""),"Girlteddy5")</f>
        <v>Girlteddy5</v>
      </c>
    </row>
    <row r="1216">
      <c r="A1216" s="47" t="str">
        <f>IFERROR(__xludf.DUMMYFUNCTION("""COMPUTED_VALUE"""),"Virtual Raw Sienna")</f>
        <v>Virtual Raw Sienna</v>
      </c>
      <c r="B1216" s="47" t="str">
        <f>IFERROR(__xludf.DUMMYFUNCTION("""COMPUTED_VALUE"""),"OdinsFiRe")</f>
        <v>OdinsFiRe</v>
      </c>
      <c r="C1216" s="78" t="str">
        <f>IFERROR(__xludf.DUMMYFUNCTION("""COMPUTED_VALUE"""),"https://www.munzee.com/m/OdinsFiRe/2067/")</f>
        <v>https://www.munzee.com/m/OdinsFiRe/2067/</v>
      </c>
      <c r="D1216" s="47"/>
      <c r="E1216" s="47" t="b">
        <f>IFERROR(__xludf.DUMMYFUNCTION("""COMPUTED_VALUE"""),TRUE)</f>
        <v>1</v>
      </c>
      <c r="F1216" s="47" t="str">
        <f>IFERROR(__xludf.DUMMYFUNCTION("""COMPUTED_VALUE"""),"")</f>
        <v/>
      </c>
      <c r="G1216" s="47" t="str">
        <f>IFERROR(__xludf.DUMMYFUNCTION("""COMPUTED_VALUE"""),"")</f>
        <v/>
      </c>
      <c r="H1216" s="47"/>
      <c r="I1216" s="47">
        <f>IFERROR(__xludf.DUMMYFUNCTION("""COMPUTED_VALUE"""),2.0)</f>
        <v>2</v>
      </c>
      <c r="J1216" s="47" t="str">
        <f>IFERROR(__xludf.DUMMYFUNCTION("""COMPUTED_VALUE"""),"https:")</f>
        <v>https:</v>
      </c>
      <c r="K1216" s="78" t="str">
        <f>IFERROR(__xludf.DUMMYFUNCTION("""COMPUTED_VALUE"""),"www.munzee.com")</f>
        <v>www.munzee.com</v>
      </c>
      <c r="L1216" s="47" t="str">
        <f>IFERROR(__xludf.DUMMYFUNCTION("""COMPUTED_VALUE"""),"m")</f>
        <v>m</v>
      </c>
      <c r="M1216" s="47" t="str">
        <f>IFERROR(__xludf.DUMMYFUNCTION("""COMPUTED_VALUE"""),"OdinsFiRe")</f>
        <v>OdinsFiRe</v>
      </c>
    </row>
    <row r="1217">
      <c r="A1217" s="47" t="str">
        <f>IFERROR(__xludf.DUMMYFUNCTION("""COMPUTED_VALUE"""),"Virtual Brown")</f>
        <v>Virtual Brown</v>
      </c>
      <c r="B1217" s="47" t="str">
        <f>IFERROR(__xludf.DUMMYFUNCTION("""COMPUTED_VALUE"""),"raunas")</f>
        <v>raunas</v>
      </c>
      <c r="C1217" s="78" t="str">
        <f>IFERROR(__xludf.DUMMYFUNCTION("""COMPUTED_VALUE"""),"https://www.munzee.com/m/raunas/12347")</f>
        <v>https://www.munzee.com/m/raunas/12347</v>
      </c>
      <c r="D1217" s="47"/>
      <c r="E1217" s="47" t="b">
        <f>IFERROR(__xludf.DUMMYFUNCTION("""COMPUTED_VALUE"""),TRUE)</f>
        <v>1</v>
      </c>
      <c r="F1217" s="47" t="str">
        <f>IFERROR(__xludf.DUMMYFUNCTION("""COMPUTED_VALUE"""),"")</f>
        <v/>
      </c>
      <c r="G1217" s="47" t="str">
        <f>IFERROR(__xludf.DUMMYFUNCTION("""COMPUTED_VALUE"""),"")</f>
        <v/>
      </c>
      <c r="H1217" s="47"/>
      <c r="I1217" s="47">
        <f>IFERROR(__xludf.DUMMYFUNCTION("""COMPUTED_VALUE"""),2.0)</f>
        <v>2</v>
      </c>
      <c r="J1217" s="47" t="str">
        <f>IFERROR(__xludf.DUMMYFUNCTION("""COMPUTED_VALUE"""),"https:")</f>
        <v>https:</v>
      </c>
      <c r="K1217" s="78" t="str">
        <f>IFERROR(__xludf.DUMMYFUNCTION("""COMPUTED_VALUE"""),"www.munzee.com")</f>
        <v>www.munzee.com</v>
      </c>
      <c r="L1217" s="47" t="str">
        <f>IFERROR(__xludf.DUMMYFUNCTION("""COMPUTED_VALUE"""),"m")</f>
        <v>m</v>
      </c>
      <c r="M1217" s="47" t="str">
        <f>IFERROR(__xludf.DUMMYFUNCTION("""COMPUTED_VALUE"""),"raunas")</f>
        <v>raunas</v>
      </c>
    </row>
    <row r="1218">
      <c r="A1218" s="47" t="str">
        <f>IFERROR(__xludf.DUMMYFUNCTION("""COMPUTED_VALUE"""),"Virtual Brown")</f>
        <v>Virtual Brown</v>
      </c>
      <c r="B1218" s="47" t="str">
        <f>IFERROR(__xludf.DUMMYFUNCTION("""COMPUTED_VALUE"""),"Anetzet ")</f>
        <v>Anetzet </v>
      </c>
      <c r="C1218" s="78" t="str">
        <f>IFERROR(__xludf.DUMMYFUNCTION("""COMPUTED_VALUE"""),"https://www.munzee.com/m/Anetzet/4607/")</f>
        <v>https://www.munzee.com/m/Anetzet/4607/</v>
      </c>
      <c r="D1218" s="47"/>
      <c r="E1218" s="47" t="b">
        <f>IFERROR(__xludf.DUMMYFUNCTION("""COMPUTED_VALUE"""),TRUE)</f>
        <v>1</v>
      </c>
      <c r="F1218" s="47" t="str">
        <f>IFERROR(__xludf.DUMMYFUNCTION("""COMPUTED_VALUE"""),"")</f>
        <v/>
      </c>
      <c r="G1218" s="47" t="str">
        <f>IFERROR(__xludf.DUMMYFUNCTION("""COMPUTED_VALUE"""),"")</f>
        <v/>
      </c>
      <c r="H1218" s="47"/>
      <c r="I1218" s="47">
        <f>IFERROR(__xludf.DUMMYFUNCTION("""COMPUTED_VALUE"""),2.0)</f>
        <v>2</v>
      </c>
      <c r="J1218" s="47" t="str">
        <f>IFERROR(__xludf.DUMMYFUNCTION("""COMPUTED_VALUE"""),"https:")</f>
        <v>https:</v>
      </c>
      <c r="K1218" s="78" t="str">
        <f>IFERROR(__xludf.DUMMYFUNCTION("""COMPUTED_VALUE"""),"www.munzee.com")</f>
        <v>www.munzee.com</v>
      </c>
      <c r="L1218" s="47" t="str">
        <f>IFERROR(__xludf.DUMMYFUNCTION("""COMPUTED_VALUE"""),"m")</f>
        <v>m</v>
      </c>
      <c r="M1218" s="47" t="str">
        <f>IFERROR(__xludf.DUMMYFUNCTION("""COMPUTED_VALUE"""),"Anetzet")</f>
        <v>Anetzet</v>
      </c>
    </row>
    <row r="1219">
      <c r="A1219" s="47" t="str">
        <f>IFERROR(__xludf.DUMMYFUNCTION("""COMPUTED_VALUE"""),"Virtual Brown")</f>
        <v>Virtual Brown</v>
      </c>
      <c r="B1219" s="47" t="str">
        <f>IFERROR(__xludf.DUMMYFUNCTION("""COMPUTED_VALUE"""),"Bungle")</f>
        <v>Bungle</v>
      </c>
      <c r="C1219" s="78" t="str">
        <f>IFERROR(__xludf.DUMMYFUNCTION("""COMPUTED_VALUE"""),"https://www.munzee.com/m/Bungle/10932")</f>
        <v>https://www.munzee.com/m/Bungle/10932</v>
      </c>
      <c r="D1219" s="47"/>
      <c r="E1219" s="47" t="b">
        <f>IFERROR(__xludf.DUMMYFUNCTION("""COMPUTED_VALUE"""),TRUE)</f>
        <v>1</v>
      </c>
      <c r="F1219" s="47"/>
      <c r="G1219" s="47" t="str">
        <f>IFERROR(__xludf.DUMMYFUNCTION("""COMPUTED_VALUE"""),"")</f>
        <v/>
      </c>
      <c r="H1219" s="47"/>
      <c r="I1219" s="47">
        <f>IFERROR(__xludf.DUMMYFUNCTION("""COMPUTED_VALUE"""),2.0)</f>
        <v>2</v>
      </c>
      <c r="J1219" s="47" t="str">
        <f>IFERROR(__xludf.DUMMYFUNCTION("""COMPUTED_VALUE"""),"https:")</f>
        <v>https:</v>
      </c>
      <c r="K1219" s="78" t="str">
        <f>IFERROR(__xludf.DUMMYFUNCTION("""COMPUTED_VALUE"""),"www.munzee.com")</f>
        <v>www.munzee.com</v>
      </c>
      <c r="L1219" s="47" t="str">
        <f>IFERROR(__xludf.DUMMYFUNCTION("""COMPUTED_VALUE"""),"m")</f>
        <v>m</v>
      </c>
      <c r="M1219" s="47" t="str">
        <f>IFERROR(__xludf.DUMMYFUNCTION("""COMPUTED_VALUE"""),"Bungle")</f>
        <v>Bungle</v>
      </c>
    </row>
    <row r="1220">
      <c r="A1220" s="47" t="str">
        <f>IFERROR(__xludf.DUMMYFUNCTION("""COMPUTED_VALUE"""),"Virtual Raw Sienna")</f>
        <v>Virtual Raw Sienna</v>
      </c>
      <c r="B1220" s="47" t="str">
        <f>IFERROR(__xludf.DUMMYFUNCTION("""COMPUTED_VALUE"""),"23speds")</f>
        <v>23speds</v>
      </c>
      <c r="C1220" s="78" t="str">
        <f>IFERROR(__xludf.DUMMYFUNCTION("""COMPUTED_VALUE"""),"https://www.munzee.com/m/23speds/11054/")</f>
        <v>https://www.munzee.com/m/23speds/11054/</v>
      </c>
      <c r="D1220" s="47"/>
      <c r="E1220" s="47" t="b">
        <f>IFERROR(__xludf.DUMMYFUNCTION("""COMPUTED_VALUE"""),TRUE)</f>
        <v>1</v>
      </c>
      <c r="F1220" s="47" t="str">
        <f>IFERROR(__xludf.DUMMYFUNCTION("""COMPUTED_VALUE"""),"")</f>
        <v/>
      </c>
      <c r="G1220" s="47" t="str">
        <f>IFERROR(__xludf.DUMMYFUNCTION("""COMPUTED_VALUE"""),"")</f>
        <v/>
      </c>
      <c r="H1220" s="47"/>
      <c r="I1220" s="47">
        <f>IFERROR(__xludf.DUMMYFUNCTION("""COMPUTED_VALUE"""),2.0)</f>
        <v>2</v>
      </c>
      <c r="J1220" s="47" t="str">
        <f>IFERROR(__xludf.DUMMYFUNCTION("""COMPUTED_VALUE"""),"https:")</f>
        <v>https:</v>
      </c>
      <c r="K1220" s="78" t="str">
        <f>IFERROR(__xludf.DUMMYFUNCTION("""COMPUTED_VALUE"""),"www.munzee.com")</f>
        <v>www.munzee.com</v>
      </c>
      <c r="L1220" s="47" t="str">
        <f>IFERROR(__xludf.DUMMYFUNCTION("""COMPUTED_VALUE"""),"m")</f>
        <v>m</v>
      </c>
      <c r="M1220" s="47" t="str">
        <f>IFERROR(__xludf.DUMMYFUNCTION("""COMPUTED_VALUE"""),"23speds")</f>
        <v>23speds</v>
      </c>
    </row>
    <row r="1221">
      <c r="A1221" s="47" t="str">
        <f>IFERROR(__xludf.DUMMYFUNCTION("""COMPUTED_VALUE"""),"Virtual Brown")</f>
        <v>Virtual Brown</v>
      </c>
      <c r="B1221" s="47" t="str">
        <f>IFERROR(__xludf.DUMMYFUNCTION("""COMPUTED_VALUE"""),"rita85gto")</f>
        <v>rita85gto</v>
      </c>
      <c r="C1221" s="78" t="str">
        <f>IFERROR(__xludf.DUMMYFUNCTION("""COMPUTED_VALUE"""),"https://www.munzee.com/m/rita85gto/5142/")</f>
        <v>https://www.munzee.com/m/rita85gto/5142/</v>
      </c>
      <c r="D1221" s="47" t="str">
        <f>IFERROR(__xludf.DUMMYFUNCTION("""COMPUTED_VALUE"""),"dep. Aug. '22")</f>
        <v>dep. Aug. '22</v>
      </c>
      <c r="E1221" s="47" t="b">
        <f>IFERROR(__xludf.DUMMYFUNCTION("""COMPUTED_VALUE"""),TRUE)</f>
        <v>1</v>
      </c>
      <c r="F1221" s="47" t="str">
        <f>IFERROR(__xludf.DUMMYFUNCTION("""COMPUTED_VALUE"""),"")</f>
        <v/>
      </c>
      <c r="G1221" s="47" t="str">
        <f>IFERROR(__xludf.DUMMYFUNCTION("""COMPUTED_VALUE"""),"")</f>
        <v/>
      </c>
      <c r="H1221" s="47"/>
      <c r="I1221" s="47">
        <f>IFERROR(__xludf.DUMMYFUNCTION("""COMPUTED_VALUE"""),2.0)</f>
        <v>2</v>
      </c>
      <c r="J1221" s="47" t="str">
        <f>IFERROR(__xludf.DUMMYFUNCTION("""COMPUTED_VALUE"""),"https:")</f>
        <v>https:</v>
      </c>
      <c r="K1221" s="78" t="str">
        <f>IFERROR(__xludf.DUMMYFUNCTION("""COMPUTED_VALUE"""),"www.munzee.com")</f>
        <v>www.munzee.com</v>
      </c>
      <c r="L1221" s="47" t="str">
        <f>IFERROR(__xludf.DUMMYFUNCTION("""COMPUTED_VALUE"""),"m")</f>
        <v>m</v>
      </c>
      <c r="M1221" s="47" t="str">
        <f>IFERROR(__xludf.DUMMYFUNCTION("""COMPUTED_VALUE"""),"rita85gto")</f>
        <v>rita85gto</v>
      </c>
    </row>
    <row r="1222">
      <c r="A1222" s="47" t="str">
        <f>IFERROR(__xludf.DUMMYFUNCTION("""COMPUTED_VALUE"""),"Virtual Brown")</f>
        <v>Virtual Brown</v>
      </c>
      <c r="B1222" s="47"/>
      <c r="C1222" s="47"/>
      <c r="D1222" s="47"/>
      <c r="E1222" s="47" t="b">
        <f>IFERROR(__xludf.DUMMYFUNCTION("""COMPUTED_VALUE"""),FALSE)</f>
        <v>0</v>
      </c>
      <c r="F1222" s="47"/>
      <c r="G1222" s="47" t="str">
        <f>IFERROR(__xludf.DUMMYFUNCTION("""COMPUTED_VALUE"""),"")</f>
        <v/>
      </c>
      <c r="H1222" s="47"/>
      <c r="I1222" s="47">
        <f>IFERROR(__xludf.DUMMYFUNCTION("""COMPUTED_VALUE"""),0.0)</f>
        <v>0</v>
      </c>
      <c r="J1222" s="47" t="str">
        <f>IFERROR(__xludf.DUMMYFUNCTION("""COMPUTED_VALUE"""),"#VALUE!")</f>
        <v>#VALUE!</v>
      </c>
      <c r="K1222" s="47"/>
      <c r="L1222" s="47"/>
      <c r="M1222" s="47"/>
    </row>
    <row r="1223">
      <c r="A1223" s="47" t="str">
        <f>IFERROR(__xludf.DUMMYFUNCTION("""COMPUTED_VALUE"""),"Virtual Raw Sienna")</f>
        <v>Virtual Raw Sienna</v>
      </c>
      <c r="B1223" s="47" t="str">
        <f>IFERROR(__xludf.DUMMYFUNCTION("""COMPUTED_VALUE"""),"skyfox")</f>
        <v>skyfox</v>
      </c>
      <c r="C1223" s="78" t="str">
        <f>IFERROR(__xludf.DUMMYFUNCTION("""COMPUTED_VALUE"""),"https://www.munzee.com/m/skyfox/14439/")</f>
        <v>https://www.munzee.com/m/skyfox/14439/</v>
      </c>
      <c r="D1223" s="47"/>
      <c r="E1223" s="47" t="b">
        <f>IFERROR(__xludf.DUMMYFUNCTION("""COMPUTED_VALUE"""),TRUE)</f>
        <v>1</v>
      </c>
      <c r="F1223" s="47" t="str">
        <f>IFERROR(__xludf.DUMMYFUNCTION("""COMPUTED_VALUE"""),"")</f>
        <v/>
      </c>
      <c r="G1223" s="47" t="str">
        <f>IFERROR(__xludf.DUMMYFUNCTION("""COMPUTED_VALUE"""),"")</f>
        <v/>
      </c>
      <c r="H1223" s="47"/>
      <c r="I1223" s="47">
        <f>IFERROR(__xludf.DUMMYFUNCTION("""COMPUTED_VALUE"""),2.0)</f>
        <v>2</v>
      </c>
      <c r="J1223" s="47" t="str">
        <f>IFERROR(__xludf.DUMMYFUNCTION("""COMPUTED_VALUE"""),"https:")</f>
        <v>https:</v>
      </c>
      <c r="K1223" s="78" t="str">
        <f>IFERROR(__xludf.DUMMYFUNCTION("""COMPUTED_VALUE"""),"www.munzee.com")</f>
        <v>www.munzee.com</v>
      </c>
      <c r="L1223" s="47" t="str">
        <f>IFERROR(__xludf.DUMMYFUNCTION("""COMPUTED_VALUE"""),"m")</f>
        <v>m</v>
      </c>
      <c r="M1223" s="47" t="str">
        <f>IFERROR(__xludf.DUMMYFUNCTION("""COMPUTED_VALUE"""),"skyfox")</f>
        <v>skyfox</v>
      </c>
    </row>
    <row r="1224">
      <c r="A1224" s="47" t="str">
        <f>IFERROR(__xludf.DUMMYFUNCTION("""COMPUTED_VALUE"""),"Virtual Brown")</f>
        <v>Virtual Brown</v>
      </c>
      <c r="B1224" s="47" t="str">
        <f>IFERROR(__xludf.DUMMYFUNCTION("""COMPUTED_VALUE"""),"cbf600")</f>
        <v>cbf600</v>
      </c>
      <c r="C1224" s="78" t="str">
        <f>IFERROR(__xludf.DUMMYFUNCTION("""COMPUTED_VALUE"""),"https://www.munzee.com/m/cbf600/3726/")</f>
        <v>https://www.munzee.com/m/cbf600/3726/</v>
      </c>
      <c r="D1224" s="47"/>
      <c r="E1224" s="47" t="b">
        <f>IFERROR(__xludf.DUMMYFUNCTION("""COMPUTED_VALUE"""),TRUE)</f>
        <v>1</v>
      </c>
      <c r="F1224" s="47" t="str">
        <f>IFERROR(__xludf.DUMMYFUNCTION("""COMPUTED_VALUE"""),"")</f>
        <v/>
      </c>
      <c r="G1224" s="47" t="str">
        <f>IFERROR(__xludf.DUMMYFUNCTION("""COMPUTED_VALUE"""),"")</f>
        <v/>
      </c>
      <c r="H1224" s="47"/>
      <c r="I1224" s="47">
        <f>IFERROR(__xludf.DUMMYFUNCTION("""COMPUTED_VALUE"""),2.0)</f>
        <v>2</v>
      </c>
      <c r="J1224" s="47" t="str">
        <f>IFERROR(__xludf.DUMMYFUNCTION("""COMPUTED_VALUE"""),"https:")</f>
        <v>https:</v>
      </c>
      <c r="K1224" s="78" t="str">
        <f>IFERROR(__xludf.DUMMYFUNCTION("""COMPUTED_VALUE"""),"www.munzee.com")</f>
        <v>www.munzee.com</v>
      </c>
      <c r="L1224" s="47" t="str">
        <f>IFERROR(__xludf.DUMMYFUNCTION("""COMPUTED_VALUE"""),"m")</f>
        <v>m</v>
      </c>
      <c r="M1224" s="47" t="str">
        <f>IFERROR(__xludf.DUMMYFUNCTION("""COMPUTED_VALUE"""),"cbf600")</f>
        <v>cbf600</v>
      </c>
    </row>
    <row r="1225">
      <c r="A1225" s="47" t="str">
        <f>IFERROR(__xludf.DUMMYFUNCTION("""COMPUTED_VALUE"""),"Virtual Raw Sienna")</f>
        <v>Virtual Raw Sienna</v>
      </c>
      <c r="B1225" s="47" t="str">
        <f>IFERROR(__xludf.DUMMYFUNCTION("""COMPUTED_VALUE"""),"Fossillady")</f>
        <v>Fossillady</v>
      </c>
      <c r="C1225" s="78" t="str">
        <f>IFERROR(__xludf.DUMMYFUNCTION("""COMPUTED_VALUE"""),"https://www.munzee.com/m/Fossillady/5359/")</f>
        <v>https://www.munzee.com/m/Fossillady/5359/</v>
      </c>
      <c r="D1225" s="47"/>
      <c r="E1225" s="47" t="b">
        <f>IFERROR(__xludf.DUMMYFUNCTION("""COMPUTED_VALUE"""),FALSE)</f>
        <v>0</v>
      </c>
      <c r="F1225" s="47"/>
      <c r="G1225" s="47" t="str">
        <f>IFERROR(__xludf.DUMMYFUNCTION("""COMPUTED_VALUE"""),"Deployed")</f>
        <v>Deployed</v>
      </c>
      <c r="H1225" s="47"/>
      <c r="I1225" s="47">
        <f>IFERROR(__xludf.DUMMYFUNCTION("""COMPUTED_VALUE"""),1.0)</f>
        <v>1</v>
      </c>
      <c r="J1225" s="47" t="str">
        <f>IFERROR(__xludf.DUMMYFUNCTION("""COMPUTED_VALUE"""),"https:")</f>
        <v>https:</v>
      </c>
      <c r="K1225" s="78" t="str">
        <f>IFERROR(__xludf.DUMMYFUNCTION("""COMPUTED_VALUE"""),"www.munzee.com")</f>
        <v>www.munzee.com</v>
      </c>
      <c r="L1225" s="47" t="str">
        <f>IFERROR(__xludf.DUMMYFUNCTION("""COMPUTED_VALUE"""),"m")</f>
        <v>m</v>
      </c>
      <c r="M1225" s="47" t="str">
        <f>IFERROR(__xludf.DUMMYFUNCTION("""COMPUTED_VALUE"""),"Fossillady")</f>
        <v>Fossillady</v>
      </c>
    </row>
    <row r="1226">
      <c r="A1226" s="47" t="str">
        <f>IFERROR(__xludf.DUMMYFUNCTION("""COMPUTED_VALUE"""),"Virtual Brown")</f>
        <v>Virtual Brown</v>
      </c>
      <c r="B1226" s="47" t="str">
        <f>IFERROR(__xludf.DUMMYFUNCTION("""COMPUTED_VALUE"""),"skyfox")</f>
        <v>skyfox</v>
      </c>
      <c r="C1226" s="78" t="str">
        <f>IFERROR(__xludf.DUMMYFUNCTION("""COMPUTED_VALUE"""),"https://www.munzee.com/m/skyfox/14455/")</f>
        <v>https://www.munzee.com/m/skyfox/14455/</v>
      </c>
      <c r="D1226" s="47"/>
      <c r="E1226" s="47" t="b">
        <f>IFERROR(__xludf.DUMMYFUNCTION("""COMPUTED_VALUE"""),TRUE)</f>
        <v>1</v>
      </c>
      <c r="F1226" s="47" t="str">
        <f>IFERROR(__xludf.DUMMYFUNCTION("""COMPUTED_VALUE"""),"")</f>
        <v/>
      </c>
      <c r="G1226" s="47" t="str">
        <f>IFERROR(__xludf.DUMMYFUNCTION("""COMPUTED_VALUE"""),"")</f>
        <v/>
      </c>
      <c r="H1226" s="47"/>
      <c r="I1226" s="47">
        <f>IFERROR(__xludf.DUMMYFUNCTION("""COMPUTED_VALUE"""),2.0)</f>
        <v>2</v>
      </c>
      <c r="J1226" s="47" t="str">
        <f>IFERROR(__xludf.DUMMYFUNCTION("""COMPUTED_VALUE"""),"https:")</f>
        <v>https:</v>
      </c>
      <c r="K1226" s="78" t="str">
        <f>IFERROR(__xludf.DUMMYFUNCTION("""COMPUTED_VALUE"""),"www.munzee.com")</f>
        <v>www.munzee.com</v>
      </c>
      <c r="L1226" s="47" t="str">
        <f>IFERROR(__xludf.DUMMYFUNCTION("""COMPUTED_VALUE"""),"m")</f>
        <v>m</v>
      </c>
      <c r="M1226" s="47" t="str">
        <f>IFERROR(__xludf.DUMMYFUNCTION("""COMPUTED_VALUE"""),"skyfox")</f>
        <v>skyfox</v>
      </c>
    </row>
    <row r="1227">
      <c r="A1227" s="47" t="str">
        <f>IFERROR(__xludf.DUMMYFUNCTION("""COMPUTED_VALUE"""),"Virtual Brown")</f>
        <v>Virtual Brown</v>
      </c>
      <c r="B1227" s="47"/>
      <c r="C1227" s="47"/>
      <c r="D1227" s="47"/>
      <c r="E1227" s="47" t="b">
        <f>IFERROR(__xludf.DUMMYFUNCTION("""COMPUTED_VALUE"""),FALSE)</f>
        <v>0</v>
      </c>
      <c r="F1227" s="47"/>
      <c r="G1227" s="47" t="str">
        <f>IFERROR(__xludf.DUMMYFUNCTION("""COMPUTED_VALUE"""),"")</f>
        <v/>
      </c>
      <c r="H1227" s="47"/>
      <c r="I1227" s="47">
        <f>IFERROR(__xludf.DUMMYFUNCTION("""COMPUTED_VALUE"""),0.0)</f>
        <v>0</v>
      </c>
      <c r="J1227" s="47" t="str">
        <f>IFERROR(__xludf.DUMMYFUNCTION("""COMPUTED_VALUE"""),"#VALUE!")</f>
        <v>#VALUE!</v>
      </c>
      <c r="K1227" s="47"/>
      <c r="L1227" s="47"/>
      <c r="M1227" s="47"/>
    </row>
    <row r="1228">
      <c r="A1228" s="47" t="str">
        <f>IFERROR(__xludf.DUMMYFUNCTION("""COMPUTED_VALUE"""),"Virtual Brown")</f>
        <v>Virtual Brown</v>
      </c>
      <c r="B1228" s="47"/>
      <c r="C1228" s="47"/>
      <c r="D1228" s="47"/>
      <c r="E1228" s="47" t="b">
        <f>IFERROR(__xludf.DUMMYFUNCTION("""COMPUTED_VALUE"""),FALSE)</f>
        <v>0</v>
      </c>
      <c r="F1228" s="47"/>
      <c r="G1228" s="47" t="str">
        <f>IFERROR(__xludf.DUMMYFUNCTION("""COMPUTED_VALUE"""),"")</f>
        <v/>
      </c>
      <c r="H1228" s="47"/>
      <c r="I1228" s="47">
        <f>IFERROR(__xludf.DUMMYFUNCTION("""COMPUTED_VALUE"""),0.0)</f>
        <v>0</v>
      </c>
      <c r="J1228" s="47" t="str">
        <f>IFERROR(__xludf.DUMMYFUNCTION("""COMPUTED_VALUE"""),"#VALUE!")</f>
        <v>#VALUE!</v>
      </c>
      <c r="K1228" s="47"/>
      <c r="L1228" s="47"/>
      <c r="M1228" s="47"/>
    </row>
    <row r="1229">
      <c r="A1229" s="47" t="str">
        <f>IFERROR(__xludf.DUMMYFUNCTION("""COMPUTED_VALUE"""),"Virtual Brown")</f>
        <v>Virtual Brown</v>
      </c>
      <c r="B1229" s="47" t="str">
        <f>IFERROR(__xludf.DUMMYFUNCTION("""COMPUTED_VALUE"""),"skyfox")</f>
        <v>skyfox</v>
      </c>
      <c r="C1229" s="78" t="str">
        <f>IFERROR(__xludf.DUMMYFUNCTION("""COMPUTED_VALUE"""),"https://www.munzee.com/m/skyfox/14456/")</f>
        <v>https://www.munzee.com/m/skyfox/14456/</v>
      </c>
      <c r="D1229" s="47"/>
      <c r="E1229" s="47" t="b">
        <f>IFERROR(__xludf.DUMMYFUNCTION("""COMPUTED_VALUE"""),TRUE)</f>
        <v>1</v>
      </c>
      <c r="F1229" s="47" t="str">
        <f>IFERROR(__xludf.DUMMYFUNCTION("""COMPUTED_VALUE"""),"")</f>
        <v/>
      </c>
      <c r="G1229" s="47" t="str">
        <f>IFERROR(__xludf.DUMMYFUNCTION("""COMPUTED_VALUE"""),"")</f>
        <v/>
      </c>
      <c r="H1229" s="47"/>
      <c r="I1229" s="47">
        <f>IFERROR(__xludf.DUMMYFUNCTION("""COMPUTED_VALUE"""),2.0)</f>
        <v>2</v>
      </c>
      <c r="J1229" s="47" t="str">
        <f>IFERROR(__xludf.DUMMYFUNCTION("""COMPUTED_VALUE"""),"https:")</f>
        <v>https:</v>
      </c>
      <c r="K1229" s="78" t="str">
        <f>IFERROR(__xludf.DUMMYFUNCTION("""COMPUTED_VALUE"""),"www.munzee.com")</f>
        <v>www.munzee.com</v>
      </c>
      <c r="L1229" s="47" t="str">
        <f>IFERROR(__xludf.DUMMYFUNCTION("""COMPUTED_VALUE"""),"m")</f>
        <v>m</v>
      </c>
      <c r="M1229" s="47" t="str">
        <f>IFERROR(__xludf.DUMMYFUNCTION("""COMPUTED_VALUE"""),"skyfox")</f>
        <v>skyfox</v>
      </c>
    </row>
    <row r="1230">
      <c r="A1230" s="47" t="str">
        <f>IFERROR(__xludf.DUMMYFUNCTION("""COMPUTED_VALUE"""),"Virtual Brown")</f>
        <v>Virtual Brown</v>
      </c>
      <c r="B1230" s="47"/>
      <c r="C1230" s="47"/>
      <c r="D1230" s="47"/>
      <c r="E1230" s="47" t="b">
        <f>IFERROR(__xludf.DUMMYFUNCTION("""COMPUTED_VALUE"""),FALSE)</f>
        <v>0</v>
      </c>
      <c r="F1230" s="47"/>
      <c r="G1230" s="47" t="str">
        <f>IFERROR(__xludf.DUMMYFUNCTION("""COMPUTED_VALUE"""),"")</f>
        <v/>
      </c>
      <c r="H1230" s="47"/>
      <c r="I1230" s="47">
        <f>IFERROR(__xludf.DUMMYFUNCTION("""COMPUTED_VALUE"""),0.0)</f>
        <v>0</v>
      </c>
      <c r="J1230" s="47" t="str">
        <f>IFERROR(__xludf.DUMMYFUNCTION("""COMPUTED_VALUE"""),"#VALUE!")</f>
        <v>#VALUE!</v>
      </c>
      <c r="K1230" s="47"/>
      <c r="L1230" s="47"/>
      <c r="M1230" s="47"/>
    </row>
    <row r="1231">
      <c r="A1231" s="47" t="str">
        <f>IFERROR(__xludf.DUMMYFUNCTION("""COMPUTED_VALUE"""),"Virtual Brown")</f>
        <v>Virtual Brown</v>
      </c>
      <c r="B1231" s="47" t="str">
        <f>IFERROR(__xludf.DUMMYFUNCTION("""COMPUTED_VALUE"""),"Bisquick2")</f>
        <v>Bisquick2</v>
      </c>
      <c r="C1231" s="78" t="str">
        <f>IFERROR(__xludf.DUMMYFUNCTION("""COMPUTED_VALUE"""),"https://www.munzee.com/m/Bisquick2/7257/")</f>
        <v>https://www.munzee.com/m/Bisquick2/7257/</v>
      </c>
      <c r="D1231" s="47"/>
      <c r="E1231" s="47" t="b">
        <f>IFERROR(__xludf.DUMMYFUNCTION("""COMPUTED_VALUE"""),TRUE)</f>
        <v>1</v>
      </c>
      <c r="F1231" s="47" t="str">
        <f>IFERROR(__xludf.DUMMYFUNCTION("""COMPUTED_VALUE"""),"")</f>
        <v/>
      </c>
      <c r="G1231" s="47" t="str">
        <f>IFERROR(__xludf.DUMMYFUNCTION("""COMPUTED_VALUE"""),"")</f>
        <v/>
      </c>
      <c r="H1231" s="47"/>
      <c r="I1231" s="47">
        <f>IFERROR(__xludf.DUMMYFUNCTION("""COMPUTED_VALUE"""),2.0)</f>
        <v>2</v>
      </c>
      <c r="J1231" s="47" t="str">
        <f>IFERROR(__xludf.DUMMYFUNCTION("""COMPUTED_VALUE"""),"https:")</f>
        <v>https:</v>
      </c>
      <c r="K1231" s="78" t="str">
        <f>IFERROR(__xludf.DUMMYFUNCTION("""COMPUTED_VALUE"""),"www.munzee.com")</f>
        <v>www.munzee.com</v>
      </c>
      <c r="L1231" s="47" t="str">
        <f>IFERROR(__xludf.DUMMYFUNCTION("""COMPUTED_VALUE"""),"m")</f>
        <v>m</v>
      </c>
      <c r="M1231" s="47" t="str">
        <f>IFERROR(__xludf.DUMMYFUNCTION("""COMPUTED_VALUE"""),"Bisquick2")</f>
        <v>Bisquick2</v>
      </c>
    </row>
    <row r="1232">
      <c r="A1232" s="47" t="str">
        <f>IFERROR(__xludf.DUMMYFUNCTION("""COMPUTED_VALUE"""),"Virtual Brown")</f>
        <v>Virtual Brown</v>
      </c>
      <c r="B1232" s="47" t="str">
        <f>IFERROR(__xludf.DUMMYFUNCTION("""COMPUTED_VALUE"""),"lison55")</f>
        <v>lison55</v>
      </c>
      <c r="C1232" s="78" t="str">
        <f>IFERROR(__xludf.DUMMYFUNCTION("""COMPUTED_VALUE"""),"https://www.munzee.com/m/lison55/19404/")</f>
        <v>https://www.munzee.com/m/lison55/19404/</v>
      </c>
      <c r="D1232" s="47"/>
      <c r="E1232" s="47" t="b">
        <f>IFERROR(__xludf.DUMMYFUNCTION("""COMPUTED_VALUE"""),TRUE)</f>
        <v>1</v>
      </c>
      <c r="F1232" s="47" t="str">
        <f>IFERROR(__xludf.DUMMYFUNCTION("""COMPUTED_VALUE"""),"")</f>
        <v/>
      </c>
      <c r="G1232" s="47" t="str">
        <f>IFERROR(__xludf.DUMMYFUNCTION("""COMPUTED_VALUE"""),"")</f>
        <v/>
      </c>
      <c r="H1232" s="47"/>
      <c r="I1232" s="47">
        <f>IFERROR(__xludf.DUMMYFUNCTION("""COMPUTED_VALUE"""),2.0)</f>
        <v>2</v>
      </c>
      <c r="J1232" s="47" t="str">
        <f>IFERROR(__xludf.DUMMYFUNCTION("""COMPUTED_VALUE"""),"https:")</f>
        <v>https:</v>
      </c>
      <c r="K1232" s="78" t="str">
        <f>IFERROR(__xludf.DUMMYFUNCTION("""COMPUTED_VALUE"""),"www.munzee.com")</f>
        <v>www.munzee.com</v>
      </c>
      <c r="L1232" s="47" t="str">
        <f>IFERROR(__xludf.DUMMYFUNCTION("""COMPUTED_VALUE"""),"m")</f>
        <v>m</v>
      </c>
      <c r="M1232" s="47" t="str">
        <f>IFERROR(__xludf.DUMMYFUNCTION("""COMPUTED_VALUE"""),"lison55")</f>
        <v>lison55</v>
      </c>
    </row>
    <row r="1233">
      <c r="A1233" s="47" t="str">
        <f>IFERROR(__xludf.DUMMYFUNCTION("""COMPUTED_VALUE"""),"Virtual Raw Sienna")</f>
        <v>Virtual Raw Sienna</v>
      </c>
      <c r="B1233" s="47"/>
      <c r="C1233" s="47"/>
      <c r="D1233" s="47"/>
      <c r="E1233" s="47" t="b">
        <f>IFERROR(__xludf.DUMMYFUNCTION("""COMPUTED_VALUE"""),FALSE)</f>
        <v>0</v>
      </c>
      <c r="F1233" s="47"/>
      <c r="G1233" s="47" t="str">
        <f>IFERROR(__xludf.DUMMYFUNCTION("""COMPUTED_VALUE"""),"")</f>
        <v/>
      </c>
      <c r="H1233" s="47"/>
      <c r="I1233" s="47">
        <f>IFERROR(__xludf.DUMMYFUNCTION("""COMPUTED_VALUE"""),0.0)</f>
        <v>0</v>
      </c>
      <c r="J1233" s="47" t="str">
        <f>IFERROR(__xludf.DUMMYFUNCTION("""COMPUTED_VALUE"""),"#VALUE!")</f>
        <v>#VALUE!</v>
      </c>
      <c r="K1233" s="47"/>
      <c r="L1233" s="47"/>
      <c r="M1233" s="47"/>
    </row>
    <row r="1234">
      <c r="A1234" s="47" t="str">
        <f>IFERROR(__xludf.DUMMYFUNCTION("""COMPUTED_VALUE"""),"Virtual Brown")</f>
        <v>Virtual Brown</v>
      </c>
      <c r="B1234" s="47"/>
      <c r="C1234" s="47"/>
      <c r="D1234" s="47"/>
      <c r="E1234" s="47" t="b">
        <f>IFERROR(__xludf.DUMMYFUNCTION("""COMPUTED_VALUE"""),FALSE)</f>
        <v>0</v>
      </c>
      <c r="F1234" s="47"/>
      <c r="G1234" s="47" t="str">
        <f>IFERROR(__xludf.DUMMYFUNCTION("""COMPUTED_VALUE"""),"")</f>
        <v/>
      </c>
      <c r="H1234" s="47"/>
      <c r="I1234" s="47">
        <f>IFERROR(__xludf.DUMMYFUNCTION("""COMPUTED_VALUE"""),0.0)</f>
        <v>0</v>
      </c>
      <c r="J1234" s="47" t="str">
        <f>IFERROR(__xludf.DUMMYFUNCTION("""COMPUTED_VALUE"""),"#VALUE!")</f>
        <v>#VALUE!</v>
      </c>
      <c r="K1234" s="47"/>
      <c r="L1234" s="47"/>
      <c r="M1234" s="47"/>
    </row>
    <row r="1235">
      <c r="A1235" s="47" t="str">
        <f>IFERROR(__xludf.DUMMYFUNCTION("""COMPUTED_VALUE"""),"Virtual Brown")</f>
        <v>Virtual Brown</v>
      </c>
      <c r="B1235" s="47"/>
      <c r="C1235" s="47"/>
      <c r="D1235" s="47"/>
      <c r="E1235" s="47" t="b">
        <f>IFERROR(__xludf.DUMMYFUNCTION("""COMPUTED_VALUE"""),FALSE)</f>
        <v>0</v>
      </c>
      <c r="F1235" s="47"/>
      <c r="G1235" s="47" t="str">
        <f>IFERROR(__xludf.DUMMYFUNCTION("""COMPUTED_VALUE"""),"")</f>
        <v/>
      </c>
      <c r="H1235" s="47"/>
      <c r="I1235" s="47">
        <f>IFERROR(__xludf.DUMMYFUNCTION("""COMPUTED_VALUE"""),0.0)</f>
        <v>0</v>
      </c>
      <c r="J1235" s="47" t="str">
        <f>IFERROR(__xludf.DUMMYFUNCTION("""COMPUTED_VALUE"""),"#VALUE!")</f>
        <v>#VALUE!</v>
      </c>
      <c r="K1235" s="47"/>
      <c r="L1235" s="47"/>
      <c r="M1235" s="47"/>
    </row>
    <row r="1236">
      <c r="A1236" s="47" t="str">
        <f>IFERROR(__xludf.DUMMYFUNCTION("""COMPUTED_VALUE"""),"Virtual Raw Sienna")</f>
        <v>Virtual Raw Sienna</v>
      </c>
      <c r="B1236" s="47"/>
      <c r="C1236" s="47"/>
      <c r="D1236" s="47"/>
      <c r="E1236" s="47" t="b">
        <f>IFERROR(__xludf.DUMMYFUNCTION("""COMPUTED_VALUE"""),FALSE)</f>
        <v>0</v>
      </c>
      <c r="F1236" s="47"/>
      <c r="G1236" s="47" t="str">
        <f>IFERROR(__xludf.DUMMYFUNCTION("""COMPUTED_VALUE"""),"")</f>
        <v/>
      </c>
      <c r="H1236" s="47"/>
      <c r="I1236" s="47">
        <f>IFERROR(__xludf.DUMMYFUNCTION("""COMPUTED_VALUE"""),0.0)</f>
        <v>0</v>
      </c>
      <c r="J1236" s="47" t="str">
        <f>IFERROR(__xludf.DUMMYFUNCTION("""COMPUTED_VALUE"""),"#VALUE!")</f>
        <v>#VALUE!</v>
      </c>
      <c r="K1236" s="47"/>
      <c r="L1236" s="47"/>
      <c r="M1236" s="47"/>
    </row>
    <row r="1237">
      <c r="A1237" s="47" t="str">
        <f>IFERROR(__xludf.DUMMYFUNCTION("""COMPUTED_VALUE"""),"Virtual Brown")</f>
        <v>Virtual Brown</v>
      </c>
      <c r="B1237" s="47" t="str">
        <f>IFERROR(__xludf.DUMMYFUNCTION("""COMPUTED_VALUE"""),"TheFrog")</f>
        <v>TheFrog</v>
      </c>
      <c r="C1237" s="78" t="str">
        <f>IFERROR(__xludf.DUMMYFUNCTION("""COMPUTED_VALUE"""),"https://www.munzee.com/m/TheFrog/5972/")</f>
        <v>https://www.munzee.com/m/TheFrog/5972/</v>
      </c>
      <c r="D1237" s="47"/>
      <c r="E1237" s="47" t="b">
        <f>IFERROR(__xludf.DUMMYFUNCTION("""COMPUTED_VALUE"""),TRUE)</f>
        <v>1</v>
      </c>
      <c r="F1237" s="47" t="str">
        <f>IFERROR(__xludf.DUMMYFUNCTION("""COMPUTED_VALUE"""),"")</f>
        <v/>
      </c>
      <c r="G1237" s="47" t="str">
        <f>IFERROR(__xludf.DUMMYFUNCTION("""COMPUTED_VALUE"""),"")</f>
        <v/>
      </c>
      <c r="H1237" s="47"/>
      <c r="I1237" s="47">
        <f>IFERROR(__xludf.DUMMYFUNCTION("""COMPUTED_VALUE"""),2.0)</f>
        <v>2</v>
      </c>
      <c r="J1237" s="47" t="str">
        <f>IFERROR(__xludf.DUMMYFUNCTION("""COMPUTED_VALUE"""),"https:")</f>
        <v>https:</v>
      </c>
      <c r="K1237" s="78" t="str">
        <f>IFERROR(__xludf.DUMMYFUNCTION("""COMPUTED_VALUE"""),"www.munzee.com")</f>
        <v>www.munzee.com</v>
      </c>
      <c r="L1237" s="47" t="str">
        <f>IFERROR(__xludf.DUMMYFUNCTION("""COMPUTED_VALUE"""),"m")</f>
        <v>m</v>
      </c>
      <c r="M1237" s="47" t="str">
        <f>IFERROR(__xludf.DUMMYFUNCTION("""COMPUTED_VALUE"""),"TheFrog")</f>
        <v>TheFrog</v>
      </c>
    </row>
    <row r="1238">
      <c r="A1238" s="47" t="str">
        <f>IFERROR(__xludf.DUMMYFUNCTION("""COMPUTED_VALUE"""),"Virtual Brown")</f>
        <v>Virtual Brown</v>
      </c>
      <c r="B1238" s="47" t="str">
        <f>IFERROR(__xludf.DUMMYFUNCTION("""COMPUTED_VALUE"""),"123xilef")</f>
        <v>123xilef</v>
      </c>
      <c r="C1238" s="78" t="str">
        <f>IFERROR(__xludf.DUMMYFUNCTION("""COMPUTED_VALUE"""),"https://www.munzee.com/m/123xilef/13728/")</f>
        <v>https://www.munzee.com/m/123xilef/13728/</v>
      </c>
      <c r="D1238" s="47"/>
      <c r="E1238" s="47" t="b">
        <f>IFERROR(__xludf.DUMMYFUNCTION("""COMPUTED_VALUE"""),TRUE)</f>
        <v>1</v>
      </c>
      <c r="F1238" s="47" t="str">
        <f>IFERROR(__xludf.DUMMYFUNCTION("""COMPUTED_VALUE"""),"")</f>
        <v/>
      </c>
      <c r="G1238" s="47" t="str">
        <f>IFERROR(__xludf.DUMMYFUNCTION("""COMPUTED_VALUE"""),"")</f>
        <v/>
      </c>
      <c r="H1238" s="47"/>
      <c r="I1238" s="47">
        <f>IFERROR(__xludf.DUMMYFUNCTION("""COMPUTED_VALUE"""),2.0)</f>
        <v>2</v>
      </c>
      <c r="J1238" s="47" t="str">
        <f>IFERROR(__xludf.DUMMYFUNCTION("""COMPUTED_VALUE"""),"https:")</f>
        <v>https:</v>
      </c>
      <c r="K1238" s="78" t="str">
        <f>IFERROR(__xludf.DUMMYFUNCTION("""COMPUTED_VALUE"""),"www.munzee.com")</f>
        <v>www.munzee.com</v>
      </c>
      <c r="L1238" s="47" t="str">
        <f>IFERROR(__xludf.DUMMYFUNCTION("""COMPUTED_VALUE"""),"m")</f>
        <v>m</v>
      </c>
      <c r="M1238" s="47" t="str">
        <f>IFERROR(__xludf.DUMMYFUNCTION("""COMPUTED_VALUE"""),"123xilef")</f>
        <v>123xilef</v>
      </c>
    </row>
    <row r="1239">
      <c r="A1239" s="47" t="str">
        <f>IFERROR(__xludf.DUMMYFUNCTION("""COMPUTED_VALUE"""),"Virtual Raw Sienna")</f>
        <v>Virtual Raw Sienna</v>
      </c>
      <c r="B1239" s="47"/>
      <c r="C1239" s="47"/>
      <c r="D1239" s="47"/>
      <c r="E1239" s="47" t="b">
        <f>IFERROR(__xludf.DUMMYFUNCTION("""COMPUTED_VALUE"""),FALSE)</f>
        <v>0</v>
      </c>
      <c r="F1239" s="47"/>
      <c r="G1239" s="47" t="str">
        <f>IFERROR(__xludf.DUMMYFUNCTION("""COMPUTED_VALUE"""),"")</f>
        <v/>
      </c>
      <c r="H1239" s="47"/>
      <c r="I1239" s="47">
        <f>IFERROR(__xludf.DUMMYFUNCTION("""COMPUTED_VALUE"""),0.0)</f>
        <v>0</v>
      </c>
      <c r="J1239" s="47" t="str">
        <f>IFERROR(__xludf.DUMMYFUNCTION("""COMPUTED_VALUE"""),"#VALUE!")</f>
        <v>#VALUE!</v>
      </c>
      <c r="K1239" s="47"/>
      <c r="L1239" s="47"/>
      <c r="M1239" s="47"/>
    </row>
    <row r="1240">
      <c r="A1240" s="47" t="str">
        <f>IFERROR(__xludf.DUMMYFUNCTION("""COMPUTED_VALUE"""),"Virtual Brown")</f>
        <v>Virtual Brown</v>
      </c>
      <c r="B1240" s="47"/>
      <c r="C1240" s="47"/>
      <c r="D1240" s="47"/>
      <c r="E1240" s="47" t="b">
        <f>IFERROR(__xludf.DUMMYFUNCTION("""COMPUTED_VALUE"""),FALSE)</f>
        <v>0</v>
      </c>
      <c r="F1240" s="47"/>
      <c r="G1240" s="47" t="str">
        <f>IFERROR(__xludf.DUMMYFUNCTION("""COMPUTED_VALUE"""),"")</f>
        <v/>
      </c>
      <c r="H1240" s="47"/>
      <c r="I1240" s="47">
        <f>IFERROR(__xludf.DUMMYFUNCTION("""COMPUTED_VALUE"""),0.0)</f>
        <v>0</v>
      </c>
      <c r="J1240" s="47" t="str">
        <f>IFERROR(__xludf.DUMMYFUNCTION("""COMPUTED_VALUE"""),"#VALUE!")</f>
        <v>#VALUE!</v>
      </c>
      <c r="K1240" s="47"/>
      <c r="L1240" s="47"/>
      <c r="M1240" s="47"/>
    </row>
    <row r="1241">
      <c r="A1241" s="47" t="str">
        <f>IFERROR(__xludf.DUMMYFUNCTION("""COMPUTED_VALUE"""),"Virtual Brown")</f>
        <v>Virtual Brown</v>
      </c>
      <c r="B1241" s="47"/>
      <c r="C1241" s="47"/>
      <c r="D1241" s="47"/>
      <c r="E1241" s="47" t="b">
        <f>IFERROR(__xludf.DUMMYFUNCTION("""COMPUTED_VALUE"""),FALSE)</f>
        <v>0</v>
      </c>
      <c r="F1241" s="47"/>
      <c r="G1241" s="47" t="str">
        <f>IFERROR(__xludf.DUMMYFUNCTION("""COMPUTED_VALUE"""),"")</f>
        <v/>
      </c>
      <c r="H1241" s="47"/>
      <c r="I1241" s="47">
        <f>IFERROR(__xludf.DUMMYFUNCTION("""COMPUTED_VALUE"""),0.0)</f>
        <v>0</v>
      </c>
      <c r="J1241" s="47" t="str">
        <f>IFERROR(__xludf.DUMMYFUNCTION("""COMPUTED_VALUE"""),"#VALUE!")</f>
        <v>#VALUE!</v>
      </c>
      <c r="K1241" s="47"/>
      <c r="L1241" s="47"/>
      <c r="M1241" s="47"/>
    </row>
    <row r="1242">
      <c r="A1242" s="47" t="str">
        <f>IFERROR(__xludf.DUMMYFUNCTION("""COMPUTED_VALUE"""),"Virtual Brown")</f>
        <v>Virtual Brown</v>
      </c>
      <c r="B1242" s="47"/>
      <c r="C1242" s="47"/>
      <c r="D1242" s="47"/>
      <c r="E1242" s="47" t="b">
        <f>IFERROR(__xludf.DUMMYFUNCTION("""COMPUTED_VALUE"""),FALSE)</f>
        <v>0</v>
      </c>
      <c r="F1242" s="47"/>
      <c r="G1242" s="47" t="str">
        <f>IFERROR(__xludf.DUMMYFUNCTION("""COMPUTED_VALUE"""),"")</f>
        <v/>
      </c>
      <c r="H1242" s="47"/>
      <c r="I1242" s="47">
        <f>IFERROR(__xludf.DUMMYFUNCTION("""COMPUTED_VALUE"""),0.0)</f>
        <v>0</v>
      </c>
      <c r="J1242" s="47" t="str">
        <f>IFERROR(__xludf.DUMMYFUNCTION("""COMPUTED_VALUE"""),"#VALUE!")</f>
        <v>#VALUE!</v>
      </c>
      <c r="K1242" s="47"/>
      <c r="L1242" s="47"/>
      <c r="M1242" s="47"/>
    </row>
    <row r="1243">
      <c r="A1243" s="47" t="str">
        <f>IFERROR(__xludf.DUMMYFUNCTION("""COMPUTED_VALUE"""),"Virtual Brown")</f>
        <v>Virtual Brown</v>
      </c>
      <c r="B1243" s="47"/>
      <c r="C1243" s="47"/>
      <c r="D1243" s="47"/>
      <c r="E1243" s="47" t="b">
        <f>IFERROR(__xludf.DUMMYFUNCTION("""COMPUTED_VALUE"""),FALSE)</f>
        <v>0</v>
      </c>
      <c r="F1243" s="47"/>
      <c r="G1243" s="47" t="str">
        <f>IFERROR(__xludf.DUMMYFUNCTION("""COMPUTED_VALUE"""),"")</f>
        <v/>
      </c>
      <c r="H1243" s="47"/>
      <c r="I1243" s="47">
        <f>IFERROR(__xludf.DUMMYFUNCTION("""COMPUTED_VALUE"""),0.0)</f>
        <v>0</v>
      </c>
      <c r="J1243" s="47" t="str">
        <f>IFERROR(__xludf.DUMMYFUNCTION("""COMPUTED_VALUE"""),"#VALUE!")</f>
        <v>#VALUE!</v>
      </c>
      <c r="K1243" s="47"/>
      <c r="L1243" s="47"/>
      <c r="M1243" s="47"/>
    </row>
    <row r="1244">
      <c r="A1244" s="47" t="str">
        <f>IFERROR(__xludf.DUMMYFUNCTION("""COMPUTED_VALUE"""),"Virtual Brown")</f>
        <v>Virtual Brown</v>
      </c>
      <c r="B1244" s="47" t="str">
        <f>IFERROR(__xludf.DUMMYFUNCTION("""COMPUTED_VALUE"""),"mortonfox")</f>
        <v>mortonfox</v>
      </c>
      <c r="C1244" s="78" t="str">
        <f>IFERROR(__xludf.DUMMYFUNCTION("""COMPUTED_VALUE"""),"https://www.munzee.com/m/mortonfox/24564/")</f>
        <v>https://www.munzee.com/m/mortonfox/24564/</v>
      </c>
      <c r="D1244" s="47"/>
      <c r="E1244" s="47" t="b">
        <f>IFERROR(__xludf.DUMMYFUNCTION("""COMPUTED_VALUE"""),TRUE)</f>
        <v>1</v>
      </c>
      <c r="F1244" s="47" t="str">
        <f>IFERROR(__xludf.DUMMYFUNCTION("""COMPUTED_VALUE"""),"")</f>
        <v/>
      </c>
      <c r="G1244" s="47" t="str">
        <f>IFERROR(__xludf.DUMMYFUNCTION("""COMPUTED_VALUE"""),"")</f>
        <v/>
      </c>
      <c r="H1244" s="47"/>
      <c r="I1244" s="47">
        <f>IFERROR(__xludf.DUMMYFUNCTION("""COMPUTED_VALUE"""),2.0)</f>
        <v>2</v>
      </c>
      <c r="J1244" s="47" t="str">
        <f>IFERROR(__xludf.DUMMYFUNCTION("""COMPUTED_VALUE"""),"https:")</f>
        <v>https:</v>
      </c>
      <c r="K1244" s="78" t="str">
        <f>IFERROR(__xludf.DUMMYFUNCTION("""COMPUTED_VALUE"""),"www.munzee.com")</f>
        <v>www.munzee.com</v>
      </c>
      <c r="L1244" s="47" t="str">
        <f>IFERROR(__xludf.DUMMYFUNCTION("""COMPUTED_VALUE"""),"m")</f>
        <v>m</v>
      </c>
      <c r="M1244" s="47" t="str">
        <f>IFERROR(__xludf.DUMMYFUNCTION("""COMPUTED_VALUE"""),"mortonfox")</f>
        <v>mortonfox</v>
      </c>
    </row>
    <row r="1245">
      <c r="A1245" s="47" t="str">
        <f>IFERROR(__xludf.DUMMYFUNCTION("""COMPUTED_VALUE"""),"Virtual Brown")</f>
        <v>Virtual Brown</v>
      </c>
      <c r="B1245" s="47" t="str">
        <f>IFERROR(__xludf.DUMMYFUNCTION("""COMPUTED_VALUE"""),"skyfox")</f>
        <v>skyfox</v>
      </c>
      <c r="C1245" s="78" t="str">
        <f>IFERROR(__xludf.DUMMYFUNCTION("""COMPUTED_VALUE"""),"https://www.munzee.com/m/skyfox/14469/")</f>
        <v>https://www.munzee.com/m/skyfox/14469/</v>
      </c>
      <c r="D1245" s="47"/>
      <c r="E1245" s="47" t="b">
        <f>IFERROR(__xludf.DUMMYFUNCTION("""COMPUTED_VALUE"""),TRUE)</f>
        <v>1</v>
      </c>
      <c r="F1245" s="47" t="str">
        <f>IFERROR(__xludf.DUMMYFUNCTION("""COMPUTED_VALUE"""),"")</f>
        <v/>
      </c>
      <c r="G1245" s="47" t="str">
        <f>IFERROR(__xludf.DUMMYFUNCTION("""COMPUTED_VALUE"""),"")</f>
        <v/>
      </c>
      <c r="H1245" s="47"/>
      <c r="I1245" s="47">
        <f>IFERROR(__xludf.DUMMYFUNCTION("""COMPUTED_VALUE"""),2.0)</f>
        <v>2</v>
      </c>
      <c r="J1245" s="47" t="str">
        <f>IFERROR(__xludf.DUMMYFUNCTION("""COMPUTED_VALUE"""),"https:")</f>
        <v>https:</v>
      </c>
      <c r="K1245" s="78" t="str">
        <f>IFERROR(__xludf.DUMMYFUNCTION("""COMPUTED_VALUE"""),"www.munzee.com")</f>
        <v>www.munzee.com</v>
      </c>
      <c r="L1245" s="47" t="str">
        <f>IFERROR(__xludf.DUMMYFUNCTION("""COMPUTED_VALUE"""),"m")</f>
        <v>m</v>
      </c>
      <c r="M1245" s="47" t="str">
        <f>IFERROR(__xludf.DUMMYFUNCTION("""COMPUTED_VALUE"""),"skyfox")</f>
        <v>skyfox</v>
      </c>
    </row>
    <row r="1246">
      <c r="A1246" s="47" t="str">
        <f>IFERROR(__xludf.DUMMYFUNCTION("""COMPUTED_VALUE"""),"Virtual Raw Sienna")</f>
        <v>Virtual Raw Sienna</v>
      </c>
      <c r="B1246" s="47" t="str">
        <f>IFERROR(__xludf.DUMMYFUNCTION("""COMPUTED_VALUE""")," ")</f>
        <v> </v>
      </c>
      <c r="C1246" s="47"/>
      <c r="D1246" s="47"/>
      <c r="E1246" s="47" t="b">
        <f>IFERROR(__xludf.DUMMYFUNCTION("""COMPUTED_VALUE"""),FALSE)</f>
        <v>0</v>
      </c>
      <c r="F1246" s="47"/>
      <c r="G1246" s="47" t="str">
        <f>IFERROR(__xludf.DUMMYFUNCTION("""COMPUTED_VALUE"""),"")</f>
        <v/>
      </c>
      <c r="H1246" s="47"/>
      <c r="I1246" s="47">
        <f>IFERROR(__xludf.DUMMYFUNCTION("""COMPUTED_VALUE"""),0.0)</f>
        <v>0</v>
      </c>
      <c r="J1246" s="47" t="str">
        <f>IFERROR(__xludf.DUMMYFUNCTION("""COMPUTED_VALUE"""),"#VALUE!")</f>
        <v>#VALUE!</v>
      </c>
      <c r="K1246" s="47"/>
      <c r="L1246" s="47"/>
      <c r="M1246" s="47"/>
    </row>
    <row r="1247">
      <c r="A1247" s="47" t="str">
        <f>IFERROR(__xludf.DUMMYFUNCTION("""COMPUTED_VALUE"""),"Virtual Raw Sienna")</f>
        <v>Virtual Raw Sienna</v>
      </c>
      <c r="B1247" s="47"/>
      <c r="C1247" s="47"/>
      <c r="D1247" s="47"/>
      <c r="E1247" s="47" t="b">
        <f>IFERROR(__xludf.DUMMYFUNCTION("""COMPUTED_VALUE"""),FALSE)</f>
        <v>0</v>
      </c>
      <c r="F1247" s="47"/>
      <c r="G1247" s="47" t="str">
        <f>IFERROR(__xludf.DUMMYFUNCTION("""COMPUTED_VALUE"""),"")</f>
        <v/>
      </c>
      <c r="H1247" s="47"/>
      <c r="I1247" s="47">
        <f>IFERROR(__xludf.DUMMYFUNCTION("""COMPUTED_VALUE"""),0.0)</f>
        <v>0</v>
      </c>
      <c r="J1247" s="47" t="str">
        <f>IFERROR(__xludf.DUMMYFUNCTION("""COMPUTED_VALUE"""),"#VALUE!")</f>
        <v>#VALUE!</v>
      </c>
      <c r="K1247" s="47"/>
      <c r="L1247" s="47"/>
      <c r="M1247" s="47"/>
    </row>
    <row r="1248">
      <c r="A1248" s="47" t="str">
        <f>IFERROR(__xludf.DUMMYFUNCTION("""COMPUTED_VALUE"""),"Virtual Brown")</f>
        <v>Virtual Brown</v>
      </c>
      <c r="B1248" s="47" t="str">
        <f>IFERROR(__xludf.DUMMYFUNCTION("""COMPUTED_VALUE"""),"barefootguru")</f>
        <v>barefootguru</v>
      </c>
      <c r="C1248" s="78" t="str">
        <f>IFERROR(__xludf.DUMMYFUNCTION("""COMPUTED_VALUE"""),"https://www.munzee.com/m/barefootguru/3966/")</f>
        <v>https://www.munzee.com/m/barefootguru/3966/</v>
      </c>
      <c r="D1248" s="47"/>
      <c r="E1248" s="47" t="b">
        <f>IFERROR(__xludf.DUMMYFUNCTION("""COMPUTED_VALUE"""),TRUE)</f>
        <v>1</v>
      </c>
      <c r="F1248" s="47" t="str">
        <f>IFERROR(__xludf.DUMMYFUNCTION("""COMPUTED_VALUE"""),"")</f>
        <v/>
      </c>
      <c r="G1248" s="47" t="str">
        <f>IFERROR(__xludf.DUMMYFUNCTION("""COMPUTED_VALUE"""),"")</f>
        <v/>
      </c>
      <c r="H1248" s="47"/>
      <c r="I1248" s="47">
        <f>IFERROR(__xludf.DUMMYFUNCTION("""COMPUTED_VALUE"""),2.0)</f>
        <v>2</v>
      </c>
      <c r="J1248" s="47" t="str">
        <f>IFERROR(__xludf.DUMMYFUNCTION("""COMPUTED_VALUE"""),"https:")</f>
        <v>https:</v>
      </c>
      <c r="K1248" s="78" t="str">
        <f>IFERROR(__xludf.DUMMYFUNCTION("""COMPUTED_VALUE"""),"www.munzee.com")</f>
        <v>www.munzee.com</v>
      </c>
      <c r="L1248" s="47" t="str">
        <f>IFERROR(__xludf.DUMMYFUNCTION("""COMPUTED_VALUE"""),"m")</f>
        <v>m</v>
      </c>
      <c r="M1248" s="47" t="str">
        <f>IFERROR(__xludf.DUMMYFUNCTION("""COMPUTED_VALUE"""),"barefootguru")</f>
        <v>barefootguru</v>
      </c>
    </row>
    <row r="1249">
      <c r="A1249" s="47" t="str">
        <f>IFERROR(__xludf.DUMMYFUNCTION("""COMPUTED_VALUE"""),"Virtual Brown")</f>
        <v>Virtual Brown</v>
      </c>
      <c r="B1249" s="47" t="str">
        <f>IFERROR(__xludf.DUMMYFUNCTION("""COMPUTED_VALUE"""),"belladivadee")</f>
        <v>belladivadee</v>
      </c>
      <c r="C1249" s="78" t="str">
        <f>IFERROR(__xludf.DUMMYFUNCTION("""COMPUTED_VALUE"""),"https://www.munzee.com/m/belladivadee/3209/")</f>
        <v>https://www.munzee.com/m/belladivadee/3209/</v>
      </c>
      <c r="D1249" s="47"/>
      <c r="E1249" s="47" t="b">
        <f>IFERROR(__xludf.DUMMYFUNCTION("""COMPUTED_VALUE"""),TRUE)</f>
        <v>1</v>
      </c>
      <c r="F1249" s="47" t="str">
        <f>IFERROR(__xludf.DUMMYFUNCTION("""COMPUTED_VALUE"""),"")</f>
        <v/>
      </c>
      <c r="G1249" s="47" t="str">
        <f>IFERROR(__xludf.DUMMYFUNCTION("""COMPUTED_VALUE"""),"")</f>
        <v/>
      </c>
      <c r="H1249" s="47"/>
      <c r="I1249" s="47">
        <f>IFERROR(__xludf.DUMMYFUNCTION("""COMPUTED_VALUE"""),2.0)</f>
        <v>2</v>
      </c>
      <c r="J1249" s="47" t="str">
        <f>IFERROR(__xludf.DUMMYFUNCTION("""COMPUTED_VALUE"""),"https:")</f>
        <v>https:</v>
      </c>
      <c r="K1249" s="78" t="str">
        <f>IFERROR(__xludf.DUMMYFUNCTION("""COMPUTED_VALUE"""),"www.munzee.com")</f>
        <v>www.munzee.com</v>
      </c>
      <c r="L1249" s="47" t="str">
        <f>IFERROR(__xludf.DUMMYFUNCTION("""COMPUTED_VALUE"""),"m")</f>
        <v>m</v>
      </c>
      <c r="M1249" s="47" t="str">
        <f>IFERROR(__xludf.DUMMYFUNCTION("""COMPUTED_VALUE"""),"belladivadee")</f>
        <v>belladivadee</v>
      </c>
    </row>
    <row r="1250">
      <c r="A1250" s="47" t="str">
        <f>IFERROR(__xludf.DUMMYFUNCTION("""COMPUTED_VALUE"""),"Virtual Brown")</f>
        <v>Virtual Brown</v>
      </c>
      <c r="B1250" s="47" t="str">
        <f>IFERROR(__xludf.DUMMYFUNCTION("""COMPUTED_VALUE"""),"sverlaan")</f>
        <v>sverlaan</v>
      </c>
      <c r="C1250" s="78" t="str">
        <f>IFERROR(__xludf.DUMMYFUNCTION("""COMPUTED_VALUE"""),"https://www.munzee.com/m/sverlaan/6204/")</f>
        <v>https://www.munzee.com/m/sverlaan/6204/</v>
      </c>
      <c r="D1250" s="47"/>
      <c r="E1250" s="47" t="b">
        <f>IFERROR(__xludf.DUMMYFUNCTION("""COMPUTED_VALUE"""),TRUE)</f>
        <v>1</v>
      </c>
      <c r="F1250" s="47" t="str">
        <f>IFERROR(__xludf.DUMMYFUNCTION("""COMPUTED_VALUE"""),"")</f>
        <v/>
      </c>
      <c r="G1250" s="47" t="str">
        <f>IFERROR(__xludf.DUMMYFUNCTION("""COMPUTED_VALUE"""),"")</f>
        <v/>
      </c>
      <c r="H1250" s="47"/>
      <c r="I1250" s="47">
        <f>IFERROR(__xludf.DUMMYFUNCTION("""COMPUTED_VALUE"""),2.0)</f>
        <v>2</v>
      </c>
      <c r="J1250" s="47" t="str">
        <f>IFERROR(__xludf.DUMMYFUNCTION("""COMPUTED_VALUE"""),"https:")</f>
        <v>https:</v>
      </c>
      <c r="K1250" s="78" t="str">
        <f>IFERROR(__xludf.DUMMYFUNCTION("""COMPUTED_VALUE"""),"www.munzee.com")</f>
        <v>www.munzee.com</v>
      </c>
      <c r="L1250" s="47" t="str">
        <f>IFERROR(__xludf.DUMMYFUNCTION("""COMPUTED_VALUE"""),"m")</f>
        <v>m</v>
      </c>
      <c r="M1250" s="47" t="str">
        <f>IFERROR(__xludf.DUMMYFUNCTION("""COMPUTED_VALUE"""),"sverlaan")</f>
        <v>sverlaan</v>
      </c>
    </row>
    <row r="1251">
      <c r="A1251" s="47" t="str">
        <f>IFERROR(__xludf.DUMMYFUNCTION("""COMPUTED_VALUE"""),"Virtual Raw Sienna")</f>
        <v>Virtual Raw Sienna</v>
      </c>
      <c r="B1251" s="47" t="str">
        <f>IFERROR(__xludf.DUMMYFUNCTION("""COMPUTED_VALUE"""),"pawpatrolthomas")</f>
        <v>pawpatrolthomas</v>
      </c>
      <c r="C1251" s="78" t="str">
        <f>IFERROR(__xludf.DUMMYFUNCTION("""COMPUTED_VALUE"""),"https://www.munzee.com/m/PawPatrolThomas/4175/")</f>
        <v>https://www.munzee.com/m/PawPatrolThomas/4175/</v>
      </c>
      <c r="D1251" s="47"/>
      <c r="E1251" s="47" t="b">
        <f>IFERROR(__xludf.DUMMYFUNCTION("""COMPUTED_VALUE"""),TRUE)</f>
        <v>1</v>
      </c>
      <c r="F1251" s="47" t="str">
        <f>IFERROR(__xludf.DUMMYFUNCTION("""COMPUTED_VALUE"""),"")</f>
        <v/>
      </c>
      <c r="G1251" s="47" t="str">
        <f>IFERROR(__xludf.DUMMYFUNCTION("""COMPUTED_VALUE"""),"")</f>
        <v/>
      </c>
      <c r="H1251" s="47"/>
      <c r="I1251" s="47">
        <f>IFERROR(__xludf.DUMMYFUNCTION("""COMPUTED_VALUE"""),2.0)</f>
        <v>2</v>
      </c>
      <c r="J1251" s="47" t="str">
        <f>IFERROR(__xludf.DUMMYFUNCTION("""COMPUTED_VALUE"""),"https:")</f>
        <v>https:</v>
      </c>
      <c r="K1251" s="78" t="str">
        <f>IFERROR(__xludf.DUMMYFUNCTION("""COMPUTED_VALUE"""),"www.munzee.com")</f>
        <v>www.munzee.com</v>
      </c>
      <c r="L1251" s="47" t="str">
        <f>IFERROR(__xludf.DUMMYFUNCTION("""COMPUTED_VALUE"""),"m")</f>
        <v>m</v>
      </c>
      <c r="M1251" s="47" t="str">
        <f>IFERROR(__xludf.DUMMYFUNCTION("""COMPUTED_VALUE"""),"PawPatrolThomas")</f>
        <v>PawPatrolThomas</v>
      </c>
    </row>
    <row r="1252">
      <c r="A1252" s="47" t="str">
        <f>IFERROR(__xludf.DUMMYFUNCTION("""COMPUTED_VALUE"""),"Virtual Raw Sienna")</f>
        <v>Virtual Raw Sienna</v>
      </c>
      <c r="B1252" s="47" t="str">
        <f>IFERROR(__xludf.DUMMYFUNCTION("""COMPUTED_VALUE"""),"emileP68")</f>
        <v>emileP68</v>
      </c>
      <c r="C1252" s="78" t="str">
        <f>IFERROR(__xludf.DUMMYFUNCTION("""COMPUTED_VALUE"""),"https://www.munzee.com/m/EmileP68/4939/")</f>
        <v>https://www.munzee.com/m/EmileP68/4939/</v>
      </c>
      <c r="D1252" s="47"/>
      <c r="E1252" s="47" t="b">
        <f>IFERROR(__xludf.DUMMYFUNCTION("""COMPUTED_VALUE"""),TRUE)</f>
        <v>1</v>
      </c>
      <c r="F1252" s="47" t="str">
        <f>IFERROR(__xludf.DUMMYFUNCTION("""COMPUTED_VALUE"""),"")</f>
        <v/>
      </c>
      <c r="G1252" s="47" t="str">
        <f>IFERROR(__xludf.DUMMYFUNCTION("""COMPUTED_VALUE"""),"")</f>
        <v/>
      </c>
      <c r="H1252" s="47"/>
      <c r="I1252" s="47">
        <f>IFERROR(__xludf.DUMMYFUNCTION("""COMPUTED_VALUE"""),2.0)</f>
        <v>2</v>
      </c>
      <c r="J1252" s="47" t="str">
        <f>IFERROR(__xludf.DUMMYFUNCTION("""COMPUTED_VALUE"""),"https:")</f>
        <v>https:</v>
      </c>
      <c r="K1252" s="78" t="str">
        <f>IFERROR(__xludf.DUMMYFUNCTION("""COMPUTED_VALUE"""),"www.munzee.com")</f>
        <v>www.munzee.com</v>
      </c>
      <c r="L1252" s="47" t="str">
        <f>IFERROR(__xludf.DUMMYFUNCTION("""COMPUTED_VALUE"""),"m")</f>
        <v>m</v>
      </c>
      <c r="M1252" s="47" t="str">
        <f>IFERROR(__xludf.DUMMYFUNCTION("""COMPUTED_VALUE"""),"EmileP68")</f>
        <v>EmileP68</v>
      </c>
    </row>
    <row r="1253">
      <c r="A1253" s="47" t="str">
        <f>IFERROR(__xludf.DUMMYFUNCTION("""COMPUTED_VALUE"""),"Virtual Brown")</f>
        <v>Virtual Brown</v>
      </c>
      <c r="B1253" s="47" t="str">
        <f>IFERROR(__xludf.DUMMYFUNCTION("""COMPUTED_VALUE"""),"BrotherWilliam")</f>
        <v>BrotherWilliam</v>
      </c>
      <c r="C1253" s="78" t="str">
        <f>IFERROR(__xludf.DUMMYFUNCTION("""COMPUTED_VALUE"""),"https://www.munzee.com/m/BrotherWilliam/5401/")</f>
        <v>https://www.munzee.com/m/BrotherWilliam/5401/</v>
      </c>
      <c r="D1253" s="47"/>
      <c r="E1253" s="47" t="b">
        <f>IFERROR(__xludf.DUMMYFUNCTION("""COMPUTED_VALUE"""),TRUE)</f>
        <v>1</v>
      </c>
      <c r="F1253" s="47" t="str">
        <f>IFERROR(__xludf.DUMMYFUNCTION("""COMPUTED_VALUE"""),"")</f>
        <v/>
      </c>
      <c r="G1253" s="47" t="str">
        <f>IFERROR(__xludf.DUMMYFUNCTION("""COMPUTED_VALUE"""),"")</f>
        <v/>
      </c>
      <c r="H1253" s="47"/>
      <c r="I1253" s="47">
        <f>IFERROR(__xludf.DUMMYFUNCTION("""COMPUTED_VALUE"""),2.0)</f>
        <v>2</v>
      </c>
      <c r="J1253" s="47" t="str">
        <f>IFERROR(__xludf.DUMMYFUNCTION("""COMPUTED_VALUE"""),"https:")</f>
        <v>https:</v>
      </c>
      <c r="K1253" s="78" t="str">
        <f>IFERROR(__xludf.DUMMYFUNCTION("""COMPUTED_VALUE"""),"www.munzee.com")</f>
        <v>www.munzee.com</v>
      </c>
      <c r="L1253" s="47" t="str">
        <f>IFERROR(__xludf.DUMMYFUNCTION("""COMPUTED_VALUE"""),"m")</f>
        <v>m</v>
      </c>
      <c r="M1253" s="47" t="str">
        <f>IFERROR(__xludf.DUMMYFUNCTION("""COMPUTED_VALUE"""),"BrotherWilliam")</f>
        <v>BrotherWilliam</v>
      </c>
    </row>
    <row r="1254">
      <c r="A1254" s="47" t="str">
        <f>IFERROR(__xludf.DUMMYFUNCTION("""COMPUTED_VALUE"""),"Virtual Brown")</f>
        <v>Virtual Brown</v>
      </c>
      <c r="B1254" s="47" t="str">
        <f>IFERROR(__xludf.DUMMYFUNCTION("""COMPUTED_VALUE"""),"ArtofEco")</f>
        <v>ArtofEco</v>
      </c>
      <c r="C1254" s="78" t="str">
        <f>IFERROR(__xludf.DUMMYFUNCTION("""COMPUTED_VALUE"""),"https://www.munzee.com/m/ArtofEco/3685/")</f>
        <v>https://www.munzee.com/m/ArtofEco/3685/</v>
      </c>
      <c r="D1254" s="47"/>
      <c r="E1254" s="47" t="b">
        <f>IFERROR(__xludf.DUMMYFUNCTION("""COMPUTED_VALUE"""),TRUE)</f>
        <v>1</v>
      </c>
      <c r="F1254" s="47" t="str">
        <f>IFERROR(__xludf.DUMMYFUNCTION("""COMPUTED_VALUE"""),"")</f>
        <v/>
      </c>
      <c r="G1254" s="47" t="str">
        <f>IFERROR(__xludf.DUMMYFUNCTION("""COMPUTED_VALUE"""),"")</f>
        <v/>
      </c>
      <c r="H1254" s="47"/>
      <c r="I1254" s="47">
        <f>IFERROR(__xludf.DUMMYFUNCTION("""COMPUTED_VALUE"""),2.0)</f>
        <v>2</v>
      </c>
      <c r="J1254" s="47" t="str">
        <f>IFERROR(__xludf.DUMMYFUNCTION("""COMPUTED_VALUE"""),"https:")</f>
        <v>https:</v>
      </c>
      <c r="K1254" s="78" t="str">
        <f>IFERROR(__xludf.DUMMYFUNCTION("""COMPUTED_VALUE"""),"www.munzee.com")</f>
        <v>www.munzee.com</v>
      </c>
      <c r="L1254" s="47" t="str">
        <f>IFERROR(__xludf.DUMMYFUNCTION("""COMPUTED_VALUE"""),"m")</f>
        <v>m</v>
      </c>
      <c r="M1254" s="47" t="str">
        <f>IFERROR(__xludf.DUMMYFUNCTION("""COMPUTED_VALUE"""),"ArtofEco")</f>
        <v>ArtofEco</v>
      </c>
    </row>
    <row r="1255">
      <c r="A1255" s="47" t="str">
        <f>IFERROR(__xludf.DUMMYFUNCTION("""COMPUTED_VALUE"""),"Virtual Brown")</f>
        <v>Virtual Brown</v>
      </c>
      <c r="B1255" s="47" t="str">
        <f>IFERROR(__xludf.DUMMYFUNCTION("""COMPUTED_VALUE"""),"J1Huisman")</f>
        <v>J1Huisman</v>
      </c>
      <c r="C1255" s="78" t="str">
        <f>IFERROR(__xludf.DUMMYFUNCTION("""COMPUTED_VALUE"""),"https://www.munzee.com/m/J1Huisman/14246/")</f>
        <v>https://www.munzee.com/m/J1Huisman/14246/</v>
      </c>
      <c r="D1255" s="47"/>
      <c r="E1255" s="47" t="b">
        <f>IFERROR(__xludf.DUMMYFUNCTION("""COMPUTED_VALUE"""),TRUE)</f>
        <v>1</v>
      </c>
      <c r="F1255" s="47" t="str">
        <f>IFERROR(__xludf.DUMMYFUNCTION("""COMPUTED_VALUE"""),"")</f>
        <v/>
      </c>
      <c r="G1255" s="47" t="str">
        <f>IFERROR(__xludf.DUMMYFUNCTION("""COMPUTED_VALUE"""),"")</f>
        <v/>
      </c>
      <c r="H1255" s="47"/>
      <c r="I1255" s="47">
        <f>IFERROR(__xludf.DUMMYFUNCTION("""COMPUTED_VALUE"""),2.0)</f>
        <v>2</v>
      </c>
      <c r="J1255" s="47" t="str">
        <f>IFERROR(__xludf.DUMMYFUNCTION("""COMPUTED_VALUE"""),"https:")</f>
        <v>https:</v>
      </c>
      <c r="K1255" s="78" t="str">
        <f>IFERROR(__xludf.DUMMYFUNCTION("""COMPUTED_VALUE"""),"www.munzee.com")</f>
        <v>www.munzee.com</v>
      </c>
      <c r="L1255" s="47" t="str">
        <f>IFERROR(__xludf.DUMMYFUNCTION("""COMPUTED_VALUE"""),"m")</f>
        <v>m</v>
      </c>
      <c r="M1255" s="47" t="str">
        <f>IFERROR(__xludf.DUMMYFUNCTION("""COMPUTED_VALUE"""),"J1Huisman")</f>
        <v>J1Huisman</v>
      </c>
    </row>
    <row r="1256">
      <c r="A1256" s="47" t="str">
        <f>IFERROR(__xludf.DUMMYFUNCTION("""COMPUTED_VALUE"""),"Virtual Raw Sienna")</f>
        <v>Virtual Raw Sienna</v>
      </c>
      <c r="B1256" s="47" t="str">
        <f>IFERROR(__xludf.DUMMYFUNCTION("""COMPUTED_VALUE"""),"fsafranek")</f>
        <v>fsafranek</v>
      </c>
      <c r="C1256" s="78" t="str">
        <f>IFERROR(__xludf.DUMMYFUNCTION("""COMPUTED_VALUE"""),"https://www.munzee.com/m/fsafranek/5462/")</f>
        <v>https://www.munzee.com/m/fsafranek/5462/</v>
      </c>
      <c r="D1256" s="47"/>
      <c r="E1256" s="47" t="b">
        <f>IFERROR(__xludf.DUMMYFUNCTION("""COMPUTED_VALUE"""),TRUE)</f>
        <v>1</v>
      </c>
      <c r="F1256" s="47" t="str">
        <f>IFERROR(__xludf.DUMMYFUNCTION("""COMPUTED_VALUE"""),"")</f>
        <v/>
      </c>
      <c r="G1256" s="47" t="str">
        <f>IFERROR(__xludf.DUMMYFUNCTION("""COMPUTED_VALUE"""),"")</f>
        <v/>
      </c>
      <c r="H1256" s="47"/>
      <c r="I1256" s="47">
        <f>IFERROR(__xludf.DUMMYFUNCTION("""COMPUTED_VALUE"""),2.0)</f>
        <v>2</v>
      </c>
      <c r="J1256" s="47" t="str">
        <f>IFERROR(__xludf.DUMMYFUNCTION("""COMPUTED_VALUE"""),"https:")</f>
        <v>https:</v>
      </c>
      <c r="K1256" s="78" t="str">
        <f>IFERROR(__xludf.DUMMYFUNCTION("""COMPUTED_VALUE"""),"www.munzee.com")</f>
        <v>www.munzee.com</v>
      </c>
      <c r="L1256" s="47" t="str">
        <f>IFERROR(__xludf.DUMMYFUNCTION("""COMPUTED_VALUE"""),"m")</f>
        <v>m</v>
      </c>
      <c r="M1256" s="47" t="str">
        <f>IFERROR(__xludf.DUMMYFUNCTION("""COMPUTED_VALUE"""),"fsafranek")</f>
        <v>fsafranek</v>
      </c>
    </row>
    <row r="1257">
      <c r="A1257" s="47" t="str">
        <f>IFERROR(__xludf.DUMMYFUNCTION("""COMPUTED_VALUE"""),"Virtual Brown")</f>
        <v>Virtual Brown</v>
      </c>
      <c r="B1257" s="47" t="str">
        <f>IFERROR(__xludf.DUMMYFUNCTION("""COMPUTED_VALUE"""),"rita85gto")</f>
        <v>rita85gto</v>
      </c>
      <c r="C1257" s="78" t="str">
        <f>IFERROR(__xludf.DUMMYFUNCTION("""COMPUTED_VALUE"""),"https://www.munzee.com/m/rita85gto/3804/")</f>
        <v>https://www.munzee.com/m/rita85gto/3804/</v>
      </c>
      <c r="D1257" s="47"/>
      <c r="E1257" s="47" t="b">
        <f>IFERROR(__xludf.DUMMYFUNCTION("""COMPUTED_VALUE"""),TRUE)</f>
        <v>1</v>
      </c>
      <c r="F1257" s="47" t="str">
        <f>IFERROR(__xludf.DUMMYFUNCTION("""COMPUTED_VALUE"""),"")</f>
        <v/>
      </c>
      <c r="G1257" s="47" t="str">
        <f>IFERROR(__xludf.DUMMYFUNCTION("""COMPUTED_VALUE"""),"")</f>
        <v/>
      </c>
      <c r="H1257" s="47"/>
      <c r="I1257" s="47">
        <f>IFERROR(__xludf.DUMMYFUNCTION("""COMPUTED_VALUE"""),2.0)</f>
        <v>2</v>
      </c>
      <c r="J1257" s="47" t="str">
        <f>IFERROR(__xludf.DUMMYFUNCTION("""COMPUTED_VALUE"""),"https:")</f>
        <v>https:</v>
      </c>
      <c r="K1257" s="78" t="str">
        <f>IFERROR(__xludf.DUMMYFUNCTION("""COMPUTED_VALUE"""),"www.munzee.com")</f>
        <v>www.munzee.com</v>
      </c>
      <c r="L1257" s="47" t="str">
        <f>IFERROR(__xludf.DUMMYFUNCTION("""COMPUTED_VALUE"""),"m")</f>
        <v>m</v>
      </c>
      <c r="M1257" s="47" t="str">
        <f>IFERROR(__xludf.DUMMYFUNCTION("""COMPUTED_VALUE"""),"rita85gto")</f>
        <v>rita85gto</v>
      </c>
    </row>
    <row r="1258">
      <c r="A1258" s="47" t="str">
        <f>IFERROR(__xludf.DUMMYFUNCTION("""COMPUTED_VALUE"""),"Virtual Brown")</f>
        <v>Virtual Brown</v>
      </c>
      <c r="B1258" s="47" t="str">
        <f>IFERROR(__xludf.DUMMYFUNCTION("""COMPUTED_VALUE"""),"xrayneex")</f>
        <v>xrayneex</v>
      </c>
      <c r="C1258" s="78" t="str">
        <f>IFERROR(__xludf.DUMMYFUNCTION("""COMPUTED_VALUE"""),"https://www.munzee.com/m/xrayneex/2571/")</f>
        <v>https://www.munzee.com/m/xrayneex/2571/</v>
      </c>
      <c r="D1258" s="47"/>
      <c r="E1258" s="47" t="b">
        <f>IFERROR(__xludf.DUMMYFUNCTION("""COMPUTED_VALUE"""),TRUE)</f>
        <v>1</v>
      </c>
      <c r="F1258" s="47" t="str">
        <f>IFERROR(__xludf.DUMMYFUNCTION("""COMPUTED_VALUE"""),"")</f>
        <v/>
      </c>
      <c r="G1258" s="47" t="str">
        <f>IFERROR(__xludf.DUMMYFUNCTION("""COMPUTED_VALUE"""),"")</f>
        <v/>
      </c>
      <c r="H1258" s="47"/>
      <c r="I1258" s="47">
        <f>IFERROR(__xludf.DUMMYFUNCTION("""COMPUTED_VALUE"""),2.0)</f>
        <v>2</v>
      </c>
      <c r="J1258" s="47" t="str">
        <f>IFERROR(__xludf.DUMMYFUNCTION("""COMPUTED_VALUE"""),"https:")</f>
        <v>https:</v>
      </c>
      <c r="K1258" s="78" t="str">
        <f>IFERROR(__xludf.DUMMYFUNCTION("""COMPUTED_VALUE"""),"www.munzee.com")</f>
        <v>www.munzee.com</v>
      </c>
      <c r="L1258" s="47" t="str">
        <f>IFERROR(__xludf.DUMMYFUNCTION("""COMPUTED_VALUE"""),"m")</f>
        <v>m</v>
      </c>
      <c r="M1258" s="47" t="str">
        <f>IFERROR(__xludf.DUMMYFUNCTION("""COMPUTED_VALUE"""),"xrayneex")</f>
        <v>xrayneex</v>
      </c>
    </row>
    <row r="1259">
      <c r="A1259" s="47" t="str">
        <f>IFERROR(__xludf.DUMMYFUNCTION("""COMPUTED_VALUE"""),"Virtual Brown")</f>
        <v>Virtual Brown</v>
      </c>
      <c r="B1259" s="47" t="str">
        <f>IFERROR(__xludf.DUMMYFUNCTION("""COMPUTED_VALUE"""),"lupo6")</f>
        <v>lupo6</v>
      </c>
      <c r="C1259" s="78" t="str">
        <f>IFERROR(__xludf.DUMMYFUNCTION("""COMPUTED_VALUE"""),"https://www.munzee.com/m/lupo6/6823")</f>
        <v>https://www.munzee.com/m/lupo6/6823</v>
      </c>
      <c r="D1259" s="47"/>
      <c r="E1259" s="47" t="b">
        <f>IFERROR(__xludf.DUMMYFUNCTION("""COMPUTED_VALUE"""),TRUE)</f>
        <v>1</v>
      </c>
      <c r="F1259" s="47" t="str">
        <f>IFERROR(__xludf.DUMMYFUNCTION("""COMPUTED_VALUE"""),"")</f>
        <v/>
      </c>
      <c r="G1259" s="47" t="str">
        <f>IFERROR(__xludf.DUMMYFUNCTION("""COMPUTED_VALUE"""),"")</f>
        <v/>
      </c>
      <c r="H1259" s="47"/>
      <c r="I1259" s="47">
        <f>IFERROR(__xludf.DUMMYFUNCTION("""COMPUTED_VALUE"""),2.0)</f>
        <v>2</v>
      </c>
      <c r="J1259" s="47" t="str">
        <f>IFERROR(__xludf.DUMMYFUNCTION("""COMPUTED_VALUE"""),"https:")</f>
        <v>https:</v>
      </c>
      <c r="K1259" s="78" t="str">
        <f>IFERROR(__xludf.DUMMYFUNCTION("""COMPUTED_VALUE"""),"www.munzee.com")</f>
        <v>www.munzee.com</v>
      </c>
      <c r="L1259" s="47" t="str">
        <f>IFERROR(__xludf.DUMMYFUNCTION("""COMPUTED_VALUE"""),"m")</f>
        <v>m</v>
      </c>
      <c r="M1259" s="47" t="str">
        <f>IFERROR(__xludf.DUMMYFUNCTION("""COMPUTED_VALUE"""),"lupo6")</f>
        <v>lupo6</v>
      </c>
    </row>
    <row r="1260">
      <c r="A1260" s="47" t="str">
        <f>IFERROR(__xludf.DUMMYFUNCTION("""COMPUTED_VALUE"""),"Virtual Brown")</f>
        <v>Virtual Brown</v>
      </c>
      <c r="B1260" s="47" t="str">
        <f>IFERROR(__xludf.DUMMYFUNCTION("""COMPUTED_VALUE"""),"crscousins")</f>
        <v>crscousins</v>
      </c>
      <c r="C1260" s="78" t="str">
        <f>IFERROR(__xludf.DUMMYFUNCTION("""COMPUTED_VALUE"""),"https://www.munzee.com/m/crscousins/7366/")</f>
        <v>https://www.munzee.com/m/crscousins/7366/</v>
      </c>
      <c r="D1260" s="47"/>
      <c r="E1260" s="47" t="b">
        <f>IFERROR(__xludf.DUMMYFUNCTION("""COMPUTED_VALUE"""),TRUE)</f>
        <v>1</v>
      </c>
      <c r="F1260" s="47" t="str">
        <f>IFERROR(__xludf.DUMMYFUNCTION("""COMPUTED_VALUE"""),"")</f>
        <v/>
      </c>
      <c r="G1260" s="47" t="str">
        <f>IFERROR(__xludf.DUMMYFUNCTION("""COMPUTED_VALUE"""),"")</f>
        <v/>
      </c>
      <c r="H1260" s="47"/>
      <c r="I1260" s="47">
        <f>IFERROR(__xludf.DUMMYFUNCTION("""COMPUTED_VALUE"""),2.0)</f>
        <v>2</v>
      </c>
      <c r="J1260" s="47" t="str">
        <f>IFERROR(__xludf.DUMMYFUNCTION("""COMPUTED_VALUE"""),"https:")</f>
        <v>https:</v>
      </c>
      <c r="K1260" s="78" t="str">
        <f>IFERROR(__xludf.DUMMYFUNCTION("""COMPUTED_VALUE"""),"www.munzee.com")</f>
        <v>www.munzee.com</v>
      </c>
      <c r="L1260" s="47" t="str">
        <f>IFERROR(__xludf.DUMMYFUNCTION("""COMPUTED_VALUE"""),"m")</f>
        <v>m</v>
      </c>
      <c r="M1260" s="47" t="str">
        <f>IFERROR(__xludf.DUMMYFUNCTION("""COMPUTED_VALUE"""),"crscousins")</f>
        <v>crscousins</v>
      </c>
    </row>
    <row r="1261">
      <c r="A1261" s="47" t="str">
        <f>IFERROR(__xludf.DUMMYFUNCTION("""COMPUTED_VALUE"""),"Virtual Brown")</f>
        <v>Virtual Brown</v>
      </c>
      <c r="B1261" s="47" t="str">
        <f>IFERROR(__xludf.DUMMYFUNCTION("""COMPUTED_VALUE"""),"raunas")</f>
        <v>raunas</v>
      </c>
      <c r="C1261" s="78" t="str">
        <f>IFERROR(__xludf.DUMMYFUNCTION("""COMPUTED_VALUE"""),"https://www.munzee.com/m/raunas/12415")</f>
        <v>https://www.munzee.com/m/raunas/12415</v>
      </c>
      <c r="D1261" s="47"/>
      <c r="E1261" s="47" t="b">
        <f>IFERROR(__xludf.DUMMYFUNCTION("""COMPUTED_VALUE"""),TRUE)</f>
        <v>1</v>
      </c>
      <c r="F1261" s="47"/>
      <c r="G1261" s="47" t="str">
        <f>IFERROR(__xludf.DUMMYFUNCTION("""COMPUTED_VALUE"""),"")</f>
        <v/>
      </c>
      <c r="H1261" s="47"/>
      <c r="I1261" s="47">
        <f>IFERROR(__xludf.DUMMYFUNCTION("""COMPUTED_VALUE"""),2.0)</f>
        <v>2</v>
      </c>
      <c r="J1261" s="47" t="str">
        <f>IFERROR(__xludf.DUMMYFUNCTION("""COMPUTED_VALUE"""),"https:")</f>
        <v>https:</v>
      </c>
      <c r="K1261" s="78" t="str">
        <f>IFERROR(__xludf.DUMMYFUNCTION("""COMPUTED_VALUE"""),"www.munzee.com")</f>
        <v>www.munzee.com</v>
      </c>
      <c r="L1261" s="47" t="str">
        <f>IFERROR(__xludf.DUMMYFUNCTION("""COMPUTED_VALUE"""),"m")</f>
        <v>m</v>
      </c>
      <c r="M1261" s="47" t="str">
        <f>IFERROR(__xludf.DUMMYFUNCTION("""COMPUTED_VALUE"""),"raunas")</f>
        <v>raunas</v>
      </c>
    </row>
    <row r="1262">
      <c r="A1262" s="47" t="str">
        <f>IFERROR(__xludf.DUMMYFUNCTION("""COMPUTED_VALUE"""),"Virtual Brown")</f>
        <v>Virtual Brown</v>
      </c>
      <c r="B1262" s="47" t="str">
        <f>IFERROR(__xludf.DUMMYFUNCTION("""COMPUTED_VALUE"""),"res2100")</f>
        <v>res2100</v>
      </c>
      <c r="C1262" s="78" t="str">
        <f>IFERROR(__xludf.DUMMYFUNCTION("""COMPUTED_VALUE"""),"https://www.munzee.com/m/res2100/879/")</f>
        <v>https://www.munzee.com/m/res2100/879/</v>
      </c>
      <c r="D1262" s="47"/>
      <c r="E1262" s="47" t="b">
        <f>IFERROR(__xludf.DUMMYFUNCTION("""COMPUTED_VALUE"""),TRUE)</f>
        <v>1</v>
      </c>
      <c r="F1262" s="47" t="str">
        <f>IFERROR(__xludf.DUMMYFUNCTION("""COMPUTED_VALUE"""),"")</f>
        <v/>
      </c>
      <c r="G1262" s="47" t="str">
        <f>IFERROR(__xludf.DUMMYFUNCTION("""COMPUTED_VALUE"""),"")</f>
        <v/>
      </c>
      <c r="H1262" s="47"/>
      <c r="I1262" s="47">
        <f>IFERROR(__xludf.DUMMYFUNCTION("""COMPUTED_VALUE"""),2.0)</f>
        <v>2</v>
      </c>
      <c r="J1262" s="47" t="str">
        <f>IFERROR(__xludf.DUMMYFUNCTION("""COMPUTED_VALUE"""),"https:")</f>
        <v>https:</v>
      </c>
      <c r="K1262" s="78" t="str">
        <f>IFERROR(__xludf.DUMMYFUNCTION("""COMPUTED_VALUE"""),"www.munzee.com")</f>
        <v>www.munzee.com</v>
      </c>
      <c r="L1262" s="47" t="str">
        <f>IFERROR(__xludf.DUMMYFUNCTION("""COMPUTED_VALUE"""),"m")</f>
        <v>m</v>
      </c>
      <c r="M1262" s="47" t="str">
        <f>IFERROR(__xludf.DUMMYFUNCTION("""COMPUTED_VALUE"""),"res2100")</f>
        <v>res2100</v>
      </c>
    </row>
    <row r="1263">
      <c r="A1263" s="47" t="str">
        <f>IFERROR(__xludf.DUMMYFUNCTION("""COMPUTED_VALUE"""),"Virtual Brown")</f>
        <v>Virtual Brown</v>
      </c>
      <c r="B1263" s="47" t="str">
        <f>IFERROR(__xludf.DUMMYFUNCTION("""COMPUTED_VALUE"""),"Ellesche")</f>
        <v>Ellesche</v>
      </c>
      <c r="C1263" s="78" t="str">
        <f>IFERROR(__xludf.DUMMYFUNCTION("""COMPUTED_VALUE"""),"https://www.munzee.com/m/Ellesche/834")</f>
        <v>https://www.munzee.com/m/Ellesche/834</v>
      </c>
      <c r="D1263" s="47"/>
      <c r="E1263" s="47" t="b">
        <f>IFERROR(__xludf.DUMMYFUNCTION("""COMPUTED_VALUE"""),TRUE)</f>
        <v>1</v>
      </c>
      <c r="F1263" s="47" t="str">
        <f>IFERROR(__xludf.DUMMYFUNCTION("""COMPUTED_VALUE"""),"")</f>
        <v/>
      </c>
      <c r="G1263" s="47" t="str">
        <f>IFERROR(__xludf.DUMMYFUNCTION("""COMPUTED_VALUE"""),"")</f>
        <v/>
      </c>
      <c r="H1263" s="47"/>
      <c r="I1263" s="47">
        <f>IFERROR(__xludf.DUMMYFUNCTION("""COMPUTED_VALUE"""),2.0)</f>
        <v>2</v>
      </c>
      <c r="J1263" s="47" t="str">
        <f>IFERROR(__xludf.DUMMYFUNCTION("""COMPUTED_VALUE"""),"https:")</f>
        <v>https:</v>
      </c>
      <c r="K1263" s="78" t="str">
        <f>IFERROR(__xludf.DUMMYFUNCTION("""COMPUTED_VALUE"""),"www.munzee.com")</f>
        <v>www.munzee.com</v>
      </c>
      <c r="L1263" s="47" t="str">
        <f>IFERROR(__xludf.DUMMYFUNCTION("""COMPUTED_VALUE"""),"m")</f>
        <v>m</v>
      </c>
      <c r="M1263" s="47" t="str">
        <f>IFERROR(__xludf.DUMMYFUNCTION("""COMPUTED_VALUE"""),"Ellesche")</f>
        <v>Ellesche</v>
      </c>
    </row>
    <row r="1264">
      <c r="A1264" s="47" t="str">
        <f>IFERROR(__xludf.DUMMYFUNCTION("""COMPUTED_VALUE"""),"Virtual Brown")</f>
        <v>Virtual Brown</v>
      </c>
      <c r="B1264" s="47" t="str">
        <f>IFERROR(__xludf.DUMMYFUNCTION("""COMPUTED_VALUE"""),"Drazoria")</f>
        <v>Drazoria</v>
      </c>
      <c r="C1264" s="78" t="str">
        <f>IFERROR(__xludf.DUMMYFUNCTION("""COMPUTED_VALUE"""),"https://www.munzee.com/m/Drazoria/1602/")</f>
        <v>https://www.munzee.com/m/Drazoria/1602/</v>
      </c>
      <c r="D1264" s="47"/>
      <c r="E1264" s="47" t="b">
        <f>IFERROR(__xludf.DUMMYFUNCTION("""COMPUTED_VALUE"""),TRUE)</f>
        <v>1</v>
      </c>
      <c r="F1264" s="47" t="str">
        <f>IFERROR(__xludf.DUMMYFUNCTION("""COMPUTED_VALUE"""),"")</f>
        <v/>
      </c>
      <c r="G1264" s="47" t="str">
        <f>IFERROR(__xludf.DUMMYFUNCTION("""COMPUTED_VALUE"""),"")</f>
        <v/>
      </c>
      <c r="H1264" s="47"/>
      <c r="I1264" s="47">
        <f>IFERROR(__xludf.DUMMYFUNCTION("""COMPUTED_VALUE"""),2.0)</f>
        <v>2</v>
      </c>
      <c r="J1264" s="47" t="str">
        <f>IFERROR(__xludf.DUMMYFUNCTION("""COMPUTED_VALUE"""),"https:")</f>
        <v>https:</v>
      </c>
      <c r="K1264" s="78" t="str">
        <f>IFERROR(__xludf.DUMMYFUNCTION("""COMPUTED_VALUE"""),"www.munzee.com")</f>
        <v>www.munzee.com</v>
      </c>
      <c r="L1264" s="47" t="str">
        <f>IFERROR(__xludf.DUMMYFUNCTION("""COMPUTED_VALUE"""),"m")</f>
        <v>m</v>
      </c>
      <c r="M1264" s="47" t="str">
        <f>IFERROR(__xludf.DUMMYFUNCTION("""COMPUTED_VALUE"""),"Drazoria")</f>
        <v>Drazoria</v>
      </c>
    </row>
    <row r="1265">
      <c r="A1265" s="47" t="str">
        <f>IFERROR(__xludf.DUMMYFUNCTION("""COMPUTED_VALUE"""),"Virtual Brown")</f>
        <v>Virtual Brown</v>
      </c>
      <c r="B1265" s="47" t="str">
        <f>IFERROR(__xludf.DUMMYFUNCTION("""COMPUTED_VALUE"""),"Tinake1309")</f>
        <v>Tinake1309</v>
      </c>
      <c r="C1265" s="78" t="str">
        <f>IFERROR(__xludf.DUMMYFUNCTION("""COMPUTED_VALUE"""),"https://www.munzee.com/m/Tinake1309/1663/")</f>
        <v>https://www.munzee.com/m/Tinake1309/1663/</v>
      </c>
      <c r="D1265" s="47"/>
      <c r="E1265" s="47" t="b">
        <f>IFERROR(__xludf.DUMMYFUNCTION("""COMPUTED_VALUE"""),TRUE)</f>
        <v>1</v>
      </c>
      <c r="F1265" s="47" t="str">
        <f>IFERROR(__xludf.DUMMYFUNCTION("""COMPUTED_VALUE"""),"")</f>
        <v/>
      </c>
      <c r="G1265" s="47" t="str">
        <f>IFERROR(__xludf.DUMMYFUNCTION("""COMPUTED_VALUE"""),"")</f>
        <v/>
      </c>
      <c r="H1265" s="47"/>
      <c r="I1265" s="47">
        <f>IFERROR(__xludf.DUMMYFUNCTION("""COMPUTED_VALUE"""),2.0)</f>
        <v>2</v>
      </c>
      <c r="J1265" s="47" t="str">
        <f>IFERROR(__xludf.DUMMYFUNCTION("""COMPUTED_VALUE"""),"https:")</f>
        <v>https:</v>
      </c>
      <c r="K1265" s="78" t="str">
        <f>IFERROR(__xludf.DUMMYFUNCTION("""COMPUTED_VALUE"""),"www.munzee.com")</f>
        <v>www.munzee.com</v>
      </c>
      <c r="L1265" s="47" t="str">
        <f>IFERROR(__xludf.DUMMYFUNCTION("""COMPUTED_VALUE"""),"m")</f>
        <v>m</v>
      </c>
      <c r="M1265" s="47" t="str">
        <f>IFERROR(__xludf.DUMMYFUNCTION("""COMPUTED_VALUE"""),"Tinake1309")</f>
        <v>Tinake1309</v>
      </c>
    </row>
    <row r="1266">
      <c r="A1266" s="47" t="str">
        <f>IFERROR(__xludf.DUMMYFUNCTION("""COMPUTED_VALUE"""),"Virtual Brown")</f>
        <v>Virtual Brown</v>
      </c>
      <c r="B1266" s="47" t="str">
        <f>IFERROR(__xludf.DUMMYFUNCTION("""COMPUTED_VALUE"""),"Berg14")</f>
        <v>Berg14</v>
      </c>
      <c r="C1266" s="78" t="str">
        <f>IFERROR(__xludf.DUMMYFUNCTION("""COMPUTED_VALUE"""),"https://www.munzee.com/m/Berg14/1510/")</f>
        <v>https://www.munzee.com/m/Berg14/1510/</v>
      </c>
      <c r="D1266" s="47"/>
      <c r="E1266" s="47" t="b">
        <f>IFERROR(__xludf.DUMMYFUNCTION("""COMPUTED_VALUE"""),TRUE)</f>
        <v>1</v>
      </c>
      <c r="F1266" s="47" t="str">
        <f>IFERROR(__xludf.DUMMYFUNCTION("""COMPUTED_VALUE"""),"")</f>
        <v/>
      </c>
      <c r="G1266" s="47" t="str">
        <f>IFERROR(__xludf.DUMMYFUNCTION("""COMPUTED_VALUE"""),"")</f>
        <v/>
      </c>
      <c r="H1266" s="47"/>
      <c r="I1266" s="47">
        <f>IFERROR(__xludf.DUMMYFUNCTION("""COMPUTED_VALUE"""),2.0)</f>
        <v>2</v>
      </c>
      <c r="J1266" s="47" t="str">
        <f>IFERROR(__xludf.DUMMYFUNCTION("""COMPUTED_VALUE"""),"https:")</f>
        <v>https:</v>
      </c>
      <c r="K1266" s="78" t="str">
        <f>IFERROR(__xludf.DUMMYFUNCTION("""COMPUTED_VALUE"""),"www.munzee.com")</f>
        <v>www.munzee.com</v>
      </c>
      <c r="L1266" s="47" t="str">
        <f>IFERROR(__xludf.DUMMYFUNCTION("""COMPUTED_VALUE"""),"m")</f>
        <v>m</v>
      </c>
      <c r="M1266" s="47" t="str">
        <f>IFERROR(__xludf.DUMMYFUNCTION("""COMPUTED_VALUE"""),"Berg14")</f>
        <v>Berg14</v>
      </c>
    </row>
    <row r="1267">
      <c r="A1267" s="47" t="str">
        <f>IFERROR(__xludf.DUMMYFUNCTION("""COMPUTED_VALUE"""),"Virtual Brown")</f>
        <v>Virtual Brown</v>
      </c>
      <c r="B1267" s="47" t="str">
        <f>IFERROR(__xludf.DUMMYFUNCTION("""COMPUTED_VALUE"""),"Niks13")</f>
        <v>Niks13</v>
      </c>
      <c r="C1267" s="78" t="str">
        <f>IFERROR(__xludf.DUMMYFUNCTION("""COMPUTED_VALUE"""),"https://www.munzee.com/m/Niks13/1524/")</f>
        <v>https://www.munzee.com/m/Niks13/1524/</v>
      </c>
      <c r="D1267" s="47"/>
      <c r="E1267" s="47" t="b">
        <f>IFERROR(__xludf.DUMMYFUNCTION("""COMPUTED_VALUE"""),TRUE)</f>
        <v>1</v>
      </c>
      <c r="F1267" s="47" t="str">
        <f>IFERROR(__xludf.DUMMYFUNCTION("""COMPUTED_VALUE"""),"")</f>
        <v/>
      </c>
      <c r="G1267" s="47" t="str">
        <f>IFERROR(__xludf.DUMMYFUNCTION("""COMPUTED_VALUE"""),"")</f>
        <v/>
      </c>
      <c r="H1267" s="47"/>
      <c r="I1267" s="47">
        <f>IFERROR(__xludf.DUMMYFUNCTION("""COMPUTED_VALUE"""),2.0)</f>
        <v>2</v>
      </c>
      <c r="J1267" s="47" t="str">
        <f>IFERROR(__xludf.DUMMYFUNCTION("""COMPUTED_VALUE"""),"https:")</f>
        <v>https:</v>
      </c>
      <c r="K1267" s="78" t="str">
        <f>IFERROR(__xludf.DUMMYFUNCTION("""COMPUTED_VALUE"""),"www.munzee.com")</f>
        <v>www.munzee.com</v>
      </c>
      <c r="L1267" s="47" t="str">
        <f>IFERROR(__xludf.DUMMYFUNCTION("""COMPUTED_VALUE"""),"m")</f>
        <v>m</v>
      </c>
      <c r="M1267" s="47" t="str">
        <f>IFERROR(__xludf.DUMMYFUNCTION("""COMPUTED_VALUE"""),"Niks13")</f>
        <v>Niks13</v>
      </c>
    </row>
    <row r="1268">
      <c r="A1268" s="47" t="str">
        <f>IFERROR(__xludf.DUMMYFUNCTION("""COMPUTED_VALUE"""),"Virtual Raw Sienna")</f>
        <v>Virtual Raw Sienna</v>
      </c>
      <c r="B1268" s="47" t="str">
        <f>IFERROR(__xludf.DUMMYFUNCTION("""COMPUTED_VALUE"""),"OdinsFiRe")</f>
        <v>OdinsFiRe</v>
      </c>
      <c r="C1268" s="78" t="str">
        <f>IFERROR(__xludf.DUMMYFUNCTION("""COMPUTED_VALUE"""),"https://www.munzee.com/m/OdinsFiRe/2182/")</f>
        <v>https://www.munzee.com/m/OdinsFiRe/2182/</v>
      </c>
      <c r="D1268" s="47"/>
      <c r="E1268" s="47" t="b">
        <f>IFERROR(__xludf.DUMMYFUNCTION("""COMPUTED_VALUE"""),TRUE)</f>
        <v>1</v>
      </c>
      <c r="F1268" s="47" t="str">
        <f>IFERROR(__xludf.DUMMYFUNCTION("""COMPUTED_VALUE"""),"")</f>
        <v/>
      </c>
      <c r="G1268" s="47" t="str">
        <f>IFERROR(__xludf.DUMMYFUNCTION("""COMPUTED_VALUE"""),"")</f>
        <v/>
      </c>
      <c r="H1268" s="47"/>
      <c r="I1268" s="47">
        <f>IFERROR(__xludf.DUMMYFUNCTION("""COMPUTED_VALUE"""),2.0)</f>
        <v>2</v>
      </c>
      <c r="J1268" s="47" t="str">
        <f>IFERROR(__xludf.DUMMYFUNCTION("""COMPUTED_VALUE"""),"https:")</f>
        <v>https:</v>
      </c>
      <c r="K1268" s="78" t="str">
        <f>IFERROR(__xludf.DUMMYFUNCTION("""COMPUTED_VALUE"""),"www.munzee.com")</f>
        <v>www.munzee.com</v>
      </c>
      <c r="L1268" s="47" t="str">
        <f>IFERROR(__xludf.DUMMYFUNCTION("""COMPUTED_VALUE"""),"m")</f>
        <v>m</v>
      </c>
      <c r="M1268" s="47" t="str">
        <f>IFERROR(__xludf.DUMMYFUNCTION("""COMPUTED_VALUE"""),"OdinsFiRe")</f>
        <v>OdinsFiRe</v>
      </c>
    </row>
    <row r="1269">
      <c r="A1269" s="47" t="str">
        <f>IFERROR(__xludf.DUMMYFUNCTION("""COMPUTED_VALUE"""),"Virtual Brown")</f>
        <v>Virtual Brown</v>
      </c>
      <c r="B1269" s="47" t="str">
        <f>IFERROR(__xludf.DUMMYFUNCTION("""COMPUTED_VALUE"""),"Bungle")</f>
        <v>Bungle</v>
      </c>
      <c r="C1269" s="78" t="str">
        <f>IFERROR(__xludf.DUMMYFUNCTION("""COMPUTED_VALUE"""),"https://www.munzee.com/m/Bungle/10929")</f>
        <v>https://www.munzee.com/m/Bungle/10929</v>
      </c>
      <c r="D1269" s="47"/>
      <c r="E1269" s="47" t="b">
        <f>IFERROR(__xludf.DUMMYFUNCTION("""COMPUTED_VALUE"""),TRUE)</f>
        <v>1</v>
      </c>
      <c r="F1269" s="47" t="str">
        <f>IFERROR(__xludf.DUMMYFUNCTION("""COMPUTED_VALUE"""),"")</f>
        <v/>
      </c>
      <c r="G1269" s="47" t="str">
        <f>IFERROR(__xludf.DUMMYFUNCTION("""COMPUTED_VALUE"""),"")</f>
        <v/>
      </c>
      <c r="H1269" s="47"/>
      <c r="I1269" s="47">
        <f>IFERROR(__xludf.DUMMYFUNCTION("""COMPUTED_VALUE"""),2.0)</f>
        <v>2</v>
      </c>
      <c r="J1269" s="47" t="str">
        <f>IFERROR(__xludf.DUMMYFUNCTION("""COMPUTED_VALUE"""),"https:")</f>
        <v>https:</v>
      </c>
      <c r="K1269" s="78" t="str">
        <f>IFERROR(__xludf.DUMMYFUNCTION("""COMPUTED_VALUE"""),"www.munzee.com")</f>
        <v>www.munzee.com</v>
      </c>
      <c r="L1269" s="47" t="str">
        <f>IFERROR(__xludf.DUMMYFUNCTION("""COMPUTED_VALUE"""),"m")</f>
        <v>m</v>
      </c>
      <c r="M1269" s="47" t="str">
        <f>IFERROR(__xludf.DUMMYFUNCTION("""COMPUTED_VALUE"""),"Bungle")</f>
        <v>Bungle</v>
      </c>
    </row>
    <row r="1270">
      <c r="A1270" s="47" t="str">
        <f>IFERROR(__xludf.DUMMYFUNCTION("""COMPUTED_VALUE"""),"Virtual Brown")</f>
        <v>Virtual Brown</v>
      </c>
      <c r="B1270" s="47" t="str">
        <f>IFERROR(__xludf.DUMMYFUNCTION("""COMPUTED_VALUE"""),"lupinchen")</f>
        <v>lupinchen</v>
      </c>
      <c r="C1270" s="78" t="str">
        <f>IFERROR(__xludf.DUMMYFUNCTION("""COMPUTED_VALUE"""),"https://www.munzee.com/m/lupinchen/1903")</f>
        <v>https://www.munzee.com/m/lupinchen/1903</v>
      </c>
      <c r="D1270" s="47"/>
      <c r="E1270" s="47" t="b">
        <f>IFERROR(__xludf.DUMMYFUNCTION("""COMPUTED_VALUE"""),TRUE)</f>
        <v>1</v>
      </c>
      <c r="F1270" s="47"/>
      <c r="G1270" s="47" t="str">
        <f>IFERROR(__xludf.DUMMYFUNCTION("""COMPUTED_VALUE"""),"")</f>
        <v/>
      </c>
      <c r="H1270" s="47"/>
      <c r="I1270" s="47">
        <f>IFERROR(__xludf.DUMMYFUNCTION("""COMPUTED_VALUE"""),2.0)</f>
        <v>2</v>
      </c>
      <c r="J1270" s="47" t="str">
        <f>IFERROR(__xludf.DUMMYFUNCTION("""COMPUTED_VALUE"""),"https:")</f>
        <v>https:</v>
      </c>
      <c r="K1270" s="78" t="str">
        <f>IFERROR(__xludf.DUMMYFUNCTION("""COMPUTED_VALUE"""),"www.munzee.com")</f>
        <v>www.munzee.com</v>
      </c>
      <c r="L1270" s="47" t="str">
        <f>IFERROR(__xludf.DUMMYFUNCTION("""COMPUTED_VALUE"""),"m")</f>
        <v>m</v>
      </c>
      <c r="M1270" s="47" t="str">
        <f>IFERROR(__xludf.DUMMYFUNCTION("""COMPUTED_VALUE"""),"lupinchen")</f>
        <v>lupinchen</v>
      </c>
    </row>
    <row r="1271">
      <c r="A1271" s="47" t="str">
        <f>IFERROR(__xludf.DUMMYFUNCTION("""COMPUTED_VALUE"""),"Virtual Brown")</f>
        <v>Virtual Brown</v>
      </c>
      <c r="B1271" s="47" t="str">
        <f>IFERROR(__xludf.DUMMYFUNCTION("""COMPUTED_VALUE"""),"Anetzet ")</f>
        <v>Anetzet </v>
      </c>
      <c r="C1271" s="78" t="str">
        <f>IFERROR(__xludf.DUMMYFUNCTION("""COMPUTED_VALUE"""),"https://www.munzee.com/m/Anetzet/3912/")</f>
        <v>https://www.munzee.com/m/Anetzet/3912/</v>
      </c>
      <c r="D1271" s="47"/>
      <c r="E1271" s="47" t="b">
        <f>IFERROR(__xludf.DUMMYFUNCTION("""COMPUTED_VALUE"""),TRUE)</f>
        <v>1</v>
      </c>
      <c r="F1271" s="47" t="str">
        <f>IFERROR(__xludf.DUMMYFUNCTION("""COMPUTED_VALUE"""),"")</f>
        <v/>
      </c>
      <c r="G1271" s="47" t="str">
        <f>IFERROR(__xludf.DUMMYFUNCTION("""COMPUTED_VALUE"""),"")</f>
        <v/>
      </c>
      <c r="H1271" s="47"/>
      <c r="I1271" s="47">
        <f>IFERROR(__xludf.DUMMYFUNCTION("""COMPUTED_VALUE"""),2.0)</f>
        <v>2</v>
      </c>
      <c r="J1271" s="47" t="str">
        <f>IFERROR(__xludf.DUMMYFUNCTION("""COMPUTED_VALUE"""),"https:")</f>
        <v>https:</v>
      </c>
      <c r="K1271" s="78" t="str">
        <f>IFERROR(__xludf.DUMMYFUNCTION("""COMPUTED_VALUE"""),"www.munzee.com")</f>
        <v>www.munzee.com</v>
      </c>
      <c r="L1271" s="47" t="str">
        <f>IFERROR(__xludf.DUMMYFUNCTION("""COMPUTED_VALUE"""),"m")</f>
        <v>m</v>
      </c>
      <c r="M1271" s="47" t="str">
        <f>IFERROR(__xludf.DUMMYFUNCTION("""COMPUTED_VALUE"""),"Anetzet")</f>
        <v>Anetzet</v>
      </c>
    </row>
    <row r="1272">
      <c r="A1272" s="47" t="str">
        <f>IFERROR(__xludf.DUMMYFUNCTION("""COMPUTED_VALUE"""),"Virtual Raw Sienna")</f>
        <v>Virtual Raw Sienna</v>
      </c>
      <c r="B1272" s="47" t="str">
        <f>IFERROR(__xludf.DUMMYFUNCTION("""COMPUTED_VALUE"""),"lison55")</f>
        <v>lison55</v>
      </c>
      <c r="C1272" s="78" t="str">
        <f>IFERROR(__xludf.DUMMYFUNCTION("""COMPUTED_VALUE"""),"https://www.munzee.com/m/lison55/15741")</f>
        <v>https://www.munzee.com/m/lison55/15741</v>
      </c>
      <c r="D1272" s="47"/>
      <c r="E1272" s="47" t="b">
        <f>IFERROR(__xludf.DUMMYFUNCTION("""COMPUTED_VALUE"""),TRUE)</f>
        <v>1</v>
      </c>
      <c r="F1272" s="47" t="str">
        <f>IFERROR(__xludf.DUMMYFUNCTION("""COMPUTED_VALUE"""),"")</f>
        <v/>
      </c>
      <c r="G1272" s="47" t="str">
        <f>IFERROR(__xludf.DUMMYFUNCTION("""COMPUTED_VALUE"""),"")</f>
        <v/>
      </c>
      <c r="H1272" s="47"/>
      <c r="I1272" s="47">
        <f>IFERROR(__xludf.DUMMYFUNCTION("""COMPUTED_VALUE"""),2.0)</f>
        <v>2</v>
      </c>
      <c r="J1272" s="47" t="str">
        <f>IFERROR(__xludf.DUMMYFUNCTION("""COMPUTED_VALUE"""),"https:")</f>
        <v>https:</v>
      </c>
      <c r="K1272" s="78" t="str">
        <f>IFERROR(__xludf.DUMMYFUNCTION("""COMPUTED_VALUE"""),"www.munzee.com")</f>
        <v>www.munzee.com</v>
      </c>
      <c r="L1272" s="47" t="str">
        <f>IFERROR(__xludf.DUMMYFUNCTION("""COMPUTED_VALUE"""),"m")</f>
        <v>m</v>
      </c>
      <c r="M1272" s="47" t="str">
        <f>IFERROR(__xludf.DUMMYFUNCTION("""COMPUTED_VALUE"""),"lison55")</f>
        <v>lison55</v>
      </c>
    </row>
    <row r="1273">
      <c r="A1273" s="47" t="str">
        <f>IFERROR(__xludf.DUMMYFUNCTION("""COMPUTED_VALUE"""),"Virtual Brown")</f>
        <v>Virtual Brown</v>
      </c>
      <c r="B1273" s="47"/>
      <c r="C1273" s="47"/>
      <c r="D1273" s="47"/>
      <c r="E1273" s="47" t="b">
        <f>IFERROR(__xludf.DUMMYFUNCTION("""COMPUTED_VALUE"""),FALSE)</f>
        <v>0</v>
      </c>
      <c r="F1273" s="47"/>
      <c r="G1273" s="47" t="str">
        <f>IFERROR(__xludf.DUMMYFUNCTION("""COMPUTED_VALUE"""),"")</f>
        <v/>
      </c>
      <c r="H1273" s="47"/>
      <c r="I1273" s="47">
        <f>IFERROR(__xludf.DUMMYFUNCTION("""COMPUTED_VALUE"""),0.0)</f>
        <v>0</v>
      </c>
      <c r="J1273" s="47" t="str">
        <f>IFERROR(__xludf.DUMMYFUNCTION("""COMPUTED_VALUE"""),"#VALUE!")</f>
        <v>#VALUE!</v>
      </c>
      <c r="K1273" s="47"/>
      <c r="L1273" s="47"/>
      <c r="M1273" s="47"/>
    </row>
    <row r="1274">
      <c r="A1274" s="47" t="str">
        <f>IFERROR(__xludf.DUMMYFUNCTION("""COMPUTED_VALUE"""),"Virtual Brown")</f>
        <v>Virtual Brown</v>
      </c>
      <c r="B1274" s="47"/>
      <c r="C1274" s="47"/>
      <c r="D1274" s="47"/>
      <c r="E1274" s="47" t="b">
        <f>IFERROR(__xludf.DUMMYFUNCTION("""COMPUTED_VALUE"""),FALSE)</f>
        <v>0</v>
      </c>
      <c r="F1274" s="47"/>
      <c r="G1274" s="47" t="str">
        <f>IFERROR(__xludf.DUMMYFUNCTION("""COMPUTED_VALUE"""),"")</f>
        <v/>
      </c>
      <c r="H1274" s="47"/>
      <c r="I1274" s="47">
        <f>IFERROR(__xludf.DUMMYFUNCTION("""COMPUTED_VALUE"""),0.0)</f>
        <v>0</v>
      </c>
      <c r="J1274" s="47" t="str">
        <f>IFERROR(__xludf.DUMMYFUNCTION("""COMPUTED_VALUE"""),"#VALUE!")</f>
        <v>#VALUE!</v>
      </c>
      <c r="K1274" s="47"/>
      <c r="L1274" s="47"/>
      <c r="M1274" s="47"/>
    </row>
    <row r="1275">
      <c r="A1275" s="47" t="str">
        <f>IFERROR(__xludf.DUMMYFUNCTION("""COMPUTED_VALUE"""),"Virtual Raw Sienna")</f>
        <v>Virtual Raw Sienna</v>
      </c>
      <c r="B1275" s="47"/>
      <c r="C1275" s="47"/>
      <c r="D1275" s="47"/>
      <c r="E1275" s="47" t="b">
        <f>IFERROR(__xludf.DUMMYFUNCTION("""COMPUTED_VALUE"""),FALSE)</f>
        <v>0</v>
      </c>
      <c r="F1275" s="47"/>
      <c r="G1275" s="47" t="str">
        <f>IFERROR(__xludf.DUMMYFUNCTION("""COMPUTED_VALUE"""),"")</f>
        <v/>
      </c>
      <c r="H1275" s="47"/>
      <c r="I1275" s="47">
        <f>IFERROR(__xludf.DUMMYFUNCTION("""COMPUTED_VALUE"""),0.0)</f>
        <v>0</v>
      </c>
      <c r="J1275" s="47" t="str">
        <f>IFERROR(__xludf.DUMMYFUNCTION("""COMPUTED_VALUE"""),"#VALUE!")</f>
        <v>#VALUE!</v>
      </c>
      <c r="K1275" s="47"/>
      <c r="L1275" s="47"/>
      <c r="M1275" s="47"/>
    </row>
    <row r="1276">
      <c r="A1276" s="47" t="str">
        <f>IFERROR(__xludf.DUMMYFUNCTION("""COMPUTED_VALUE"""),"Virtual Brown")</f>
        <v>Virtual Brown</v>
      </c>
      <c r="B1276" s="47" t="str">
        <f>IFERROR(__xludf.DUMMYFUNCTION("""COMPUTED_VALUE"""),"cbf600")</f>
        <v>cbf600</v>
      </c>
      <c r="C1276" s="78" t="str">
        <f>IFERROR(__xludf.DUMMYFUNCTION("""COMPUTED_VALUE"""),"https://www.munzee.com/m/cbf600/3727/")</f>
        <v>https://www.munzee.com/m/cbf600/3727/</v>
      </c>
      <c r="D1276" s="47"/>
      <c r="E1276" s="47" t="b">
        <f>IFERROR(__xludf.DUMMYFUNCTION("""COMPUTED_VALUE"""),TRUE)</f>
        <v>1</v>
      </c>
      <c r="F1276" s="47" t="str">
        <f>IFERROR(__xludf.DUMMYFUNCTION("""COMPUTED_VALUE"""),"")</f>
        <v/>
      </c>
      <c r="G1276" s="47" t="str">
        <f>IFERROR(__xludf.DUMMYFUNCTION("""COMPUTED_VALUE"""),"")</f>
        <v/>
      </c>
      <c r="H1276" s="47"/>
      <c r="I1276" s="47">
        <f>IFERROR(__xludf.DUMMYFUNCTION("""COMPUTED_VALUE"""),2.0)</f>
        <v>2</v>
      </c>
      <c r="J1276" s="47" t="str">
        <f>IFERROR(__xludf.DUMMYFUNCTION("""COMPUTED_VALUE"""),"https:")</f>
        <v>https:</v>
      </c>
      <c r="K1276" s="78" t="str">
        <f>IFERROR(__xludf.DUMMYFUNCTION("""COMPUTED_VALUE"""),"www.munzee.com")</f>
        <v>www.munzee.com</v>
      </c>
      <c r="L1276" s="47" t="str">
        <f>IFERROR(__xludf.DUMMYFUNCTION("""COMPUTED_VALUE"""),"m")</f>
        <v>m</v>
      </c>
      <c r="M1276" s="47" t="str">
        <f>IFERROR(__xludf.DUMMYFUNCTION("""COMPUTED_VALUE"""),"cbf600")</f>
        <v>cbf600</v>
      </c>
    </row>
    <row r="1277">
      <c r="A1277" s="47" t="str">
        <f>IFERROR(__xludf.DUMMYFUNCTION("""COMPUTED_VALUE"""),"Virtual Raw Sienna")</f>
        <v>Virtual Raw Sienna</v>
      </c>
      <c r="B1277" s="47"/>
      <c r="C1277" s="47"/>
      <c r="D1277" s="47"/>
      <c r="E1277" s="47" t="b">
        <f>IFERROR(__xludf.DUMMYFUNCTION("""COMPUTED_VALUE"""),FALSE)</f>
        <v>0</v>
      </c>
      <c r="F1277" s="47"/>
      <c r="G1277" s="47" t="str">
        <f>IFERROR(__xludf.DUMMYFUNCTION("""COMPUTED_VALUE"""),"")</f>
        <v/>
      </c>
      <c r="H1277" s="47"/>
      <c r="I1277" s="47">
        <f>IFERROR(__xludf.DUMMYFUNCTION("""COMPUTED_VALUE"""),0.0)</f>
        <v>0</v>
      </c>
      <c r="J1277" s="47" t="str">
        <f>IFERROR(__xludf.DUMMYFUNCTION("""COMPUTED_VALUE"""),"#VALUE!")</f>
        <v>#VALUE!</v>
      </c>
      <c r="K1277" s="47"/>
      <c r="L1277" s="47"/>
      <c r="M1277" s="47"/>
    </row>
    <row r="1278">
      <c r="A1278" s="47" t="str">
        <f>IFERROR(__xludf.DUMMYFUNCTION("""COMPUTED_VALUE"""),"Virtual Brown")</f>
        <v>Virtual Brown</v>
      </c>
      <c r="B1278" s="47"/>
      <c r="C1278" s="47"/>
      <c r="D1278" s="47"/>
      <c r="E1278" s="47" t="b">
        <f>IFERROR(__xludf.DUMMYFUNCTION("""COMPUTED_VALUE"""),FALSE)</f>
        <v>0</v>
      </c>
      <c r="F1278" s="47"/>
      <c r="G1278" s="47" t="str">
        <f>IFERROR(__xludf.DUMMYFUNCTION("""COMPUTED_VALUE"""),"")</f>
        <v/>
      </c>
      <c r="H1278" s="47"/>
      <c r="I1278" s="47">
        <f>IFERROR(__xludf.DUMMYFUNCTION("""COMPUTED_VALUE"""),0.0)</f>
        <v>0</v>
      </c>
      <c r="J1278" s="47" t="str">
        <f>IFERROR(__xludf.DUMMYFUNCTION("""COMPUTED_VALUE"""),"#VALUE!")</f>
        <v>#VALUE!</v>
      </c>
      <c r="K1278" s="47"/>
      <c r="L1278" s="47"/>
      <c r="M1278" s="47"/>
    </row>
    <row r="1279">
      <c r="A1279" s="47" t="str">
        <f>IFERROR(__xludf.DUMMYFUNCTION("""COMPUTED_VALUE"""),"Virtual Brown")</f>
        <v>Virtual Brown</v>
      </c>
      <c r="B1279" s="47"/>
      <c r="C1279" s="47"/>
      <c r="D1279" s="47"/>
      <c r="E1279" s="47" t="b">
        <f>IFERROR(__xludf.DUMMYFUNCTION("""COMPUTED_VALUE"""),FALSE)</f>
        <v>0</v>
      </c>
      <c r="F1279" s="47"/>
      <c r="G1279" s="47" t="str">
        <f>IFERROR(__xludf.DUMMYFUNCTION("""COMPUTED_VALUE"""),"")</f>
        <v/>
      </c>
      <c r="H1279" s="47"/>
      <c r="I1279" s="47">
        <f>IFERROR(__xludf.DUMMYFUNCTION("""COMPUTED_VALUE"""),0.0)</f>
        <v>0</v>
      </c>
      <c r="J1279" s="47" t="str">
        <f>IFERROR(__xludf.DUMMYFUNCTION("""COMPUTED_VALUE"""),"#VALUE!")</f>
        <v>#VALUE!</v>
      </c>
      <c r="K1279" s="47"/>
      <c r="L1279" s="47"/>
      <c r="M1279" s="47"/>
    </row>
    <row r="1280">
      <c r="A1280" s="47" t="str">
        <f>IFERROR(__xludf.DUMMYFUNCTION("""COMPUTED_VALUE"""),"Virtual Brown")</f>
        <v>Virtual Brown</v>
      </c>
      <c r="B1280" s="47"/>
      <c r="C1280" s="47"/>
      <c r="D1280" s="47"/>
      <c r="E1280" s="47" t="b">
        <f>IFERROR(__xludf.DUMMYFUNCTION("""COMPUTED_VALUE"""),FALSE)</f>
        <v>0</v>
      </c>
      <c r="F1280" s="47"/>
      <c r="G1280" s="47" t="str">
        <f>IFERROR(__xludf.DUMMYFUNCTION("""COMPUTED_VALUE"""),"")</f>
        <v/>
      </c>
      <c r="H1280" s="47"/>
      <c r="I1280" s="47">
        <f>IFERROR(__xludf.DUMMYFUNCTION("""COMPUTED_VALUE"""),0.0)</f>
        <v>0</v>
      </c>
      <c r="J1280" s="47" t="str">
        <f>IFERROR(__xludf.DUMMYFUNCTION("""COMPUTED_VALUE"""),"#VALUE!")</f>
        <v>#VALUE!</v>
      </c>
      <c r="K1280" s="47"/>
      <c r="L1280" s="47"/>
      <c r="M1280" s="47"/>
    </row>
    <row r="1281">
      <c r="A1281" s="47" t="str">
        <f>IFERROR(__xludf.DUMMYFUNCTION("""COMPUTED_VALUE"""),"Virtual Brown")</f>
        <v>Virtual Brown</v>
      </c>
      <c r="B1281" s="47"/>
      <c r="C1281" s="47"/>
      <c r="D1281" s="47"/>
      <c r="E1281" s="47" t="b">
        <f>IFERROR(__xludf.DUMMYFUNCTION("""COMPUTED_VALUE"""),FALSE)</f>
        <v>0</v>
      </c>
      <c r="F1281" s="47"/>
      <c r="G1281" s="47" t="str">
        <f>IFERROR(__xludf.DUMMYFUNCTION("""COMPUTED_VALUE"""),"")</f>
        <v/>
      </c>
      <c r="H1281" s="47"/>
      <c r="I1281" s="47">
        <f>IFERROR(__xludf.DUMMYFUNCTION("""COMPUTED_VALUE"""),0.0)</f>
        <v>0</v>
      </c>
      <c r="J1281" s="47" t="str">
        <f>IFERROR(__xludf.DUMMYFUNCTION("""COMPUTED_VALUE"""),"#VALUE!")</f>
        <v>#VALUE!</v>
      </c>
      <c r="K1281" s="47"/>
      <c r="L1281" s="47"/>
      <c r="M1281" s="47"/>
    </row>
    <row r="1282">
      <c r="A1282" s="47" t="str">
        <f>IFERROR(__xludf.DUMMYFUNCTION("""COMPUTED_VALUE"""),"Virtual Brown")</f>
        <v>Virtual Brown</v>
      </c>
      <c r="B1282" s="47"/>
      <c r="C1282" s="47"/>
      <c r="D1282" s="47"/>
      <c r="E1282" s="47" t="b">
        <f>IFERROR(__xludf.DUMMYFUNCTION("""COMPUTED_VALUE"""),FALSE)</f>
        <v>0</v>
      </c>
      <c r="F1282" s="47"/>
      <c r="G1282" s="47" t="str">
        <f>IFERROR(__xludf.DUMMYFUNCTION("""COMPUTED_VALUE"""),"")</f>
        <v/>
      </c>
      <c r="H1282" s="47"/>
      <c r="I1282" s="47">
        <f>IFERROR(__xludf.DUMMYFUNCTION("""COMPUTED_VALUE"""),0.0)</f>
        <v>0</v>
      </c>
      <c r="J1282" s="47" t="str">
        <f>IFERROR(__xludf.DUMMYFUNCTION("""COMPUTED_VALUE"""),"#VALUE!")</f>
        <v>#VALUE!</v>
      </c>
      <c r="K1282" s="47"/>
      <c r="L1282" s="47"/>
      <c r="M1282" s="47"/>
    </row>
    <row r="1283">
      <c r="A1283" s="47" t="str">
        <f>IFERROR(__xludf.DUMMYFUNCTION("""COMPUTED_VALUE"""),"Virtual Brown")</f>
        <v>Virtual Brown</v>
      </c>
      <c r="B1283" s="47" t="str">
        <f>IFERROR(__xludf.DUMMYFUNCTION("""COMPUTED_VALUE"""),"Bisquick2")</f>
        <v>Bisquick2</v>
      </c>
      <c r="C1283" s="78" t="str">
        <f>IFERROR(__xludf.DUMMYFUNCTION("""COMPUTED_VALUE"""),"https://www.munzee.com/m/Bisquick2/7256/")</f>
        <v>https://www.munzee.com/m/Bisquick2/7256/</v>
      </c>
      <c r="D1283" s="47"/>
      <c r="E1283" s="47" t="b">
        <f>IFERROR(__xludf.DUMMYFUNCTION("""COMPUTED_VALUE"""),TRUE)</f>
        <v>1</v>
      </c>
      <c r="F1283" s="47" t="str">
        <f>IFERROR(__xludf.DUMMYFUNCTION("""COMPUTED_VALUE"""),"")</f>
        <v/>
      </c>
      <c r="G1283" s="47" t="str">
        <f>IFERROR(__xludf.DUMMYFUNCTION("""COMPUTED_VALUE"""),"")</f>
        <v/>
      </c>
      <c r="H1283" s="47"/>
      <c r="I1283" s="47">
        <f>IFERROR(__xludf.DUMMYFUNCTION("""COMPUTED_VALUE"""),2.0)</f>
        <v>2</v>
      </c>
      <c r="J1283" s="47" t="str">
        <f>IFERROR(__xludf.DUMMYFUNCTION("""COMPUTED_VALUE"""),"https:")</f>
        <v>https:</v>
      </c>
      <c r="K1283" s="78" t="str">
        <f>IFERROR(__xludf.DUMMYFUNCTION("""COMPUTED_VALUE"""),"www.munzee.com")</f>
        <v>www.munzee.com</v>
      </c>
      <c r="L1283" s="47" t="str">
        <f>IFERROR(__xludf.DUMMYFUNCTION("""COMPUTED_VALUE"""),"m")</f>
        <v>m</v>
      </c>
      <c r="M1283" s="47" t="str">
        <f>IFERROR(__xludf.DUMMYFUNCTION("""COMPUTED_VALUE"""),"Bisquick2")</f>
        <v>Bisquick2</v>
      </c>
    </row>
    <row r="1284">
      <c r="A1284" s="47" t="str">
        <f>IFERROR(__xludf.DUMMYFUNCTION("""COMPUTED_VALUE"""),"Virtual Brown")</f>
        <v>Virtual Brown</v>
      </c>
      <c r="B1284" s="47"/>
      <c r="C1284" s="47"/>
      <c r="D1284" s="47"/>
      <c r="E1284" s="47" t="b">
        <f>IFERROR(__xludf.DUMMYFUNCTION("""COMPUTED_VALUE"""),FALSE)</f>
        <v>0</v>
      </c>
      <c r="F1284" s="47"/>
      <c r="G1284" s="47" t="str">
        <f>IFERROR(__xludf.DUMMYFUNCTION("""COMPUTED_VALUE"""),"")</f>
        <v/>
      </c>
      <c r="H1284" s="47"/>
      <c r="I1284" s="47">
        <f>IFERROR(__xludf.DUMMYFUNCTION("""COMPUTED_VALUE"""),0.0)</f>
        <v>0</v>
      </c>
      <c r="J1284" s="47" t="str">
        <f>IFERROR(__xludf.DUMMYFUNCTION("""COMPUTED_VALUE"""),"#VALUE!")</f>
        <v>#VALUE!</v>
      </c>
      <c r="K1284" s="47"/>
      <c r="L1284" s="47"/>
      <c r="M1284" s="47"/>
    </row>
    <row r="1285">
      <c r="A1285" s="47" t="str">
        <f>IFERROR(__xludf.DUMMYFUNCTION("""COMPUTED_VALUE"""),"Virtual Raw Sienna")</f>
        <v>Virtual Raw Sienna</v>
      </c>
      <c r="B1285" s="47"/>
      <c r="C1285" s="47"/>
      <c r="D1285" s="47"/>
      <c r="E1285" s="47" t="b">
        <f>IFERROR(__xludf.DUMMYFUNCTION("""COMPUTED_VALUE"""),FALSE)</f>
        <v>0</v>
      </c>
      <c r="F1285" s="47"/>
      <c r="G1285" s="47" t="str">
        <f>IFERROR(__xludf.DUMMYFUNCTION("""COMPUTED_VALUE"""),"")</f>
        <v/>
      </c>
      <c r="H1285" s="47"/>
      <c r="I1285" s="47">
        <f>IFERROR(__xludf.DUMMYFUNCTION("""COMPUTED_VALUE"""),0.0)</f>
        <v>0</v>
      </c>
      <c r="J1285" s="47" t="str">
        <f>IFERROR(__xludf.DUMMYFUNCTION("""COMPUTED_VALUE"""),"#VALUE!")</f>
        <v>#VALUE!</v>
      </c>
      <c r="K1285" s="47"/>
      <c r="L1285" s="47"/>
      <c r="M1285" s="47"/>
    </row>
    <row r="1286">
      <c r="A1286" s="47" t="str">
        <f>IFERROR(__xludf.DUMMYFUNCTION("""COMPUTED_VALUE"""),"Virtual Brown")</f>
        <v>Virtual Brown</v>
      </c>
      <c r="B1286" s="47" t="str">
        <f>IFERROR(__xludf.DUMMYFUNCTION("""COMPUTED_VALUE"""),"Derlame ")</f>
        <v>Derlame </v>
      </c>
      <c r="C1286" s="78" t="str">
        <f>IFERROR(__xludf.DUMMYFUNCTION("""COMPUTED_VALUE"""),"https://www.munzee.com/m/Derlame/21210/")</f>
        <v>https://www.munzee.com/m/Derlame/21210/</v>
      </c>
      <c r="D1286" s="47"/>
      <c r="E1286" s="47" t="b">
        <f>IFERROR(__xludf.DUMMYFUNCTION("""COMPUTED_VALUE"""),TRUE)</f>
        <v>1</v>
      </c>
      <c r="F1286" s="47" t="str">
        <f>IFERROR(__xludf.DUMMYFUNCTION("""COMPUTED_VALUE"""),"")</f>
        <v/>
      </c>
      <c r="G1286" s="47" t="str">
        <f>IFERROR(__xludf.DUMMYFUNCTION("""COMPUTED_VALUE"""),"")</f>
        <v/>
      </c>
      <c r="H1286" s="47"/>
      <c r="I1286" s="47">
        <f>IFERROR(__xludf.DUMMYFUNCTION("""COMPUTED_VALUE"""),2.0)</f>
        <v>2</v>
      </c>
      <c r="J1286" s="47" t="str">
        <f>IFERROR(__xludf.DUMMYFUNCTION("""COMPUTED_VALUE"""),"https:")</f>
        <v>https:</v>
      </c>
      <c r="K1286" s="78" t="str">
        <f>IFERROR(__xludf.DUMMYFUNCTION("""COMPUTED_VALUE"""),"www.munzee.com")</f>
        <v>www.munzee.com</v>
      </c>
      <c r="L1286" s="47" t="str">
        <f>IFERROR(__xludf.DUMMYFUNCTION("""COMPUTED_VALUE"""),"m")</f>
        <v>m</v>
      </c>
      <c r="M1286" s="47" t="str">
        <f>IFERROR(__xludf.DUMMYFUNCTION("""COMPUTED_VALUE"""),"Derlame")</f>
        <v>Derlame</v>
      </c>
    </row>
    <row r="1287">
      <c r="A1287" s="47" t="str">
        <f>IFERROR(__xludf.DUMMYFUNCTION("""COMPUTED_VALUE"""),"Virtual Brown")</f>
        <v>Virtual Brown</v>
      </c>
      <c r="B1287" s="47"/>
      <c r="C1287" s="47"/>
      <c r="D1287" s="47"/>
      <c r="E1287" s="47" t="b">
        <f>IFERROR(__xludf.DUMMYFUNCTION("""COMPUTED_VALUE"""),FALSE)</f>
        <v>0</v>
      </c>
      <c r="F1287" s="47"/>
      <c r="G1287" s="47" t="str">
        <f>IFERROR(__xludf.DUMMYFUNCTION("""COMPUTED_VALUE"""),"")</f>
        <v/>
      </c>
      <c r="H1287" s="47"/>
      <c r="I1287" s="47">
        <f>IFERROR(__xludf.DUMMYFUNCTION("""COMPUTED_VALUE"""),0.0)</f>
        <v>0</v>
      </c>
      <c r="J1287" s="47" t="str">
        <f>IFERROR(__xludf.DUMMYFUNCTION("""COMPUTED_VALUE"""),"#VALUE!")</f>
        <v>#VALUE!</v>
      </c>
      <c r="K1287" s="47"/>
      <c r="L1287" s="47"/>
      <c r="M1287" s="47"/>
    </row>
    <row r="1288">
      <c r="A1288" s="47" t="str">
        <f>IFERROR(__xludf.DUMMYFUNCTION("""COMPUTED_VALUE"""),"Virtual Raw Sienna")</f>
        <v>Virtual Raw Sienna</v>
      </c>
      <c r="B1288" s="47"/>
      <c r="C1288" s="47"/>
      <c r="D1288" s="47"/>
      <c r="E1288" s="47" t="b">
        <f>IFERROR(__xludf.DUMMYFUNCTION("""COMPUTED_VALUE"""),FALSE)</f>
        <v>0</v>
      </c>
      <c r="F1288" s="47"/>
      <c r="G1288" s="47" t="str">
        <f>IFERROR(__xludf.DUMMYFUNCTION("""COMPUTED_VALUE"""),"")</f>
        <v/>
      </c>
      <c r="H1288" s="47"/>
      <c r="I1288" s="47">
        <f>IFERROR(__xludf.DUMMYFUNCTION("""COMPUTED_VALUE"""),0.0)</f>
        <v>0</v>
      </c>
      <c r="J1288" s="47" t="str">
        <f>IFERROR(__xludf.DUMMYFUNCTION("""COMPUTED_VALUE"""),"#VALUE!")</f>
        <v>#VALUE!</v>
      </c>
      <c r="K1288" s="47"/>
      <c r="L1288" s="47"/>
      <c r="M1288" s="47"/>
    </row>
    <row r="1289">
      <c r="A1289" s="47" t="str">
        <f>IFERROR(__xludf.DUMMYFUNCTION("""COMPUTED_VALUE"""),"Virtual Brown")</f>
        <v>Virtual Brown</v>
      </c>
      <c r="B1289" s="47" t="str">
        <f>IFERROR(__xludf.DUMMYFUNCTION("""COMPUTED_VALUE"""),"TheFrog")</f>
        <v>TheFrog</v>
      </c>
      <c r="C1289" s="78" t="str">
        <f>IFERROR(__xludf.DUMMYFUNCTION("""COMPUTED_VALUE"""),"https://www.munzee.com/m/TheFrog/5785/")</f>
        <v>https://www.munzee.com/m/TheFrog/5785/</v>
      </c>
      <c r="D1289" s="47"/>
      <c r="E1289" s="47" t="b">
        <f>IFERROR(__xludf.DUMMYFUNCTION("""COMPUTED_VALUE"""),TRUE)</f>
        <v>1</v>
      </c>
      <c r="F1289" s="47" t="str">
        <f>IFERROR(__xludf.DUMMYFUNCTION("""COMPUTED_VALUE"""),"")</f>
        <v/>
      </c>
      <c r="G1289" s="47" t="str">
        <f>IFERROR(__xludf.DUMMYFUNCTION("""COMPUTED_VALUE"""),"")</f>
        <v/>
      </c>
      <c r="H1289" s="47"/>
      <c r="I1289" s="47">
        <f>IFERROR(__xludf.DUMMYFUNCTION("""COMPUTED_VALUE"""),2.0)</f>
        <v>2</v>
      </c>
      <c r="J1289" s="47" t="str">
        <f>IFERROR(__xludf.DUMMYFUNCTION("""COMPUTED_VALUE"""),"https:")</f>
        <v>https:</v>
      </c>
      <c r="K1289" s="78" t="str">
        <f>IFERROR(__xludf.DUMMYFUNCTION("""COMPUTED_VALUE"""),"www.munzee.com")</f>
        <v>www.munzee.com</v>
      </c>
      <c r="L1289" s="47" t="str">
        <f>IFERROR(__xludf.DUMMYFUNCTION("""COMPUTED_VALUE"""),"m")</f>
        <v>m</v>
      </c>
      <c r="M1289" s="47" t="str">
        <f>IFERROR(__xludf.DUMMYFUNCTION("""COMPUTED_VALUE"""),"TheFrog")</f>
        <v>TheFrog</v>
      </c>
    </row>
    <row r="1290">
      <c r="A1290" s="47" t="str">
        <f>IFERROR(__xludf.DUMMYFUNCTION("""COMPUTED_VALUE"""),"Virtual Brown")</f>
        <v>Virtual Brown</v>
      </c>
      <c r="B1290" s="47" t="str">
        <f>IFERROR(__xludf.DUMMYFUNCTION("""COMPUTED_VALUE"""),"123xilef")</f>
        <v>123xilef</v>
      </c>
      <c r="C1290" s="78" t="str">
        <f>IFERROR(__xludf.DUMMYFUNCTION("""COMPUTED_VALUE"""),"https://www.munzee.com/m/123xilef/13721/")</f>
        <v>https://www.munzee.com/m/123xilef/13721/</v>
      </c>
      <c r="D1290" s="47"/>
      <c r="E1290" s="47" t="b">
        <f>IFERROR(__xludf.DUMMYFUNCTION("""COMPUTED_VALUE"""),TRUE)</f>
        <v>1</v>
      </c>
      <c r="F1290" s="47" t="str">
        <f>IFERROR(__xludf.DUMMYFUNCTION("""COMPUTED_VALUE"""),"")</f>
        <v/>
      </c>
      <c r="G1290" s="47" t="str">
        <f>IFERROR(__xludf.DUMMYFUNCTION("""COMPUTED_VALUE"""),"")</f>
        <v/>
      </c>
      <c r="H1290" s="47"/>
      <c r="I1290" s="47">
        <f>IFERROR(__xludf.DUMMYFUNCTION("""COMPUTED_VALUE"""),2.0)</f>
        <v>2</v>
      </c>
      <c r="J1290" s="47" t="str">
        <f>IFERROR(__xludf.DUMMYFUNCTION("""COMPUTED_VALUE"""),"https:")</f>
        <v>https:</v>
      </c>
      <c r="K1290" s="78" t="str">
        <f>IFERROR(__xludf.DUMMYFUNCTION("""COMPUTED_VALUE"""),"www.munzee.com")</f>
        <v>www.munzee.com</v>
      </c>
      <c r="L1290" s="47" t="str">
        <f>IFERROR(__xludf.DUMMYFUNCTION("""COMPUTED_VALUE"""),"m")</f>
        <v>m</v>
      </c>
      <c r="M1290" s="47" t="str">
        <f>IFERROR(__xludf.DUMMYFUNCTION("""COMPUTED_VALUE"""),"123xilef")</f>
        <v>123xilef</v>
      </c>
    </row>
    <row r="1291">
      <c r="A1291" s="47" t="str">
        <f>IFERROR(__xludf.DUMMYFUNCTION("""COMPUTED_VALUE"""),"Virtual Raw Sienna")</f>
        <v>Virtual Raw Sienna</v>
      </c>
      <c r="B1291" s="47"/>
      <c r="C1291" s="47"/>
      <c r="D1291" s="47"/>
      <c r="E1291" s="47" t="b">
        <f>IFERROR(__xludf.DUMMYFUNCTION("""COMPUTED_VALUE"""),FALSE)</f>
        <v>0</v>
      </c>
      <c r="F1291" s="47"/>
      <c r="G1291" s="47" t="str">
        <f>IFERROR(__xludf.DUMMYFUNCTION("""COMPUTED_VALUE"""),"")</f>
        <v/>
      </c>
      <c r="H1291" s="47"/>
      <c r="I1291" s="47">
        <f>IFERROR(__xludf.DUMMYFUNCTION("""COMPUTED_VALUE"""),0.0)</f>
        <v>0</v>
      </c>
      <c r="J1291" s="47" t="str">
        <f>IFERROR(__xludf.DUMMYFUNCTION("""COMPUTED_VALUE"""),"#VALUE!")</f>
        <v>#VALUE!</v>
      </c>
      <c r="K1291" s="47"/>
      <c r="L1291" s="47"/>
      <c r="M1291" s="47"/>
    </row>
    <row r="1292">
      <c r="A1292" s="47" t="str">
        <f>IFERROR(__xludf.DUMMYFUNCTION("""COMPUTED_VALUE"""),"Virtual Brown")</f>
        <v>Virtual Brown</v>
      </c>
      <c r="B1292" s="47"/>
      <c r="C1292" s="47"/>
      <c r="D1292" s="47"/>
      <c r="E1292" s="47" t="b">
        <f>IFERROR(__xludf.DUMMYFUNCTION("""COMPUTED_VALUE"""),FALSE)</f>
        <v>0</v>
      </c>
      <c r="F1292" s="47"/>
      <c r="G1292" s="47" t="str">
        <f>IFERROR(__xludf.DUMMYFUNCTION("""COMPUTED_VALUE"""),"")</f>
        <v/>
      </c>
      <c r="H1292" s="47"/>
      <c r="I1292" s="47">
        <f>IFERROR(__xludf.DUMMYFUNCTION("""COMPUTED_VALUE"""),0.0)</f>
        <v>0</v>
      </c>
      <c r="J1292" s="47" t="str">
        <f>IFERROR(__xludf.DUMMYFUNCTION("""COMPUTED_VALUE"""),"#VALUE!")</f>
        <v>#VALUE!</v>
      </c>
      <c r="K1292" s="47"/>
      <c r="L1292" s="47"/>
      <c r="M1292" s="47"/>
    </row>
    <row r="1293">
      <c r="A1293" s="47" t="str">
        <f>IFERROR(__xludf.DUMMYFUNCTION("""COMPUTED_VALUE"""),"Virtual Brown")</f>
        <v>Virtual Brown</v>
      </c>
      <c r="B1293" s="47"/>
      <c r="C1293" s="47"/>
      <c r="D1293" s="47"/>
      <c r="E1293" s="47" t="b">
        <f>IFERROR(__xludf.DUMMYFUNCTION("""COMPUTED_VALUE"""),FALSE)</f>
        <v>0</v>
      </c>
      <c r="F1293" s="47"/>
      <c r="G1293" s="47" t="str">
        <f>IFERROR(__xludf.DUMMYFUNCTION("""COMPUTED_VALUE"""),"")</f>
        <v/>
      </c>
      <c r="H1293" s="47"/>
      <c r="I1293" s="47">
        <f>IFERROR(__xludf.DUMMYFUNCTION("""COMPUTED_VALUE"""),0.0)</f>
        <v>0</v>
      </c>
      <c r="J1293" s="47" t="str">
        <f>IFERROR(__xludf.DUMMYFUNCTION("""COMPUTED_VALUE"""),"#VALUE!")</f>
        <v>#VALUE!</v>
      </c>
      <c r="K1293" s="47"/>
      <c r="L1293" s="47"/>
      <c r="M1293" s="47"/>
    </row>
    <row r="1294">
      <c r="A1294" s="47" t="str">
        <f>IFERROR(__xludf.DUMMYFUNCTION("""COMPUTED_VALUE"""),"Virtual Brown")</f>
        <v>Virtual Brown</v>
      </c>
      <c r="B1294" s="47"/>
      <c r="C1294" s="47"/>
      <c r="D1294" s="47"/>
      <c r="E1294" s="47" t="b">
        <f>IFERROR(__xludf.DUMMYFUNCTION("""COMPUTED_VALUE"""),FALSE)</f>
        <v>0</v>
      </c>
      <c r="F1294" s="47"/>
      <c r="G1294" s="47" t="str">
        <f>IFERROR(__xludf.DUMMYFUNCTION("""COMPUTED_VALUE"""),"")</f>
        <v/>
      </c>
      <c r="H1294" s="47"/>
      <c r="I1294" s="47">
        <f>IFERROR(__xludf.DUMMYFUNCTION("""COMPUTED_VALUE"""),0.0)</f>
        <v>0</v>
      </c>
      <c r="J1294" s="47" t="str">
        <f>IFERROR(__xludf.DUMMYFUNCTION("""COMPUTED_VALUE"""),"#VALUE!")</f>
        <v>#VALUE!</v>
      </c>
      <c r="K1294" s="47"/>
      <c r="L1294" s="47"/>
      <c r="M1294" s="47"/>
    </row>
    <row r="1295">
      <c r="A1295" s="47" t="str">
        <f>IFERROR(__xludf.DUMMYFUNCTION("""COMPUTED_VALUE"""),"Virtual Brown")</f>
        <v>Virtual Brown</v>
      </c>
      <c r="B1295" s="47"/>
      <c r="C1295" s="47"/>
      <c r="D1295" s="47"/>
      <c r="E1295" s="47" t="b">
        <f>IFERROR(__xludf.DUMMYFUNCTION("""COMPUTED_VALUE"""),FALSE)</f>
        <v>0</v>
      </c>
      <c r="F1295" s="47"/>
      <c r="G1295" s="47" t="str">
        <f>IFERROR(__xludf.DUMMYFUNCTION("""COMPUTED_VALUE"""),"")</f>
        <v/>
      </c>
      <c r="H1295" s="47"/>
      <c r="I1295" s="47">
        <f>IFERROR(__xludf.DUMMYFUNCTION("""COMPUTED_VALUE"""),0.0)</f>
        <v>0</v>
      </c>
      <c r="J1295" s="47" t="str">
        <f>IFERROR(__xludf.DUMMYFUNCTION("""COMPUTED_VALUE"""),"#VALUE!")</f>
        <v>#VALUE!</v>
      </c>
      <c r="K1295" s="47"/>
      <c r="L1295" s="47"/>
      <c r="M1295" s="47"/>
    </row>
    <row r="1296">
      <c r="A1296" s="47" t="str">
        <f>IFERROR(__xludf.DUMMYFUNCTION("""COMPUTED_VALUE"""),"Virtual Brown")</f>
        <v>Virtual Brown</v>
      </c>
      <c r="B1296" s="47" t="str">
        <f>IFERROR(__xludf.DUMMYFUNCTION("""COMPUTED_VALUE"""),"mortonfox")</f>
        <v>mortonfox</v>
      </c>
      <c r="C1296" s="78" t="str">
        <f>IFERROR(__xludf.DUMMYFUNCTION("""COMPUTED_VALUE"""),"https://www.munzee.com/m/mortonfox/24559/")</f>
        <v>https://www.munzee.com/m/mortonfox/24559/</v>
      </c>
      <c r="D1296" s="47"/>
      <c r="E1296" s="47" t="b">
        <f>IFERROR(__xludf.DUMMYFUNCTION("""COMPUTED_VALUE"""),TRUE)</f>
        <v>1</v>
      </c>
      <c r="F1296" s="47" t="str">
        <f>IFERROR(__xludf.DUMMYFUNCTION("""COMPUTED_VALUE"""),"")</f>
        <v/>
      </c>
      <c r="G1296" s="47" t="str">
        <f>IFERROR(__xludf.DUMMYFUNCTION("""COMPUTED_VALUE"""),"")</f>
        <v/>
      </c>
      <c r="H1296" s="47"/>
      <c r="I1296" s="47">
        <f>IFERROR(__xludf.DUMMYFUNCTION("""COMPUTED_VALUE"""),2.0)</f>
        <v>2</v>
      </c>
      <c r="J1296" s="47" t="str">
        <f>IFERROR(__xludf.DUMMYFUNCTION("""COMPUTED_VALUE"""),"https:")</f>
        <v>https:</v>
      </c>
      <c r="K1296" s="78" t="str">
        <f>IFERROR(__xludf.DUMMYFUNCTION("""COMPUTED_VALUE"""),"www.munzee.com")</f>
        <v>www.munzee.com</v>
      </c>
      <c r="L1296" s="47" t="str">
        <f>IFERROR(__xludf.DUMMYFUNCTION("""COMPUTED_VALUE"""),"m")</f>
        <v>m</v>
      </c>
      <c r="M1296" s="47" t="str">
        <f>IFERROR(__xludf.DUMMYFUNCTION("""COMPUTED_VALUE"""),"mortonfox")</f>
        <v>mortonfox</v>
      </c>
    </row>
    <row r="1297">
      <c r="A1297" s="47" t="str">
        <f>IFERROR(__xludf.DUMMYFUNCTION("""COMPUTED_VALUE"""),"Virtual Brown")</f>
        <v>Virtual Brown</v>
      </c>
      <c r="B1297" s="47"/>
      <c r="C1297" s="47"/>
      <c r="D1297" s="47"/>
      <c r="E1297" s="47" t="b">
        <f>IFERROR(__xludf.DUMMYFUNCTION("""COMPUTED_VALUE"""),FALSE)</f>
        <v>0</v>
      </c>
      <c r="F1297" s="47"/>
      <c r="G1297" s="47" t="str">
        <f>IFERROR(__xludf.DUMMYFUNCTION("""COMPUTED_VALUE"""),"")</f>
        <v/>
      </c>
      <c r="H1297" s="47"/>
      <c r="I1297" s="47">
        <f>IFERROR(__xludf.DUMMYFUNCTION("""COMPUTED_VALUE"""),0.0)</f>
        <v>0</v>
      </c>
      <c r="J1297" s="47" t="str">
        <f>IFERROR(__xludf.DUMMYFUNCTION("""COMPUTED_VALUE"""),"#VALUE!")</f>
        <v>#VALUE!</v>
      </c>
      <c r="K1297" s="47"/>
      <c r="L1297" s="47"/>
      <c r="M1297" s="47"/>
    </row>
    <row r="1298">
      <c r="A1298" s="47" t="str">
        <f>IFERROR(__xludf.DUMMYFUNCTION("""COMPUTED_VALUE"""),"Virtual Raw Sienna")</f>
        <v>Virtual Raw Sienna</v>
      </c>
      <c r="B1298" s="47"/>
      <c r="C1298" s="47"/>
      <c r="D1298" s="47"/>
      <c r="E1298" s="47" t="b">
        <f>IFERROR(__xludf.DUMMYFUNCTION("""COMPUTED_VALUE"""),FALSE)</f>
        <v>0</v>
      </c>
      <c r="F1298" s="47"/>
      <c r="G1298" s="47" t="str">
        <f>IFERROR(__xludf.DUMMYFUNCTION("""COMPUTED_VALUE"""),"")</f>
        <v/>
      </c>
      <c r="H1298" s="47"/>
      <c r="I1298" s="47">
        <f>IFERROR(__xludf.DUMMYFUNCTION("""COMPUTED_VALUE"""),0.0)</f>
        <v>0</v>
      </c>
      <c r="J1298" s="47" t="str">
        <f>IFERROR(__xludf.DUMMYFUNCTION("""COMPUTED_VALUE"""),"#VALUE!")</f>
        <v>#VALUE!</v>
      </c>
      <c r="K1298" s="47"/>
      <c r="L1298" s="47"/>
      <c r="M1298" s="47"/>
    </row>
    <row r="1299">
      <c r="A1299" s="47" t="str">
        <f>IFERROR(__xludf.DUMMYFUNCTION("""COMPUTED_VALUE"""),"Virtual Raw Sienna")</f>
        <v>Virtual Raw Sienna</v>
      </c>
      <c r="B1299" s="47"/>
      <c r="C1299" s="47"/>
      <c r="D1299" s="47"/>
      <c r="E1299" s="47" t="b">
        <f>IFERROR(__xludf.DUMMYFUNCTION("""COMPUTED_VALUE"""),FALSE)</f>
        <v>0</v>
      </c>
      <c r="F1299" s="47"/>
      <c r="G1299" s="47" t="str">
        <f>IFERROR(__xludf.DUMMYFUNCTION("""COMPUTED_VALUE"""),"")</f>
        <v/>
      </c>
      <c r="H1299" s="47"/>
      <c r="I1299" s="47">
        <f>IFERROR(__xludf.DUMMYFUNCTION("""COMPUTED_VALUE"""),0.0)</f>
        <v>0</v>
      </c>
      <c r="J1299" s="47" t="str">
        <f>IFERROR(__xludf.DUMMYFUNCTION("""COMPUTED_VALUE"""),"#VALUE!")</f>
        <v>#VALUE!</v>
      </c>
      <c r="K1299" s="47"/>
      <c r="L1299" s="47"/>
      <c r="M1299" s="47"/>
    </row>
    <row r="1300">
      <c r="A1300" s="47" t="str">
        <f>IFERROR(__xludf.DUMMYFUNCTION("""COMPUTED_VALUE"""),"Virtual Brown")</f>
        <v>Virtual Brown</v>
      </c>
      <c r="B1300" s="47" t="str">
        <f>IFERROR(__xludf.DUMMYFUNCTION("""COMPUTED_VALUE"""),"barefootguru")</f>
        <v>barefootguru</v>
      </c>
      <c r="C1300" s="78" t="str">
        <f>IFERROR(__xludf.DUMMYFUNCTION("""COMPUTED_VALUE"""),"https://www.munzee.com/m/barefootguru/3697/")</f>
        <v>https://www.munzee.com/m/barefootguru/3697/</v>
      </c>
      <c r="D1300" s="47"/>
      <c r="E1300" s="47" t="b">
        <f>IFERROR(__xludf.DUMMYFUNCTION("""COMPUTED_VALUE"""),TRUE)</f>
        <v>1</v>
      </c>
      <c r="F1300" s="47" t="str">
        <f>IFERROR(__xludf.DUMMYFUNCTION("""COMPUTED_VALUE"""),"")</f>
        <v/>
      </c>
      <c r="G1300" s="47" t="str">
        <f>IFERROR(__xludf.DUMMYFUNCTION("""COMPUTED_VALUE"""),"")</f>
        <v/>
      </c>
      <c r="H1300" s="47"/>
      <c r="I1300" s="47">
        <f>IFERROR(__xludf.DUMMYFUNCTION("""COMPUTED_VALUE"""),2.0)</f>
        <v>2</v>
      </c>
      <c r="J1300" s="47" t="str">
        <f>IFERROR(__xludf.DUMMYFUNCTION("""COMPUTED_VALUE"""),"https:")</f>
        <v>https:</v>
      </c>
      <c r="K1300" s="78" t="str">
        <f>IFERROR(__xludf.DUMMYFUNCTION("""COMPUTED_VALUE"""),"www.munzee.com")</f>
        <v>www.munzee.com</v>
      </c>
      <c r="L1300" s="47" t="str">
        <f>IFERROR(__xludf.DUMMYFUNCTION("""COMPUTED_VALUE"""),"m")</f>
        <v>m</v>
      </c>
      <c r="M1300" s="47" t="str">
        <f>IFERROR(__xludf.DUMMYFUNCTION("""COMPUTED_VALUE"""),"barefootguru")</f>
        <v>barefootguru</v>
      </c>
    </row>
    <row r="1301">
      <c r="A1301" s="47" t="str">
        <f>IFERROR(__xludf.DUMMYFUNCTION("""COMPUTED_VALUE"""),"Virtual Brown")</f>
        <v>Virtual Brown</v>
      </c>
      <c r="B1301" s="47" t="str">
        <f>IFERROR(__xludf.DUMMYFUNCTION("""COMPUTED_VALUE"""),"belladivadee")</f>
        <v>belladivadee</v>
      </c>
      <c r="C1301" s="78" t="str">
        <f>IFERROR(__xludf.DUMMYFUNCTION("""COMPUTED_VALUE"""),"https://www.munzee.com/m/belladivadee/3257")</f>
        <v>https://www.munzee.com/m/belladivadee/3257</v>
      </c>
      <c r="D1301" s="47"/>
      <c r="E1301" s="47" t="b">
        <f>IFERROR(__xludf.DUMMYFUNCTION("""COMPUTED_VALUE"""),TRUE)</f>
        <v>1</v>
      </c>
      <c r="F1301" s="47" t="str">
        <f>IFERROR(__xludf.DUMMYFUNCTION("""COMPUTED_VALUE"""),"")</f>
        <v/>
      </c>
      <c r="G1301" s="47" t="str">
        <f>IFERROR(__xludf.DUMMYFUNCTION("""COMPUTED_VALUE"""),"")</f>
        <v/>
      </c>
      <c r="H1301" s="47"/>
      <c r="I1301" s="47">
        <f>IFERROR(__xludf.DUMMYFUNCTION("""COMPUTED_VALUE"""),2.0)</f>
        <v>2</v>
      </c>
      <c r="J1301" s="47" t="str">
        <f>IFERROR(__xludf.DUMMYFUNCTION("""COMPUTED_VALUE"""),"https:")</f>
        <v>https:</v>
      </c>
      <c r="K1301" s="78" t="str">
        <f>IFERROR(__xludf.DUMMYFUNCTION("""COMPUTED_VALUE"""),"www.munzee.com")</f>
        <v>www.munzee.com</v>
      </c>
      <c r="L1301" s="47" t="str">
        <f>IFERROR(__xludf.DUMMYFUNCTION("""COMPUTED_VALUE"""),"m")</f>
        <v>m</v>
      </c>
      <c r="M1301" s="47" t="str">
        <f>IFERROR(__xludf.DUMMYFUNCTION("""COMPUTED_VALUE"""),"belladivadee")</f>
        <v>belladivadee</v>
      </c>
    </row>
    <row r="1302">
      <c r="A1302" s="47" t="str">
        <f>IFERROR(__xludf.DUMMYFUNCTION("""COMPUTED_VALUE"""),"Virtual Brown")</f>
        <v>Virtual Brown</v>
      </c>
      <c r="B1302" s="47" t="str">
        <f>IFERROR(__xludf.DUMMYFUNCTION("""COMPUTED_VALUE"""),"sverlaan")</f>
        <v>sverlaan</v>
      </c>
      <c r="C1302" s="78" t="str">
        <f>IFERROR(__xludf.DUMMYFUNCTION("""COMPUTED_VALUE"""),"https://www.munzee.com/m/sverlaan/6285/")</f>
        <v>https://www.munzee.com/m/sverlaan/6285/</v>
      </c>
      <c r="D1302" s="47"/>
      <c r="E1302" s="47" t="b">
        <f>IFERROR(__xludf.DUMMYFUNCTION("""COMPUTED_VALUE"""),TRUE)</f>
        <v>1</v>
      </c>
      <c r="F1302" s="47" t="str">
        <f>IFERROR(__xludf.DUMMYFUNCTION("""COMPUTED_VALUE"""),"")</f>
        <v/>
      </c>
      <c r="G1302" s="47" t="str">
        <f>IFERROR(__xludf.DUMMYFUNCTION("""COMPUTED_VALUE"""),"")</f>
        <v/>
      </c>
      <c r="H1302" s="47"/>
      <c r="I1302" s="47">
        <f>IFERROR(__xludf.DUMMYFUNCTION("""COMPUTED_VALUE"""),2.0)</f>
        <v>2</v>
      </c>
      <c r="J1302" s="47" t="str">
        <f>IFERROR(__xludf.DUMMYFUNCTION("""COMPUTED_VALUE"""),"https:")</f>
        <v>https:</v>
      </c>
      <c r="K1302" s="78" t="str">
        <f>IFERROR(__xludf.DUMMYFUNCTION("""COMPUTED_VALUE"""),"www.munzee.com")</f>
        <v>www.munzee.com</v>
      </c>
      <c r="L1302" s="47" t="str">
        <f>IFERROR(__xludf.DUMMYFUNCTION("""COMPUTED_VALUE"""),"m")</f>
        <v>m</v>
      </c>
      <c r="M1302" s="47" t="str">
        <f>IFERROR(__xludf.DUMMYFUNCTION("""COMPUTED_VALUE"""),"sverlaan")</f>
        <v>sverlaan</v>
      </c>
    </row>
    <row r="1303">
      <c r="A1303" s="47" t="str">
        <f>IFERROR(__xludf.DUMMYFUNCTION("""COMPUTED_VALUE"""),"Virtual Raw Sienna")</f>
        <v>Virtual Raw Sienna</v>
      </c>
      <c r="B1303" s="47" t="str">
        <f>IFERROR(__xludf.DUMMYFUNCTION("""COMPUTED_VALUE"""),"emilep68")</f>
        <v>emilep68</v>
      </c>
      <c r="C1303" s="78" t="str">
        <f>IFERROR(__xludf.DUMMYFUNCTION("""COMPUTED_VALUE"""),"https://www.munzee.com/m/EmileP68/5152/")</f>
        <v>https://www.munzee.com/m/EmileP68/5152/</v>
      </c>
      <c r="D1303" s="47"/>
      <c r="E1303" s="47" t="b">
        <f>IFERROR(__xludf.DUMMYFUNCTION("""COMPUTED_VALUE"""),TRUE)</f>
        <v>1</v>
      </c>
      <c r="F1303" s="47" t="str">
        <f>IFERROR(__xludf.DUMMYFUNCTION("""COMPUTED_VALUE"""),"")</f>
        <v/>
      </c>
      <c r="G1303" s="47" t="str">
        <f>IFERROR(__xludf.DUMMYFUNCTION("""COMPUTED_VALUE"""),"")</f>
        <v/>
      </c>
      <c r="H1303" s="47"/>
      <c r="I1303" s="47">
        <f>IFERROR(__xludf.DUMMYFUNCTION("""COMPUTED_VALUE"""),2.0)</f>
        <v>2</v>
      </c>
      <c r="J1303" s="47" t="str">
        <f>IFERROR(__xludf.DUMMYFUNCTION("""COMPUTED_VALUE"""),"https:")</f>
        <v>https:</v>
      </c>
      <c r="K1303" s="78" t="str">
        <f>IFERROR(__xludf.DUMMYFUNCTION("""COMPUTED_VALUE"""),"www.munzee.com")</f>
        <v>www.munzee.com</v>
      </c>
      <c r="L1303" s="47" t="str">
        <f>IFERROR(__xludf.DUMMYFUNCTION("""COMPUTED_VALUE"""),"m")</f>
        <v>m</v>
      </c>
      <c r="M1303" s="47" t="str">
        <f>IFERROR(__xludf.DUMMYFUNCTION("""COMPUTED_VALUE"""),"EmileP68")</f>
        <v>EmileP68</v>
      </c>
    </row>
    <row r="1304">
      <c r="A1304" s="47" t="str">
        <f>IFERROR(__xludf.DUMMYFUNCTION("""COMPUTED_VALUE"""),"Virtual Raw Sienna")</f>
        <v>Virtual Raw Sienna</v>
      </c>
      <c r="B1304" s="47" t="str">
        <f>IFERROR(__xludf.DUMMYFUNCTION("""COMPUTED_VALUE"""),"pawpatrolthomas")</f>
        <v>pawpatrolthomas</v>
      </c>
      <c r="C1304" s="78" t="str">
        <f>IFERROR(__xludf.DUMMYFUNCTION("""COMPUTED_VALUE"""),"https://www.munzee.com/m/PawPatrolThomas/4306/")</f>
        <v>https://www.munzee.com/m/PawPatrolThomas/4306/</v>
      </c>
      <c r="D1304" s="47"/>
      <c r="E1304" s="47" t="b">
        <f>IFERROR(__xludf.DUMMYFUNCTION("""COMPUTED_VALUE"""),TRUE)</f>
        <v>1</v>
      </c>
      <c r="F1304" s="47" t="str">
        <f>IFERROR(__xludf.DUMMYFUNCTION("""COMPUTED_VALUE"""),"")</f>
        <v/>
      </c>
      <c r="G1304" s="47" t="str">
        <f>IFERROR(__xludf.DUMMYFUNCTION("""COMPUTED_VALUE"""),"")</f>
        <v/>
      </c>
      <c r="H1304" s="47"/>
      <c r="I1304" s="47">
        <f>IFERROR(__xludf.DUMMYFUNCTION("""COMPUTED_VALUE"""),2.0)</f>
        <v>2</v>
      </c>
      <c r="J1304" s="47" t="str">
        <f>IFERROR(__xludf.DUMMYFUNCTION("""COMPUTED_VALUE"""),"https:")</f>
        <v>https:</v>
      </c>
      <c r="K1304" s="78" t="str">
        <f>IFERROR(__xludf.DUMMYFUNCTION("""COMPUTED_VALUE"""),"www.munzee.com")</f>
        <v>www.munzee.com</v>
      </c>
      <c r="L1304" s="47" t="str">
        <f>IFERROR(__xludf.DUMMYFUNCTION("""COMPUTED_VALUE"""),"m")</f>
        <v>m</v>
      </c>
      <c r="M1304" s="47" t="str">
        <f>IFERROR(__xludf.DUMMYFUNCTION("""COMPUTED_VALUE"""),"PawPatrolThomas")</f>
        <v>PawPatrolThomas</v>
      </c>
    </row>
    <row r="1305">
      <c r="A1305" s="47" t="str">
        <f>IFERROR(__xludf.DUMMYFUNCTION("""COMPUTED_VALUE"""),"Virtual Brown")</f>
        <v>Virtual Brown</v>
      </c>
      <c r="B1305" s="47" t="str">
        <f>IFERROR(__xludf.DUMMYFUNCTION("""COMPUTED_VALUE"""),"BrotherWilliam")</f>
        <v>BrotherWilliam</v>
      </c>
      <c r="C1305" s="78" t="str">
        <f>IFERROR(__xludf.DUMMYFUNCTION("""COMPUTED_VALUE"""),"https://www.munzee.com/m/BrotherWilliam/5243/")</f>
        <v>https://www.munzee.com/m/BrotherWilliam/5243/</v>
      </c>
      <c r="D1305" s="47"/>
      <c r="E1305" s="47" t="b">
        <f>IFERROR(__xludf.DUMMYFUNCTION("""COMPUTED_VALUE"""),TRUE)</f>
        <v>1</v>
      </c>
      <c r="F1305" s="47" t="str">
        <f>IFERROR(__xludf.DUMMYFUNCTION("""COMPUTED_VALUE"""),"")</f>
        <v/>
      </c>
      <c r="G1305" s="47" t="str">
        <f>IFERROR(__xludf.DUMMYFUNCTION("""COMPUTED_VALUE"""),"")</f>
        <v/>
      </c>
      <c r="H1305" s="47"/>
      <c r="I1305" s="47">
        <f>IFERROR(__xludf.DUMMYFUNCTION("""COMPUTED_VALUE"""),2.0)</f>
        <v>2</v>
      </c>
      <c r="J1305" s="47" t="str">
        <f>IFERROR(__xludf.DUMMYFUNCTION("""COMPUTED_VALUE"""),"https:")</f>
        <v>https:</v>
      </c>
      <c r="K1305" s="78" t="str">
        <f>IFERROR(__xludf.DUMMYFUNCTION("""COMPUTED_VALUE"""),"www.munzee.com")</f>
        <v>www.munzee.com</v>
      </c>
      <c r="L1305" s="47" t="str">
        <f>IFERROR(__xludf.DUMMYFUNCTION("""COMPUTED_VALUE"""),"m")</f>
        <v>m</v>
      </c>
      <c r="M1305" s="47" t="str">
        <f>IFERROR(__xludf.DUMMYFUNCTION("""COMPUTED_VALUE"""),"BrotherWilliam")</f>
        <v>BrotherWilliam</v>
      </c>
    </row>
    <row r="1306">
      <c r="A1306" s="47" t="str">
        <f>IFERROR(__xludf.DUMMYFUNCTION("""COMPUTED_VALUE"""),"Virtual Brown")</f>
        <v>Virtual Brown</v>
      </c>
      <c r="B1306" s="47" t="str">
        <f>IFERROR(__xludf.DUMMYFUNCTION("""COMPUTED_VALUE"""),"ArtofEco")</f>
        <v>ArtofEco</v>
      </c>
      <c r="C1306" s="78" t="str">
        <f>IFERROR(__xludf.DUMMYFUNCTION("""COMPUTED_VALUE"""),"https://www.munzee.com/m/ArtofEco/3544/")</f>
        <v>https://www.munzee.com/m/ArtofEco/3544/</v>
      </c>
      <c r="D1306" s="47"/>
      <c r="E1306" s="47" t="b">
        <f>IFERROR(__xludf.DUMMYFUNCTION("""COMPUTED_VALUE"""),TRUE)</f>
        <v>1</v>
      </c>
      <c r="F1306" s="47" t="str">
        <f>IFERROR(__xludf.DUMMYFUNCTION("""COMPUTED_VALUE"""),"")</f>
        <v/>
      </c>
      <c r="G1306" s="47" t="str">
        <f>IFERROR(__xludf.DUMMYFUNCTION("""COMPUTED_VALUE"""),"")</f>
        <v/>
      </c>
      <c r="H1306" s="47"/>
      <c r="I1306" s="47">
        <f>IFERROR(__xludf.DUMMYFUNCTION("""COMPUTED_VALUE"""),2.0)</f>
        <v>2</v>
      </c>
      <c r="J1306" s="47" t="str">
        <f>IFERROR(__xludf.DUMMYFUNCTION("""COMPUTED_VALUE"""),"https:")</f>
        <v>https:</v>
      </c>
      <c r="K1306" s="78" t="str">
        <f>IFERROR(__xludf.DUMMYFUNCTION("""COMPUTED_VALUE"""),"www.munzee.com")</f>
        <v>www.munzee.com</v>
      </c>
      <c r="L1306" s="47" t="str">
        <f>IFERROR(__xludf.DUMMYFUNCTION("""COMPUTED_VALUE"""),"m")</f>
        <v>m</v>
      </c>
      <c r="M1306" s="47" t="str">
        <f>IFERROR(__xludf.DUMMYFUNCTION("""COMPUTED_VALUE"""),"ArtofEco")</f>
        <v>ArtofEco</v>
      </c>
    </row>
    <row r="1307">
      <c r="A1307" s="47" t="str">
        <f>IFERROR(__xludf.DUMMYFUNCTION("""COMPUTED_VALUE"""),"Virtual Brown")</f>
        <v>Virtual Brown</v>
      </c>
      <c r="B1307" s="47" t="str">
        <f>IFERROR(__xludf.DUMMYFUNCTION("""COMPUTED_VALUE"""),"J1Huisman")</f>
        <v>J1Huisman</v>
      </c>
      <c r="C1307" s="78" t="str">
        <f>IFERROR(__xludf.DUMMYFUNCTION("""COMPUTED_VALUE"""),"https://www.munzee.com/m/J1Huisman/13765/")</f>
        <v>https://www.munzee.com/m/J1Huisman/13765/</v>
      </c>
      <c r="D1307" s="47"/>
      <c r="E1307" s="47" t="b">
        <f>IFERROR(__xludf.DUMMYFUNCTION("""COMPUTED_VALUE"""),TRUE)</f>
        <v>1</v>
      </c>
      <c r="F1307" s="47" t="str">
        <f>IFERROR(__xludf.DUMMYFUNCTION("""COMPUTED_VALUE"""),"")</f>
        <v/>
      </c>
      <c r="G1307" s="47" t="str">
        <f>IFERROR(__xludf.DUMMYFUNCTION("""COMPUTED_VALUE"""),"")</f>
        <v/>
      </c>
      <c r="H1307" s="47"/>
      <c r="I1307" s="47">
        <f>IFERROR(__xludf.DUMMYFUNCTION("""COMPUTED_VALUE"""),2.0)</f>
        <v>2</v>
      </c>
      <c r="J1307" s="47" t="str">
        <f>IFERROR(__xludf.DUMMYFUNCTION("""COMPUTED_VALUE"""),"https:")</f>
        <v>https:</v>
      </c>
      <c r="K1307" s="78" t="str">
        <f>IFERROR(__xludf.DUMMYFUNCTION("""COMPUTED_VALUE"""),"www.munzee.com")</f>
        <v>www.munzee.com</v>
      </c>
      <c r="L1307" s="47" t="str">
        <f>IFERROR(__xludf.DUMMYFUNCTION("""COMPUTED_VALUE"""),"m")</f>
        <v>m</v>
      </c>
      <c r="M1307" s="47" t="str">
        <f>IFERROR(__xludf.DUMMYFUNCTION("""COMPUTED_VALUE"""),"J1Huisman")</f>
        <v>J1Huisman</v>
      </c>
    </row>
    <row r="1308">
      <c r="A1308" s="47" t="str">
        <f>IFERROR(__xludf.DUMMYFUNCTION("""COMPUTED_VALUE"""),"Virtual Raw Sienna")</f>
        <v>Virtual Raw Sienna</v>
      </c>
      <c r="B1308" s="47" t="str">
        <f>IFERROR(__xludf.DUMMYFUNCTION("""COMPUTED_VALUE"""),"lison55")</f>
        <v>lison55</v>
      </c>
      <c r="C1308" s="78" t="str">
        <f>IFERROR(__xludf.DUMMYFUNCTION("""COMPUTED_VALUE"""),"https://www.munzee.com/m/lison55/8395/")</f>
        <v>https://www.munzee.com/m/lison55/8395/</v>
      </c>
      <c r="D1308" s="47"/>
      <c r="E1308" s="47" t="b">
        <f>IFERROR(__xludf.DUMMYFUNCTION("""COMPUTED_VALUE"""),TRUE)</f>
        <v>1</v>
      </c>
      <c r="F1308" s="47" t="str">
        <f>IFERROR(__xludf.DUMMYFUNCTION("""COMPUTED_VALUE"""),"")</f>
        <v/>
      </c>
      <c r="G1308" s="47" t="str">
        <f>IFERROR(__xludf.DUMMYFUNCTION("""COMPUTED_VALUE"""),"")</f>
        <v/>
      </c>
      <c r="H1308" s="47"/>
      <c r="I1308" s="47">
        <f>IFERROR(__xludf.DUMMYFUNCTION("""COMPUTED_VALUE"""),2.0)</f>
        <v>2</v>
      </c>
      <c r="J1308" s="47" t="str">
        <f>IFERROR(__xludf.DUMMYFUNCTION("""COMPUTED_VALUE"""),"https:")</f>
        <v>https:</v>
      </c>
      <c r="K1308" s="78" t="str">
        <f>IFERROR(__xludf.DUMMYFUNCTION("""COMPUTED_VALUE"""),"www.munzee.com")</f>
        <v>www.munzee.com</v>
      </c>
      <c r="L1308" s="47" t="str">
        <f>IFERROR(__xludf.DUMMYFUNCTION("""COMPUTED_VALUE"""),"m")</f>
        <v>m</v>
      </c>
      <c r="M1308" s="47" t="str">
        <f>IFERROR(__xludf.DUMMYFUNCTION("""COMPUTED_VALUE"""),"lison55")</f>
        <v>lison55</v>
      </c>
    </row>
    <row r="1309">
      <c r="A1309" s="47" t="str">
        <f>IFERROR(__xludf.DUMMYFUNCTION("""COMPUTED_VALUE"""),"Virtual Brown")</f>
        <v>Virtual Brown</v>
      </c>
      <c r="B1309" s="47" t="str">
        <f>IFERROR(__xludf.DUMMYFUNCTION("""COMPUTED_VALUE"""),"fsafranek")</f>
        <v>fsafranek</v>
      </c>
      <c r="C1309" s="78" t="str">
        <f>IFERROR(__xludf.DUMMYFUNCTION("""COMPUTED_VALUE"""),"https://www.munzee.com/m/fsafranek/5467/")</f>
        <v>https://www.munzee.com/m/fsafranek/5467/</v>
      </c>
      <c r="D1309" s="47"/>
      <c r="E1309" s="47" t="b">
        <f>IFERROR(__xludf.DUMMYFUNCTION("""COMPUTED_VALUE"""),TRUE)</f>
        <v>1</v>
      </c>
      <c r="F1309" s="47" t="str">
        <f>IFERROR(__xludf.DUMMYFUNCTION("""COMPUTED_VALUE"""),"")</f>
        <v/>
      </c>
      <c r="G1309" s="47" t="str">
        <f>IFERROR(__xludf.DUMMYFUNCTION("""COMPUTED_VALUE"""),"")</f>
        <v/>
      </c>
      <c r="H1309" s="47"/>
      <c r="I1309" s="47">
        <f>IFERROR(__xludf.DUMMYFUNCTION("""COMPUTED_VALUE"""),2.0)</f>
        <v>2</v>
      </c>
      <c r="J1309" s="47" t="str">
        <f>IFERROR(__xludf.DUMMYFUNCTION("""COMPUTED_VALUE"""),"https:")</f>
        <v>https:</v>
      </c>
      <c r="K1309" s="78" t="str">
        <f>IFERROR(__xludf.DUMMYFUNCTION("""COMPUTED_VALUE"""),"www.munzee.com")</f>
        <v>www.munzee.com</v>
      </c>
      <c r="L1309" s="47" t="str">
        <f>IFERROR(__xludf.DUMMYFUNCTION("""COMPUTED_VALUE"""),"m")</f>
        <v>m</v>
      </c>
      <c r="M1309" s="47" t="str">
        <f>IFERROR(__xludf.DUMMYFUNCTION("""COMPUTED_VALUE"""),"fsafranek")</f>
        <v>fsafranek</v>
      </c>
    </row>
    <row r="1310">
      <c r="A1310" s="47" t="str">
        <f>IFERROR(__xludf.DUMMYFUNCTION("""COMPUTED_VALUE"""),"Virtual Brown")</f>
        <v>Virtual Brown</v>
      </c>
      <c r="B1310" s="47" t="str">
        <f>IFERROR(__xludf.DUMMYFUNCTION("""COMPUTED_VALUE"""),"barefootguru")</f>
        <v>barefootguru</v>
      </c>
      <c r="C1310" s="78" t="str">
        <f>IFERROR(__xludf.DUMMYFUNCTION("""COMPUTED_VALUE"""),"https://www.munzee.com/m/barefootguru/3384/")</f>
        <v>https://www.munzee.com/m/barefootguru/3384/</v>
      </c>
      <c r="D1310" s="47"/>
      <c r="E1310" s="47" t="b">
        <f>IFERROR(__xludf.DUMMYFUNCTION("""COMPUTED_VALUE"""),TRUE)</f>
        <v>1</v>
      </c>
      <c r="F1310" s="47" t="str">
        <f>IFERROR(__xludf.DUMMYFUNCTION("""COMPUTED_VALUE"""),"")</f>
        <v/>
      </c>
      <c r="G1310" s="47" t="str">
        <f>IFERROR(__xludf.DUMMYFUNCTION("""COMPUTED_VALUE"""),"")</f>
        <v/>
      </c>
      <c r="H1310" s="47"/>
      <c r="I1310" s="47">
        <f>IFERROR(__xludf.DUMMYFUNCTION("""COMPUTED_VALUE"""),2.0)</f>
        <v>2</v>
      </c>
      <c r="J1310" s="47" t="str">
        <f>IFERROR(__xludf.DUMMYFUNCTION("""COMPUTED_VALUE"""),"https:")</f>
        <v>https:</v>
      </c>
      <c r="K1310" s="78" t="str">
        <f>IFERROR(__xludf.DUMMYFUNCTION("""COMPUTED_VALUE"""),"www.munzee.com")</f>
        <v>www.munzee.com</v>
      </c>
      <c r="L1310" s="47" t="str">
        <f>IFERROR(__xludf.DUMMYFUNCTION("""COMPUTED_VALUE"""),"m")</f>
        <v>m</v>
      </c>
      <c r="M1310" s="47" t="str">
        <f>IFERROR(__xludf.DUMMYFUNCTION("""COMPUTED_VALUE"""),"barefootguru")</f>
        <v>barefootguru</v>
      </c>
    </row>
    <row r="1311">
      <c r="A1311" s="47" t="str">
        <f>IFERROR(__xludf.DUMMYFUNCTION("""COMPUTED_VALUE"""),"Virtual Brown")</f>
        <v>Virtual Brown</v>
      </c>
      <c r="B1311" s="47" t="str">
        <f>IFERROR(__xludf.DUMMYFUNCTION("""COMPUTED_VALUE"""),"Ellesche")</f>
        <v>Ellesche</v>
      </c>
      <c r="C1311" s="78" t="str">
        <f>IFERROR(__xludf.DUMMYFUNCTION("""COMPUTED_VALUE"""),"https://www.munzee.com/m/Ellesche/828")</f>
        <v>https://www.munzee.com/m/Ellesche/828</v>
      </c>
      <c r="D1311" s="47"/>
      <c r="E1311" s="47" t="b">
        <f>IFERROR(__xludf.DUMMYFUNCTION("""COMPUTED_VALUE"""),TRUE)</f>
        <v>1</v>
      </c>
      <c r="F1311" s="47" t="str">
        <f>IFERROR(__xludf.DUMMYFUNCTION("""COMPUTED_VALUE"""),"")</f>
        <v/>
      </c>
      <c r="G1311" s="47" t="str">
        <f>IFERROR(__xludf.DUMMYFUNCTION("""COMPUTED_VALUE"""),"")</f>
        <v/>
      </c>
      <c r="H1311" s="47"/>
      <c r="I1311" s="47">
        <f>IFERROR(__xludf.DUMMYFUNCTION("""COMPUTED_VALUE"""),2.0)</f>
        <v>2</v>
      </c>
      <c r="J1311" s="47" t="str">
        <f>IFERROR(__xludf.DUMMYFUNCTION("""COMPUTED_VALUE"""),"https:")</f>
        <v>https:</v>
      </c>
      <c r="K1311" s="78" t="str">
        <f>IFERROR(__xludf.DUMMYFUNCTION("""COMPUTED_VALUE"""),"www.munzee.com")</f>
        <v>www.munzee.com</v>
      </c>
      <c r="L1311" s="47" t="str">
        <f>IFERROR(__xludf.DUMMYFUNCTION("""COMPUTED_VALUE"""),"m")</f>
        <v>m</v>
      </c>
      <c r="M1311" s="47" t="str">
        <f>IFERROR(__xludf.DUMMYFUNCTION("""COMPUTED_VALUE"""),"Ellesche")</f>
        <v>Ellesche</v>
      </c>
    </row>
    <row r="1312">
      <c r="A1312" s="47" t="str">
        <f>IFERROR(__xludf.DUMMYFUNCTION("""COMPUTED_VALUE"""),"Virtual Brown")</f>
        <v>Virtual Brown</v>
      </c>
      <c r="B1312" s="47" t="str">
        <f>IFERROR(__xludf.DUMMYFUNCTION("""COMPUTED_VALUE"""),"res2100")</f>
        <v>res2100</v>
      </c>
      <c r="C1312" s="78" t="str">
        <f>IFERROR(__xludf.DUMMYFUNCTION("""COMPUTED_VALUE"""),"https://www.munzee.com/m/res2100/873/")</f>
        <v>https://www.munzee.com/m/res2100/873/</v>
      </c>
      <c r="D1312" s="47"/>
      <c r="E1312" s="47" t="b">
        <f>IFERROR(__xludf.DUMMYFUNCTION("""COMPUTED_VALUE"""),TRUE)</f>
        <v>1</v>
      </c>
      <c r="F1312" s="47" t="str">
        <f>IFERROR(__xludf.DUMMYFUNCTION("""COMPUTED_VALUE"""),"")</f>
        <v/>
      </c>
      <c r="G1312" s="47" t="str">
        <f>IFERROR(__xludf.DUMMYFUNCTION("""COMPUTED_VALUE"""),"")</f>
        <v/>
      </c>
      <c r="H1312" s="47"/>
      <c r="I1312" s="47">
        <f>IFERROR(__xludf.DUMMYFUNCTION("""COMPUTED_VALUE"""),2.0)</f>
        <v>2</v>
      </c>
      <c r="J1312" s="47" t="str">
        <f>IFERROR(__xludf.DUMMYFUNCTION("""COMPUTED_VALUE"""),"https:")</f>
        <v>https:</v>
      </c>
      <c r="K1312" s="78" t="str">
        <f>IFERROR(__xludf.DUMMYFUNCTION("""COMPUTED_VALUE"""),"www.munzee.com")</f>
        <v>www.munzee.com</v>
      </c>
      <c r="L1312" s="47" t="str">
        <f>IFERROR(__xludf.DUMMYFUNCTION("""COMPUTED_VALUE"""),"m")</f>
        <v>m</v>
      </c>
      <c r="M1312" s="47" t="str">
        <f>IFERROR(__xludf.DUMMYFUNCTION("""COMPUTED_VALUE"""),"res2100")</f>
        <v>res2100</v>
      </c>
    </row>
    <row r="1313">
      <c r="A1313" s="47" t="str">
        <f>IFERROR(__xludf.DUMMYFUNCTION("""COMPUTED_VALUE"""),"Virtual Brown")</f>
        <v>Virtual Brown</v>
      </c>
      <c r="B1313" s="47" t="str">
        <f>IFERROR(__xludf.DUMMYFUNCTION("""COMPUTED_VALUE"""),"rita85gto")</f>
        <v>rita85gto</v>
      </c>
      <c r="C1313" s="78" t="str">
        <f>IFERROR(__xludf.DUMMYFUNCTION("""COMPUTED_VALUE"""),"https://www.munzee.com/m/rita85gto/3821/")</f>
        <v>https://www.munzee.com/m/rita85gto/3821/</v>
      </c>
      <c r="D1313" s="47"/>
      <c r="E1313" s="47" t="b">
        <f>IFERROR(__xludf.DUMMYFUNCTION("""COMPUTED_VALUE"""),TRUE)</f>
        <v>1</v>
      </c>
      <c r="F1313" s="47" t="str">
        <f>IFERROR(__xludf.DUMMYFUNCTION("""COMPUTED_VALUE"""),"")</f>
        <v/>
      </c>
      <c r="G1313" s="47" t="str">
        <f>IFERROR(__xludf.DUMMYFUNCTION("""COMPUTED_VALUE"""),"")</f>
        <v/>
      </c>
      <c r="H1313" s="47"/>
      <c r="I1313" s="47">
        <f>IFERROR(__xludf.DUMMYFUNCTION("""COMPUTED_VALUE"""),2.0)</f>
        <v>2</v>
      </c>
      <c r="J1313" s="47" t="str">
        <f>IFERROR(__xludf.DUMMYFUNCTION("""COMPUTED_VALUE"""),"https:")</f>
        <v>https:</v>
      </c>
      <c r="K1313" s="78" t="str">
        <f>IFERROR(__xludf.DUMMYFUNCTION("""COMPUTED_VALUE"""),"www.munzee.com")</f>
        <v>www.munzee.com</v>
      </c>
      <c r="L1313" s="47" t="str">
        <f>IFERROR(__xludf.DUMMYFUNCTION("""COMPUTED_VALUE"""),"m")</f>
        <v>m</v>
      </c>
      <c r="M1313" s="47" t="str">
        <f>IFERROR(__xludf.DUMMYFUNCTION("""COMPUTED_VALUE"""),"rita85gto")</f>
        <v>rita85gto</v>
      </c>
    </row>
    <row r="1314">
      <c r="A1314" s="47" t="str">
        <f>IFERROR(__xludf.DUMMYFUNCTION("""COMPUTED_VALUE"""),"Virtual Brown")</f>
        <v>Virtual Brown</v>
      </c>
      <c r="B1314" s="47" t="str">
        <f>IFERROR(__xludf.DUMMYFUNCTION("""COMPUTED_VALUE"""),"xrayneex")</f>
        <v>xrayneex</v>
      </c>
      <c r="C1314" s="78" t="str">
        <f>IFERROR(__xludf.DUMMYFUNCTION("""COMPUTED_VALUE"""),"https://www.munzee.com/m/xrayneex/2322/")</f>
        <v>https://www.munzee.com/m/xrayneex/2322/</v>
      </c>
      <c r="D1314" s="47"/>
      <c r="E1314" s="47" t="b">
        <f>IFERROR(__xludf.DUMMYFUNCTION("""COMPUTED_VALUE"""),TRUE)</f>
        <v>1</v>
      </c>
      <c r="F1314" s="47" t="str">
        <f>IFERROR(__xludf.DUMMYFUNCTION("""COMPUTED_VALUE"""),"")</f>
        <v/>
      </c>
      <c r="G1314" s="47" t="str">
        <f>IFERROR(__xludf.DUMMYFUNCTION("""COMPUTED_VALUE"""),"")</f>
        <v/>
      </c>
      <c r="H1314" s="47"/>
      <c r="I1314" s="47">
        <f>IFERROR(__xludf.DUMMYFUNCTION("""COMPUTED_VALUE"""),2.0)</f>
        <v>2</v>
      </c>
      <c r="J1314" s="47" t="str">
        <f>IFERROR(__xludf.DUMMYFUNCTION("""COMPUTED_VALUE"""),"https:")</f>
        <v>https:</v>
      </c>
      <c r="K1314" s="78" t="str">
        <f>IFERROR(__xludf.DUMMYFUNCTION("""COMPUTED_VALUE"""),"www.munzee.com")</f>
        <v>www.munzee.com</v>
      </c>
      <c r="L1314" s="47" t="str">
        <f>IFERROR(__xludf.DUMMYFUNCTION("""COMPUTED_VALUE"""),"m")</f>
        <v>m</v>
      </c>
      <c r="M1314" s="47" t="str">
        <f>IFERROR(__xludf.DUMMYFUNCTION("""COMPUTED_VALUE"""),"xrayneex")</f>
        <v>xrayneex</v>
      </c>
    </row>
    <row r="1315">
      <c r="A1315" s="47" t="str">
        <f>IFERROR(__xludf.DUMMYFUNCTION("""COMPUTED_VALUE"""),"Virtual Brown")</f>
        <v>Virtual Brown</v>
      </c>
      <c r="B1315" s="47" t="str">
        <f>IFERROR(__xludf.DUMMYFUNCTION("""COMPUTED_VALUE"""),"Drazoria")</f>
        <v>Drazoria</v>
      </c>
      <c r="C1315" s="78" t="str">
        <f>IFERROR(__xludf.DUMMYFUNCTION("""COMPUTED_VALUE"""),"https://www.munzee.com/m/Drazoria/1603/")</f>
        <v>https://www.munzee.com/m/Drazoria/1603/</v>
      </c>
      <c r="D1315" s="47"/>
      <c r="E1315" s="47" t="b">
        <f>IFERROR(__xludf.DUMMYFUNCTION("""COMPUTED_VALUE"""),TRUE)</f>
        <v>1</v>
      </c>
      <c r="F1315" s="47" t="str">
        <f>IFERROR(__xludf.DUMMYFUNCTION("""COMPUTED_VALUE"""),"")</f>
        <v/>
      </c>
      <c r="G1315" s="47" t="str">
        <f>IFERROR(__xludf.DUMMYFUNCTION("""COMPUTED_VALUE"""),"")</f>
        <v/>
      </c>
      <c r="H1315" s="47"/>
      <c r="I1315" s="47">
        <f>IFERROR(__xludf.DUMMYFUNCTION("""COMPUTED_VALUE"""),2.0)</f>
        <v>2</v>
      </c>
      <c r="J1315" s="47" t="str">
        <f>IFERROR(__xludf.DUMMYFUNCTION("""COMPUTED_VALUE"""),"https:")</f>
        <v>https:</v>
      </c>
      <c r="K1315" s="78" t="str">
        <f>IFERROR(__xludf.DUMMYFUNCTION("""COMPUTED_VALUE"""),"www.munzee.com")</f>
        <v>www.munzee.com</v>
      </c>
      <c r="L1315" s="47" t="str">
        <f>IFERROR(__xludf.DUMMYFUNCTION("""COMPUTED_VALUE"""),"m")</f>
        <v>m</v>
      </c>
      <c r="M1315" s="47" t="str">
        <f>IFERROR(__xludf.DUMMYFUNCTION("""COMPUTED_VALUE"""),"Drazoria")</f>
        <v>Drazoria</v>
      </c>
    </row>
    <row r="1316">
      <c r="A1316" s="47" t="str">
        <f>IFERROR(__xludf.DUMMYFUNCTION("""COMPUTED_VALUE"""),"Virtual Brown")</f>
        <v>Virtual Brown</v>
      </c>
      <c r="B1316" s="47" t="str">
        <f>IFERROR(__xludf.DUMMYFUNCTION("""COMPUTED_VALUE"""),"Tinake1309")</f>
        <v>Tinake1309</v>
      </c>
      <c r="C1316" s="78" t="str">
        <f>IFERROR(__xludf.DUMMYFUNCTION("""COMPUTED_VALUE"""),"https://www.munzee.com/m/Tinake1309/1619/")</f>
        <v>https://www.munzee.com/m/Tinake1309/1619/</v>
      </c>
      <c r="D1316" s="47"/>
      <c r="E1316" s="47" t="b">
        <f>IFERROR(__xludf.DUMMYFUNCTION("""COMPUTED_VALUE"""),TRUE)</f>
        <v>1</v>
      </c>
      <c r="F1316" s="47" t="str">
        <f>IFERROR(__xludf.DUMMYFUNCTION("""COMPUTED_VALUE"""),"")</f>
        <v/>
      </c>
      <c r="G1316" s="47" t="str">
        <f>IFERROR(__xludf.DUMMYFUNCTION("""COMPUTED_VALUE"""),"")</f>
        <v/>
      </c>
      <c r="H1316" s="47"/>
      <c r="I1316" s="47">
        <f>IFERROR(__xludf.DUMMYFUNCTION("""COMPUTED_VALUE"""),2.0)</f>
        <v>2</v>
      </c>
      <c r="J1316" s="47" t="str">
        <f>IFERROR(__xludf.DUMMYFUNCTION("""COMPUTED_VALUE"""),"https:")</f>
        <v>https:</v>
      </c>
      <c r="K1316" s="78" t="str">
        <f>IFERROR(__xludf.DUMMYFUNCTION("""COMPUTED_VALUE"""),"www.munzee.com")</f>
        <v>www.munzee.com</v>
      </c>
      <c r="L1316" s="47" t="str">
        <f>IFERROR(__xludf.DUMMYFUNCTION("""COMPUTED_VALUE"""),"m")</f>
        <v>m</v>
      </c>
      <c r="M1316" s="47" t="str">
        <f>IFERROR(__xludf.DUMMYFUNCTION("""COMPUTED_VALUE"""),"Tinake1309")</f>
        <v>Tinake1309</v>
      </c>
    </row>
    <row r="1317">
      <c r="A1317" s="47" t="str">
        <f>IFERROR(__xludf.DUMMYFUNCTION("""COMPUTED_VALUE"""),"Virtual Brown")</f>
        <v>Virtual Brown</v>
      </c>
      <c r="B1317" s="47" t="str">
        <f>IFERROR(__xludf.DUMMYFUNCTION("""COMPUTED_VALUE"""),"Berg14")</f>
        <v>Berg14</v>
      </c>
      <c r="C1317" s="78" t="str">
        <f>IFERROR(__xludf.DUMMYFUNCTION("""COMPUTED_VALUE"""),"https://www.munzee.com/m/Berg14/1539/")</f>
        <v>https://www.munzee.com/m/Berg14/1539/</v>
      </c>
      <c r="D1317" s="47"/>
      <c r="E1317" s="47" t="b">
        <f>IFERROR(__xludf.DUMMYFUNCTION("""COMPUTED_VALUE"""),TRUE)</f>
        <v>1</v>
      </c>
      <c r="F1317" s="47" t="str">
        <f>IFERROR(__xludf.DUMMYFUNCTION("""COMPUTED_VALUE"""),"")</f>
        <v/>
      </c>
      <c r="G1317" s="47" t="str">
        <f>IFERROR(__xludf.DUMMYFUNCTION("""COMPUTED_VALUE"""),"")</f>
        <v/>
      </c>
      <c r="H1317" s="47"/>
      <c r="I1317" s="47">
        <f>IFERROR(__xludf.DUMMYFUNCTION("""COMPUTED_VALUE"""),2.0)</f>
        <v>2</v>
      </c>
      <c r="J1317" s="47" t="str">
        <f>IFERROR(__xludf.DUMMYFUNCTION("""COMPUTED_VALUE"""),"https:")</f>
        <v>https:</v>
      </c>
      <c r="K1317" s="78" t="str">
        <f>IFERROR(__xludf.DUMMYFUNCTION("""COMPUTED_VALUE"""),"www.munzee.com")</f>
        <v>www.munzee.com</v>
      </c>
      <c r="L1317" s="47" t="str">
        <f>IFERROR(__xludf.DUMMYFUNCTION("""COMPUTED_VALUE"""),"m")</f>
        <v>m</v>
      </c>
      <c r="M1317" s="47" t="str">
        <f>IFERROR(__xludf.DUMMYFUNCTION("""COMPUTED_VALUE"""),"Berg14")</f>
        <v>Berg14</v>
      </c>
    </row>
    <row r="1318">
      <c r="A1318" s="47" t="str">
        <f>IFERROR(__xludf.DUMMYFUNCTION("""COMPUTED_VALUE"""),"Virtual Brown")</f>
        <v>Virtual Brown</v>
      </c>
      <c r="B1318" s="47" t="str">
        <f>IFERROR(__xludf.DUMMYFUNCTION("""COMPUTED_VALUE"""),"Niks13")</f>
        <v>Niks13</v>
      </c>
      <c r="C1318" s="78" t="str">
        <f>IFERROR(__xludf.DUMMYFUNCTION("""COMPUTED_VALUE"""),"https://www.munzee.com/m/Niks13/1488/")</f>
        <v>https://www.munzee.com/m/Niks13/1488/</v>
      </c>
      <c r="D1318" s="47"/>
      <c r="E1318" s="47" t="b">
        <f>IFERROR(__xludf.DUMMYFUNCTION("""COMPUTED_VALUE"""),TRUE)</f>
        <v>1</v>
      </c>
      <c r="F1318" s="47" t="str">
        <f>IFERROR(__xludf.DUMMYFUNCTION("""COMPUTED_VALUE"""),"")</f>
        <v/>
      </c>
      <c r="G1318" s="47" t="str">
        <f>IFERROR(__xludf.DUMMYFUNCTION("""COMPUTED_VALUE"""),"")</f>
        <v/>
      </c>
      <c r="H1318" s="47"/>
      <c r="I1318" s="47">
        <f>IFERROR(__xludf.DUMMYFUNCTION("""COMPUTED_VALUE"""),2.0)</f>
        <v>2</v>
      </c>
      <c r="J1318" s="47" t="str">
        <f>IFERROR(__xludf.DUMMYFUNCTION("""COMPUTED_VALUE"""),"https:")</f>
        <v>https:</v>
      </c>
      <c r="K1318" s="78" t="str">
        <f>IFERROR(__xludf.DUMMYFUNCTION("""COMPUTED_VALUE"""),"www.munzee.com")</f>
        <v>www.munzee.com</v>
      </c>
      <c r="L1318" s="47" t="str">
        <f>IFERROR(__xludf.DUMMYFUNCTION("""COMPUTED_VALUE"""),"m")</f>
        <v>m</v>
      </c>
      <c r="M1318" s="47" t="str">
        <f>IFERROR(__xludf.DUMMYFUNCTION("""COMPUTED_VALUE"""),"Niks13")</f>
        <v>Niks13</v>
      </c>
    </row>
    <row r="1319">
      <c r="A1319" s="47" t="str">
        <f>IFERROR(__xludf.DUMMYFUNCTION("""COMPUTED_VALUE"""),"Virtual Brown")</f>
        <v>Virtual Brown</v>
      </c>
      <c r="B1319" s="47" t="str">
        <f>IFERROR(__xludf.DUMMYFUNCTION("""COMPUTED_VALUE"""),"Franca")</f>
        <v>Franca</v>
      </c>
      <c r="C1319" s="78" t="str">
        <f>IFERROR(__xludf.DUMMYFUNCTION("""COMPUTED_VALUE"""),"https://www.munzee.com/m/Franca/2026/")</f>
        <v>https://www.munzee.com/m/Franca/2026/</v>
      </c>
      <c r="D1319" s="47"/>
      <c r="E1319" s="47" t="b">
        <f>IFERROR(__xludf.DUMMYFUNCTION("""COMPUTED_VALUE"""),TRUE)</f>
        <v>1</v>
      </c>
      <c r="F1319" s="47" t="str">
        <f>IFERROR(__xludf.DUMMYFUNCTION("""COMPUTED_VALUE"""),"")</f>
        <v/>
      </c>
      <c r="G1319" s="47" t="str">
        <f>IFERROR(__xludf.DUMMYFUNCTION("""COMPUTED_VALUE"""),"")</f>
        <v/>
      </c>
      <c r="H1319" s="47"/>
      <c r="I1319" s="47">
        <f>IFERROR(__xludf.DUMMYFUNCTION("""COMPUTED_VALUE"""),2.0)</f>
        <v>2</v>
      </c>
      <c r="J1319" s="47" t="str">
        <f>IFERROR(__xludf.DUMMYFUNCTION("""COMPUTED_VALUE"""),"https:")</f>
        <v>https:</v>
      </c>
      <c r="K1319" s="78" t="str">
        <f>IFERROR(__xludf.DUMMYFUNCTION("""COMPUTED_VALUE"""),"www.munzee.com")</f>
        <v>www.munzee.com</v>
      </c>
      <c r="L1319" s="47" t="str">
        <f>IFERROR(__xludf.DUMMYFUNCTION("""COMPUTED_VALUE"""),"m")</f>
        <v>m</v>
      </c>
      <c r="M1319" s="47" t="str">
        <f>IFERROR(__xludf.DUMMYFUNCTION("""COMPUTED_VALUE"""),"Franca")</f>
        <v>Franca</v>
      </c>
    </row>
    <row r="1320">
      <c r="A1320" s="47" t="str">
        <f>IFERROR(__xludf.DUMMYFUNCTION("""COMPUTED_VALUE"""),"Virtual Raw Sienna")</f>
        <v>Virtual Raw Sienna</v>
      </c>
      <c r="B1320" s="47" t="str">
        <f>IFERROR(__xludf.DUMMYFUNCTION("""COMPUTED_VALUE"""),"lupo6")</f>
        <v>lupo6</v>
      </c>
      <c r="C1320" s="78" t="str">
        <f>IFERROR(__xludf.DUMMYFUNCTION("""COMPUTED_VALUE"""),"https://www.munzee.com/m/lupo6/6815")</f>
        <v>https://www.munzee.com/m/lupo6/6815</v>
      </c>
      <c r="D1320" s="47"/>
      <c r="E1320" s="47" t="b">
        <f>IFERROR(__xludf.DUMMYFUNCTION("""COMPUTED_VALUE"""),TRUE)</f>
        <v>1</v>
      </c>
      <c r="F1320" s="47" t="str">
        <f>IFERROR(__xludf.DUMMYFUNCTION("""COMPUTED_VALUE"""),"")</f>
        <v/>
      </c>
      <c r="G1320" s="47" t="str">
        <f>IFERROR(__xludf.DUMMYFUNCTION("""COMPUTED_VALUE"""),"")</f>
        <v/>
      </c>
      <c r="H1320" s="47"/>
      <c r="I1320" s="47">
        <f>IFERROR(__xludf.DUMMYFUNCTION("""COMPUTED_VALUE"""),2.0)</f>
        <v>2</v>
      </c>
      <c r="J1320" s="47" t="str">
        <f>IFERROR(__xludf.DUMMYFUNCTION("""COMPUTED_VALUE"""),"https:")</f>
        <v>https:</v>
      </c>
      <c r="K1320" s="78" t="str">
        <f>IFERROR(__xludf.DUMMYFUNCTION("""COMPUTED_VALUE"""),"www.munzee.com")</f>
        <v>www.munzee.com</v>
      </c>
      <c r="L1320" s="47" t="str">
        <f>IFERROR(__xludf.DUMMYFUNCTION("""COMPUTED_VALUE"""),"m")</f>
        <v>m</v>
      </c>
      <c r="M1320" s="47" t="str">
        <f>IFERROR(__xludf.DUMMYFUNCTION("""COMPUTED_VALUE"""),"lupo6")</f>
        <v>lupo6</v>
      </c>
    </row>
    <row r="1321">
      <c r="A1321" s="47" t="str">
        <f>IFERROR(__xludf.DUMMYFUNCTION("""COMPUTED_VALUE"""),"Virtual Brown")</f>
        <v>Virtual Brown</v>
      </c>
      <c r="B1321" s="47" t="str">
        <f>IFERROR(__xludf.DUMMYFUNCTION("""COMPUTED_VALUE"""),"OdinsFiRe")</f>
        <v>OdinsFiRe</v>
      </c>
      <c r="C1321" s="78" t="str">
        <f>IFERROR(__xludf.DUMMYFUNCTION("""COMPUTED_VALUE"""),"https://www.munzee.com/m/OdinsFiRe/2059/")</f>
        <v>https://www.munzee.com/m/OdinsFiRe/2059/</v>
      </c>
      <c r="D1321" s="47"/>
      <c r="E1321" s="47" t="b">
        <f>IFERROR(__xludf.DUMMYFUNCTION("""COMPUTED_VALUE"""),TRUE)</f>
        <v>1</v>
      </c>
      <c r="F1321" s="47" t="str">
        <f>IFERROR(__xludf.DUMMYFUNCTION("""COMPUTED_VALUE"""),"")</f>
        <v/>
      </c>
      <c r="G1321" s="47" t="str">
        <f>IFERROR(__xludf.DUMMYFUNCTION("""COMPUTED_VALUE"""),"")</f>
        <v/>
      </c>
      <c r="H1321" s="47"/>
      <c r="I1321" s="47">
        <f>IFERROR(__xludf.DUMMYFUNCTION("""COMPUTED_VALUE"""),2.0)</f>
        <v>2</v>
      </c>
      <c r="J1321" s="47" t="str">
        <f>IFERROR(__xludf.DUMMYFUNCTION("""COMPUTED_VALUE"""),"https:")</f>
        <v>https:</v>
      </c>
      <c r="K1321" s="78" t="str">
        <f>IFERROR(__xludf.DUMMYFUNCTION("""COMPUTED_VALUE"""),"www.munzee.com")</f>
        <v>www.munzee.com</v>
      </c>
      <c r="L1321" s="47" t="str">
        <f>IFERROR(__xludf.DUMMYFUNCTION("""COMPUTED_VALUE"""),"m")</f>
        <v>m</v>
      </c>
      <c r="M1321" s="47" t="str">
        <f>IFERROR(__xludf.DUMMYFUNCTION("""COMPUTED_VALUE"""),"OdinsFiRe")</f>
        <v>OdinsFiRe</v>
      </c>
    </row>
    <row r="1322">
      <c r="A1322" s="47" t="str">
        <f>IFERROR(__xludf.DUMMYFUNCTION("""COMPUTED_VALUE"""),"Virtual Brown")</f>
        <v>Virtual Brown</v>
      </c>
      <c r="B1322" s="47" t="str">
        <f>IFERROR(__xludf.DUMMYFUNCTION("""COMPUTED_VALUE"""),"Anetzet ")</f>
        <v>Anetzet </v>
      </c>
      <c r="C1322" s="78" t="str">
        <f>IFERROR(__xludf.DUMMYFUNCTION("""COMPUTED_VALUE"""),"https://www.munzee.com/m/Anetzet/4670/")</f>
        <v>https://www.munzee.com/m/Anetzet/4670/</v>
      </c>
      <c r="D1322" s="47"/>
      <c r="E1322" s="47" t="b">
        <f>IFERROR(__xludf.DUMMYFUNCTION("""COMPUTED_VALUE"""),TRUE)</f>
        <v>1</v>
      </c>
      <c r="F1322" s="47" t="str">
        <f>IFERROR(__xludf.DUMMYFUNCTION("""COMPUTED_VALUE"""),"")</f>
        <v/>
      </c>
      <c r="G1322" s="47" t="str">
        <f>IFERROR(__xludf.DUMMYFUNCTION("""COMPUTED_VALUE"""),"")</f>
        <v/>
      </c>
      <c r="H1322" s="47"/>
      <c r="I1322" s="47">
        <f>IFERROR(__xludf.DUMMYFUNCTION("""COMPUTED_VALUE"""),2.0)</f>
        <v>2</v>
      </c>
      <c r="J1322" s="47" t="str">
        <f>IFERROR(__xludf.DUMMYFUNCTION("""COMPUTED_VALUE"""),"https:")</f>
        <v>https:</v>
      </c>
      <c r="K1322" s="78" t="str">
        <f>IFERROR(__xludf.DUMMYFUNCTION("""COMPUTED_VALUE"""),"www.munzee.com")</f>
        <v>www.munzee.com</v>
      </c>
      <c r="L1322" s="47" t="str">
        <f>IFERROR(__xludf.DUMMYFUNCTION("""COMPUTED_VALUE"""),"m")</f>
        <v>m</v>
      </c>
      <c r="M1322" s="47" t="str">
        <f>IFERROR(__xludf.DUMMYFUNCTION("""COMPUTED_VALUE"""),"Anetzet")</f>
        <v>Anetzet</v>
      </c>
    </row>
    <row r="1323">
      <c r="A1323" s="47" t="str">
        <f>IFERROR(__xludf.DUMMYFUNCTION("""COMPUTED_VALUE"""),"Virtual Brown")</f>
        <v>Virtual Brown</v>
      </c>
      <c r="B1323" s="47" t="str">
        <f>IFERROR(__xludf.DUMMYFUNCTION("""COMPUTED_VALUE"""),"Amundadus")</f>
        <v>Amundadus</v>
      </c>
      <c r="C1323" s="78" t="str">
        <f>IFERROR(__xludf.DUMMYFUNCTION("""COMPUTED_VALUE"""),"https://www.munzee.com/m/amundadus/1562/")</f>
        <v>https://www.munzee.com/m/amundadus/1562/</v>
      </c>
      <c r="D1323" s="47"/>
      <c r="E1323" s="47" t="b">
        <f>IFERROR(__xludf.DUMMYFUNCTION("""COMPUTED_VALUE"""),TRUE)</f>
        <v>1</v>
      </c>
      <c r="F1323" s="47" t="str">
        <f>IFERROR(__xludf.DUMMYFUNCTION("""COMPUTED_VALUE"""),"")</f>
        <v/>
      </c>
      <c r="G1323" s="47" t="str">
        <f>IFERROR(__xludf.DUMMYFUNCTION("""COMPUTED_VALUE"""),"")</f>
        <v/>
      </c>
      <c r="H1323" s="47"/>
      <c r="I1323" s="47">
        <f>IFERROR(__xludf.DUMMYFUNCTION("""COMPUTED_VALUE"""),2.0)</f>
        <v>2</v>
      </c>
      <c r="J1323" s="47" t="str">
        <f>IFERROR(__xludf.DUMMYFUNCTION("""COMPUTED_VALUE"""),"https:")</f>
        <v>https:</v>
      </c>
      <c r="K1323" s="78" t="str">
        <f>IFERROR(__xludf.DUMMYFUNCTION("""COMPUTED_VALUE"""),"www.munzee.com")</f>
        <v>www.munzee.com</v>
      </c>
      <c r="L1323" s="47" t="str">
        <f>IFERROR(__xludf.DUMMYFUNCTION("""COMPUTED_VALUE"""),"m")</f>
        <v>m</v>
      </c>
      <c r="M1323" s="47" t="str">
        <f>IFERROR(__xludf.DUMMYFUNCTION("""COMPUTED_VALUE"""),"amundadus")</f>
        <v>amundadus</v>
      </c>
    </row>
    <row r="1324">
      <c r="A1324" s="47" t="str">
        <f>IFERROR(__xludf.DUMMYFUNCTION("""COMPUTED_VALUE"""),"Virtual Raw Sienna")</f>
        <v>Virtual Raw Sienna</v>
      </c>
      <c r="B1324" s="47" t="str">
        <f>IFERROR(__xludf.DUMMYFUNCTION("""COMPUTED_VALUE"""),"Arendsoog")</f>
        <v>Arendsoog</v>
      </c>
      <c r="C1324" s="78" t="str">
        <f>IFERROR(__xludf.DUMMYFUNCTION("""COMPUTED_VALUE"""),"https://www.munzee.com/m/Arendsoog/8494")</f>
        <v>https://www.munzee.com/m/Arendsoog/8494</v>
      </c>
      <c r="D1324" s="47"/>
      <c r="E1324" s="47" t="b">
        <f>IFERROR(__xludf.DUMMYFUNCTION("""COMPUTED_VALUE"""),TRUE)</f>
        <v>1</v>
      </c>
      <c r="F1324" s="47" t="str">
        <f>IFERROR(__xludf.DUMMYFUNCTION("""COMPUTED_VALUE"""),"")</f>
        <v/>
      </c>
      <c r="G1324" s="47" t="str">
        <f>IFERROR(__xludf.DUMMYFUNCTION("""COMPUTED_VALUE"""),"")</f>
        <v/>
      </c>
      <c r="H1324" s="47"/>
      <c r="I1324" s="47">
        <f>IFERROR(__xludf.DUMMYFUNCTION("""COMPUTED_VALUE"""),2.0)</f>
        <v>2</v>
      </c>
      <c r="J1324" s="47" t="str">
        <f>IFERROR(__xludf.DUMMYFUNCTION("""COMPUTED_VALUE"""),"https:")</f>
        <v>https:</v>
      </c>
      <c r="K1324" s="78" t="str">
        <f>IFERROR(__xludf.DUMMYFUNCTION("""COMPUTED_VALUE"""),"www.munzee.com")</f>
        <v>www.munzee.com</v>
      </c>
      <c r="L1324" s="47" t="str">
        <f>IFERROR(__xludf.DUMMYFUNCTION("""COMPUTED_VALUE"""),"m")</f>
        <v>m</v>
      </c>
      <c r="M1324" s="47" t="str">
        <f>IFERROR(__xludf.DUMMYFUNCTION("""COMPUTED_VALUE"""),"Arendsoog")</f>
        <v>Arendsoog</v>
      </c>
    </row>
    <row r="1325">
      <c r="A1325" s="47" t="str">
        <f>IFERROR(__xludf.DUMMYFUNCTION("""COMPUTED_VALUE"""),"Virtual Brown")</f>
        <v>Virtual Brown</v>
      </c>
      <c r="B1325" s="47" t="str">
        <f>IFERROR(__xludf.DUMMYFUNCTION("""COMPUTED_VALUE"""),"anseldelux")</f>
        <v>anseldelux</v>
      </c>
      <c r="C1325" s="78" t="str">
        <f>IFERROR(__xludf.DUMMYFUNCTION("""COMPUTED_VALUE"""),"https://www.munzee.com/m/Anseldelux/1559/")</f>
        <v>https://www.munzee.com/m/Anseldelux/1559/</v>
      </c>
      <c r="D1325" s="47"/>
      <c r="E1325" s="47" t="b">
        <f>IFERROR(__xludf.DUMMYFUNCTION("""COMPUTED_VALUE"""),TRUE)</f>
        <v>1</v>
      </c>
      <c r="F1325" s="47" t="str">
        <f>IFERROR(__xludf.DUMMYFUNCTION("""COMPUTED_VALUE"""),"")</f>
        <v/>
      </c>
      <c r="G1325" s="47" t="str">
        <f>IFERROR(__xludf.DUMMYFUNCTION("""COMPUTED_VALUE"""),"")</f>
        <v/>
      </c>
      <c r="H1325" s="47"/>
      <c r="I1325" s="47">
        <f>IFERROR(__xludf.DUMMYFUNCTION("""COMPUTED_VALUE"""),2.0)</f>
        <v>2</v>
      </c>
      <c r="J1325" s="47" t="str">
        <f>IFERROR(__xludf.DUMMYFUNCTION("""COMPUTED_VALUE"""),"https:")</f>
        <v>https:</v>
      </c>
      <c r="K1325" s="78" t="str">
        <f>IFERROR(__xludf.DUMMYFUNCTION("""COMPUTED_VALUE"""),"www.munzee.com")</f>
        <v>www.munzee.com</v>
      </c>
      <c r="L1325" s="47" t="str">
        <f>IFERROR(__xludf.DUMMYFUNCTION("""COMPUTED_VALUE"""),"m")</f>
        <v>m</v>
      </c>
      <c r="M1325" s="47" t="str">
        <f>IFERROR(__xludf.DUMMYFUNCTION("""COMPUTED_VALUE"""),"Anseldelux")</f>
        <v>Anseldelux</v>
      </c>
    </row>
    <row r="1326">
      <c r="A1326" s="47" t="str">
        <f>IFERROR(__xludf.DUMMYFUNCTION("""COMPUTED_VALUE"""),"Virtual Brown")</f>
        <v>Virtual Brown</v>
      </c>
      <c r="B1326" s="47" t="str">
        <f>IFERROR(__xludf.DUMMYFUNCTION("""COMPUTED_VALUE"""),"Djeagle")</f>
        <v>Djeagle</v>
      </c>
      <c r="C1326" s="78" t="str">
        <f>IFERROR(__xludf.DUMMYFUNCTION("""COMPUTED_VALUE"""),"https://www.munzee.com/m/djeagle/7403/")</f>
        <v>https://www.munzee.com/m/djeagle/7403/</v>
      </c>
      <c r="D1326" s="47"/>
      <c r="E1326" s="47" t="b">
        <f>IFERROR(__xludf.DUMMYFUNCTION("""COMPUTED_VALUE"""),TRUE)</f>
        <v>1</v>
      </c>
      <c r="F1326" s="47" t="str">
        <f>IFERROR(__xludf.DUMMYFUNCTION("""COMPUTED_VALUE"""),"")</f>
        <v/>
      </c>
      <c r="G1326" s="47" t="str">
        <f>IFERROR(__xludf.DUMMYFUNCTION("""COMPUTED_VALUE"""),"")</f>
        <v/>
      </c>
      <c r="H1326" s="47"/>
      <c r="I1326" s="47">
        <f>IFERROR(__xludf.DUMMYFUNCTION("""COMPUTED_VALUE"""),2.0)</f>
        <v>2</v>
      </c>
      <c r="J1326" s="47" t="str">
        <f>IFERROR(__xludf.DUMMYFUNCTION("""COMPUTED_VALUE"""),"https:")</f>
        <v>https:</v>
      </c>
      <c r="K1326" s="78" t="str">
        <f>IFERROR(__xludf.DUMMYFUNCTION("""COMPUTED_VALUE"""),"www.munzee.com")</f>
        <v>www.munzee.com</v>
      </c>
      <c r="L1326" s="47" t="str">
        <f>IFERROR(__xludf.DUMMYFUNCTION("""COMPUTED_VALUE"""),"m")</f>
        <v>m</v>
      </c>
      <c r="M1326" s="47" t="str">
        <f>IFERROR(__xludf.DUMMYFUNCTION("""COMPUTED_VALUE"""),"djeagle")</f>
        <v>djeagle</v>
      </c>
    </row>
    <row r="1327">
      <c r="A1327" s="47" t="str">
        <f>IFERROR(__xludf.DUMMYFUNCTION("""COMPUTED_VALUE"""),"Virtual Raw Sienna")</f>
        <v>Virtual Raw Sienna</v>
      </c>
      <c r="B1327" s="47" t="str">
        <f>IFERROR(__xludf.DUMMYFUNCTION("""COMPUTED_VALUE"""),"McCormick64")</f>
        <v>McCormick64</v>
      </c>
      <c r="C1327" s="78" t="str">
        <f>IFERROR(__xludf.DUMMYFUNCTION("""COMPUTED_VALUE"""),"https://www.munzee.com/m/McCormick64/267/")</f>
        <v>https://www.munzee.com/m/McCormick64/267/</v>
      </c>
      <c r="D1327" s="47"/>
      <c r="E1327" s="47" t="b">
        <f>IFERROR(__xludf.DUMMYFUNCTION("""COMPUTED_VALUE"""),TRUE)</f>
        <v>1</v>
      </c>
      <c r="F1327" s="47" t="str">
        <f>IFERROR(__xludf.DUMMYFUNCTION("""COMPUTED_VALUE"""),"")</f>
        <v/>
      </c>
      <c r="G1327" s="47" t="str">
        <f>IFERROR(__xludf.DUMMYFUNCTION("""COMPUTED_VALUE"""),"")</f>
        <v/>
      </c>
      <c r="H1327" s="47"/>
      <c r="I1327" s="47">
        <f>IFERROR(__xludf.DUMMYFUNCTION("""COMPUTED_VALUE"""),2.0)</f>
        <v>2</v>
      </c>
      <c r="J1327" s="47" t="str">
        <f>IFERROR(__xludf.DUMMYFUNCTION("""COMPUTED_VALUE"""),"https:")</f>
        <v>https:</v>
      </c>
      <c r="K1327" s="78" t="str">
        <f>IFERROR(__xludf.DUMMYFUNCTION("""COMPUTED_VALUE"""),"www.munzee.com")</f>
        <v>www.munzee.com</v>
      </c>
      <c r="L1327" s="47" t="str">
        <f>IFERROR(__xludf.DUMMYFUNCTION("""COMPUTED_VALUE"""),"m")</f>
        <v>m</v>
      </c>
      <c r="M1327" s="47" t="str">
        <f>IFERROR(__xludf.DUMMYFUNCTION("""COMPUTED_VALUE"""),"McCormick64")</f>
        <v>McCormick64</v>
      </c>
    </row>
    <row r="1328">
      <c r="A1328" s="47" t="str">
        <f>IFERROR(__xludf.DUMMYFUNCTION("""COMPUTED_VALUE"""),"Virtual Brown")</f>
        <v>Virtual Brown</v>
      </c>
      <c r="B1328" s="47" t="str">
        <f>IFERROR(__xludf.DUMMYFUNCTION("""COMPUTED_VALUE"""),"cbf600")</f>
        <v>cbf600</v>
      </c>
      <c r="C1328" s="78" t="str">
        <f>IFERROR(__xludf.DUMMYFUNCTION("""COMPUTED_VALUE"""),"https://www.munzee.com/m/cbf600/3730/")</f>
        <v>https://www.munzee.com/m/cbf600/3730/</v>
      </c>
      <c r="D1328" s="47"/>
      <c r="E1328" s="47" t="b">
        <f>IFERROR(__xludf.DUMMYFUNCTION("""COMPUTED_VALUE"""),TRUE)</f>
        <v>1</v>
      </c>
      <c r="F1328" s="47" t="str">
        <f>IFERROR(__xludf.DUMMYFUNCTION("""COMPUTED_VALUE"""),"")</f>
        <v/>
      </c>
      <c r="G1328" s="47" t="str">
        <f>IFERROR(__xludf.DUMMYFUNCTION("""COMPUTED_VALUE"""),"")</f>
        <v/>
      </c>
      <c r="H1328" s="47"/>
      <c r="I1328" s="47">
        <f>IFERROR(__xludf.DUMMYFUNCTION("""COMPUTED_VALUE"""),2.0)</f>
        <v>2</v>
      </c>
      <c r="J1328" s="47" t="str">
        <f>IFERROR(__xludf.DUMMYFUNCTION("""COMPUTED_VALUE"""),"https:")</f>
        <v>https:</v>
      </c>
      <c r="K1328" s="78" t="str">
        <f>IFERROR(__xludf.DUMMYFUNCTION("""COMPUTED_VALUE"""),"www.munzee.com")</f>
        <v>www.munzee.com</v>
      </c>
      <c r="L1328" s="47" t="str">
        <f>IFERROR(__xludf.DUMMYFUNCTION("""COMPUTED_VALUE"""),"m")</f>
        <v>m</v>
      </c>
      <c r="M1328" s="47" t="str">
        <f>IFERROR(__xludf.DUMMYFUNCTION("""COMPUTED_VALUE"""),"cbf600")</f>
        <v>cbf600</v>
      </c>
    </row>
    <row r="1329">
      <c r="A1329" s="47" t="str">
        <f>IFERROR(__xludf.DUMMYFUNCTION("""COMPUTED_VALUE"""),"Virtual Raw Sienna")</f>
        <v>Virtual Raw Sienna</v>
      </c>
      <c r="B1329" s="47" t="str">
        <f>IFERROR(__xludf.DUMMYFUNCTION("""COMPUTED_VALUE"""),"Arendsoog")</f>
        <v>Arendsoog</v>
      </c>
      <c r="C1329" s="78" t="str">
        <f>IFERROR(__xludf.DUMMYFUNCTION("""COMPUTED_VALUE"""),"https://www.munzee.com/m/Arendsoog/8502/")</f>
        <v>https://www.munzee.com/m/Arendsoog/8502/</v>
      </c>
      <c r="D1329" s="47"/>
      <c r="E1329" s="47" t="b">
        <f>IFERROR(__xludf.DUMMYFUNCTION("""COMPUTED_VALUE"""),TRUE)</f>
        <v>1</v>
      </c>
      <c r="F1329" s="47" t="str">
        <f>IFERROR(__xludf.DUMMYFUNCTION("""COMPUTED_VALUE"""),"")</f>
        <v/>
      </c>
      <c r="G1329" s="47" t="str">
        <f>IFERROR(__xludf.DUMMYFUNCTION("""COMPUTED_VALUE"""),"")</f>
        <v/>
      </c>
      <c r="H1329" s="47"/>
      <c r="I1329" s="47">
        <f>IFERROR(__xludf.DUMMYFUNCTION("""COMPUTED_VALUE"""),2.0)</f>
        <v>2</v>
      </c>
      <c r="J1329" s="47" t="str">
        <f>IFERROR(__xludf.DUMMYFUNCTION("""COMPUTED_VALUE"""),"https:")</f>
        <v>https:</v>
      </c>
      <c r="K1329" s="78" t="str">
        <f>IFERROR(__xludf.DUMMYFUNCTION("""COMPUTED_VALUE"""),"www.munzee.com")</f>
        <v>www.munzee.com</v>
      </c>
      <c r="L1329" s="47" t="str">
        <f>IFERROR(__xludf.DUMMYFUNCTION("""COMPUTED_VALUE"""),"m")</f>
        <v>m</v>
      </c>
      <c r="M1329" s="47" t="str">
        <f>IFERROR(__xludf.DUMMYFUNCTION("""COMPUTED_VALUE"""),"Arendsoog")</f>
        <v>Arendsoog</v>
      </c>
    </row>
    <row r="1330">
      <c r="A1330" s="47" t="str">
        <f>IFERROR(__xludf.DUMMYFUNCTION("""COMPUTED_VALUE"""),"Virtual Brown")</f>
        <v>Virtual Brown</v>
      </c>
      <c r="B1330" s="47" t="str">
        <f>IFERROR(__xludf.DUMMYFUNCTION("""COMPUTED_VALUE"""),"anseldelux")</f>
        <v>anseldelux</v>
      </c>
      <c r="C1330" s="78" t="str">
        <f>IFERROR(__xludf.DUMMYFUNCTION("""COMPUTED_VALUE"""),"https://www.munzee.com/m/Anseldelux/1271/")</f>
        <v>https://www.munzee.com/m/Anseldelux/1271/</v>
      </c>
      <c r="D1330" s="47"/>
      <c r="E1330" s="47" t="b">
        <f>IFERROR(__xludf.DUMMYFUNCTION("""COMPUTED_VALUE"""),TRUE)</f>
        <v>1</v>
      </c>
      <c r="F1330" s="47" t="str">
        <f>IFERROR(__xludf.DUMMYFUNCTION("""COMPUTED_VALUE"""),"")</f>
        <v/>
      </c>
      <c r="G1330" s="47" t="str">
        <f>IFERROR(__xludf.DUMMYFUNCTION("""COMPUTED_VALUE"""),"")</f>
        <v/>
      </c>
      <c r="H1330" s="47"/>
      <c r="I1330" s="47">
        <f>IFERROR(__xludf.DUMMYFUNCTION("""COMPUTED_VALUE"""),2.0)</f>
        <v>2</v>
      </c>
      <c r="J1330" s="47" t="str">
        <f>IFERROR(__xludf.DUMMYFUNCTION("""COMPUTED_VALUE"""),"https:")</f>
        <v>https:</v>
      </c>
      <c r="K1330" s="78" t="str">
        <f>IFERROR(__xludf.DUMMYFUNCTION("""COMPUTED_VALUE"""),"www.munzee.com")</f>
        <v>www.munzee.com</v>
      </c>
      <c r="L1330" s="47" t="str">
        <f>IFERROR(__xludf.DUMMYFUNCTION("""COMPUTED_VALUE"""),"m")</f>
        <v>m</v>
      </c>
      <c r="M1330" s="47" t="str">
        <f>IFERROR(__xludf.DUMMYFUNCTION("""COMPUTED_VALUE"""),"Anseldelux")</f>
        <v>Anseldelux</v>
      </c>
    </row>
    <row r="1331">
      <c r="A1331" s="47" t="str">
        <f>IFERROR(__xludf.DUMMYFUNCTION("""COMPUTED_VALUE"""),"Virtual Brown")</f>
        <v>Virtual Brown</v>
      </c>
      <c r="B1331" s="47" t="str">
        <f>IFERROR(__xludf.DUMMYFUNCTION("""COMPUTED_VALUE"""),"Rudydennis")</f>
        <v>Rudydennis</v>
      </c>
      <c r="C1331" s="78" t="str">
        <f>IFERROR(__xludf.DUMMYFUNCTION("""COMPUTED_VALUE"""),"http://www.munzee.com/m/Rudydennis/868")</f>
        <v>http://www.munzee.com/m/Rudydennis/868</v>
      </c>
      <c r="D1331" s="47"/>
      <c r="E1331" s="47" t="b">
        <f>IFERROR(__xludf.DUMMYFUNCTION("""COMPUTED_VALUE"""),TRUE)</f>
        <v>1</v>
      </c>
      <c r="F1331" s="47" t="str">
        <f>IFERROR(__xludf.DUMMYFUNCTION("""COMPUTED_VALUE"""),"")</f>
        <v/>
      </c>
      <c r="G1331" s="47" t="str">
        <f>IFERROR(__xludf.DUMMYFUNCTION("""COMPUTED_VALUE"""),"")</f>
        <v/>
      </c>
      <c r="H1331" s="47"/>
      <c r="I1331" s="47">
        <f>IFERROR(__xludf.DUMMYFUNCTION("""COMPUTED_VALUE"""),2.0)</f>
        <v>2</v>
      </c>
      <c r="J1331" s="47" t="str">
        <f>IFERROR(__xludf.DUMMYFUNCTION("""COMPUTED_VALUE"""),"http:")</f>
        <v>http:</v>
      </c>
      <c r="K1331" s="78" t="str">
        <f>IFERROR(__xludf.DUMMYFUNCTION("""COMPUTED_VALUE"""),"www.munzee.com")</f>
        <v>www.munzee.com</v>
      </c>
      <c r="L1331" s="47" t="str">
        <f>IFERROR(__xludf.DUMMYFUNCTION("""COMPUTED_VALUE"""),"m")</f>
        <v>m</v>
      </c>
      <c r="M1331" s="47" t="str">
        <f>IFERROR(__xludf.DUMMYFUNCTION("""COMPUTED_VALUE"""),"Rudydennis")</f>
        <v>Rudydennis</v>
      </c>
    </row>
    <row r="1332">
      <c r="A1332" s="47" t="str">
        <f>IFERROR(__xludf.DUMMYFUNCTION("""COMPUTED_VALUE"""),"Virtual Brown")</f>
        <v>Virtual Brown</v>
      </c>
      <c r="B1332" s="47" t="str">
        <f>IFERROR(__xludf.DUMMYFUNCTION("""COMPUTED_VALUE"""),"crscousins")</f>
        <v>crscousins</v>
      </c>
      <c r="C1332" s="78" t="str">
        <f>IFERROR(__xludf.DUMMYFUNCTION("""COMPUTED_VALUE"""),"https://www.munzee.com/m/crscousins/7149/")</f>
        <v>https://www.munzee.com/m/crscousins/7149/</v>
      </c>
      <c r="D1332" s="47"/>
      <c r="E1332" s="47" t="b">
        <f>IFERROR(__xludf.DUMMYFUNCTION("""COMPUTED_VALUE"""),TRUE)</f>
        <v>1</v>
      </c>
      <c r="F1332" s="47" t="str">
        <f>IFERROR(__xludf.DUMMYFUNCTION("""COMPUTED_VALUE"""),"")</f>
        <v/>
      </c>
      <c r="G1332" s="47" t="str">
        <f>IFERROR(__xludf.DUMMYFUNCTION("""COMPUTED_VALUE"""),"")</f>
        <v/>
      </c>
      <c r="H1332" s="47"/>
      <c r="I1332" s="47">
        <f>IFERROR(__xludf.DUMMYFUNCTION("""COMPUTED_VALUE"""),2.0)</f>
        <v>2</v>
      </c>
      <c r="J1332" s="47" t="str">
        <f>IFERROR(__xludf.DUMMYFUNCTION("""COMPUTED_VALUE"""),"https:")</f>
        <v>https:</v>
      </c>
      <c r="K1332" s="78" t="str">
        <f>IFERROR(__xludf.DUMMYFUNCTION("""COMPUTED_VALUE"""),"www.munzee.com")</f>
        <v>www.munzee.com</v>
      </c>
      <c r="L1332" s="47" t="str">
        <f>IFERROR(__xludf.DUMMYFUNCTION("""COMPUTED_VALUE"""),"m")</f>
        <v>m</v>
      </c>
      <c r="M1332" s="47" t="str">
        <f>IFERROR(__xludf.DUMMYFUNCTION("""COMPUTED_VALUE"""),"crscousins")</f>
        <v>crscousins</v>
      </c>
    </row>
    <row r="1333">
      <c r="A1333" s="47" t="str">
        <f>IFERROR(__xludf.DUMMYFUNCTION("""COMPUTED_VALUE"""),"Virtual Brown")</f>
        <v>Virtual Brown</v>
      </c>
      <c r="B1333" s="47" t="str">
        <f>IFERROR(__xludf.DUMMYFUNCTION("""COMPUTED_VALUE"""),"Anetzet ")</f>
        <v>Anetzet </v>
      </c>
      <c r="C1333" s="78" t="str">
        <f>IFERROR(__xludf.DUMMYFUNCTION("""COMPUTED_VALUE"""),"https://www.munzee.com/m/Anetzet/6094/")</f>
        <v>https://www.munzee.com/m/Anetzet/6094/</v>
      </c>
      <c r="D1333" s="47"/>
      <c r="E1333" s="47" t="b">
        <f>IFERROR(__xludf.DUMMYFUNCTION("""COMPUTED_VALUE"""),TRUE)</f>
        <v>1</v>
      </c>
      <c r="F1333" s="47" t="str">
        <f>IFERROR(__xludf.DUMMYFUNCTION("""COMPUTED_VALUE"""),"")</f>
        <v/>
      </c>
      <c r="G1333" s="47" t="str">
        <f>IFERROR(__xludf.DUMMYFUNCTION("""COMPUTED_VALUE"""),"")</f>
        <v/>
      </c>
      <c r="H1333" s="47"/>
      <c r="I1333" s="47">
        <f>IFERROR(__xludf.DUMMYFUNCTION("""COMPUTED_VALUE"""),2.0)</f>
        <v>2</v>
      </c>
      <c r="J1333" s="47" t="str">
        <f>IFERROR(__xludf.DUMMYFUNCTION("""COMPUTED_VALUE"""),"https:")</f>
        <v>https:</v>
      </c>
      <c r="K1333" s="78" t="str">
        <f>IFERROR(__xludf.DUMMYFUNCTION("""COMPUTED_VALUE"""),"www.munzee.com")</f>
        <v>www.munzee.com</v>
      </c>
      <c r="L1333" s="47" t="str">
        <f>IFERROR(__xludf.DUMMYFUNCTION("""COMPUTED_VALUE"""),"m")</f>
        <v>m</v>
      </c>
      <c r="M1333" s="47" t="str">
        <f>IFERROR(__xludf.DUMMYFUNCTION("""COMPUTED_VALUE"""),"Anetzet")</f>
        <v>Anetzet</v>
      </c>
    </row>
    <row r="1334">
      <c r="A1334" s="47" t="str">
        <f>IFERROR(__xludf.DUMMYFUNCTION("""COMPUTED_VALUE"""),"Virtual Brown")</f>
        <v>Virtual Brown</v>
      </c>
      <c r="B1334" s="47" t="str">
        <f>IFERROR(__xludf.DUMMYFUNCTION("""COMPUTED_VALUE"""),"sverlaan")</f>
        <v>sverlaan</v>
      </c>
      <c r="C1334" s="78" t="str">
        <f>IFERROR(__xludf.DUMMYFUNCTION("""COMPUTED_VALUE"""),"https://www.munzee.com/m/sverlaan/7200/")</f>
        <v>https://www.munzee.com/m/sverlaan/7200/</v>
      </c>
      <c r="D1334" s="47"/>
      <c r="E1334" s="47" t="b">
        <f>IFERROR(__xludf.DUMMYFUNCTION("""COMPUTED_VALUE"""),TRUE)</f>
        <v>1</v>
      </c>
      <c r="F1334" s="47"/>
      <c r="G1334" s="47" t="str">
        <f>IFERROR(__xludf.DUMMYFUNCTION("""COMPUTED_VALUE"""),"")</f>
        <v/>
      </c>
      <c r="H1334" s="47"/>
      <c r="I1334" s="47">
        <f>IFERROR(__xludf.DUMMYFUNCTION("""COMPUTED_VALUE"""),2.0)</f>
        <v>2</v>
      </c>
      <c r="J1334" s="47" t="str">
        <f>IFERROR(__xludf.DUMMYFUNCTION("""COMPUTED_VALUE"""),"https:")</f>
        <v>https:</v>
      </c>
      <c r="K1334" s="78" t="str">
        <f>IFERROR(__xludf.DUMMYFUNCTION("""COMPUTED_VALUE"""),"www.munzee.com")</f>
        <v>www.munzee.com</v>
      </c>
      <c r="L1334" s="47" t="str">
        <f>IFERROR(__xludf.DUMMYFUNCTION("""COMPUTED_VALUE"""),"m")</f>
        <v>m</v>
      </c>
      <c r="M1334" s="47" t="str">
        <f>IFERROR(__xludf.DUMMYFUNCTION("""COMPUTED_VALUE"""),"sverlaan")</f>
        <v>sverlaan</v>
      </c>
    </row>
    <row r="1335">
      <c r="A1335" s="47" t="str">
        <f>IFERROR(__xludf.DUMMYFUNCTION("""COMPUTED_VALUE"""),"Virtual Brown")</f>
        <v>Virtual Brown</v>
      </c>
      <c r="B1335" s="47" t="str">
        <f>IFERROR(__xludf.DUMMYFUNCTION("""COMPUTED_VALUE"""),"Bisquick2")</f>
        <v>Bisquick2</v>
      </c>
      <c r="C1335" s="78" t="str">
        <f>IFERROR(__xludf.DUMMYFUNCTION("""COMPUTED_VALUE"""),"https://www.munzee.com/m/Bisquick2/7126/")</f>
        <v>https://www.munzee.com/m/Bisquick2/7126/</v>
      </c>
      <c r="D1335" s="47"/>
      <c r="E1335" s="47" t="b">
        <f>IFERROR(__xludf.DUMMYFUNCTION("""COMPUTED_VALUE"""),TRUE)</f>
        <v>1</v>
      </c>
      <c r="F1335" s="47" t="str">
        <f>IFERROR(__xludf.DUMMYFUNCTION("""COMPUTED_VALUE"""),"")</f>
        <v/>
      </c>
      <c r="G1335" s="47" t="str">
        <f>IFERROR(__xludf.DUMMYFUNCTION("""COMPUTED_VALUE"""),"")</f>
        <v/>
      </c>
      <c r="H1335" s="47"/>
      <c r="I1335" s="47">
        <f>IFERROR(__xludf.DUMMYFUNCTION("""COMPUTED_VALUE"""),2.0)</f>
        <v>2</v>
      </c>
      <c r="J1335" s="47" t="str">
        <f>IFERROR(__xludf.DUMMYFUNCTION("""COMPUTED_VALUE"""),"https:")</f>
        <v>https:</v>
      </c>
      <c r="K1335" s="78" t="str">
        <f>IFERROR(__xludf.DUMMYFUNCTION("""COMPUTED_VALUE"""),"www.munzee.com")</f>
        <v>www.munzee.com</v>
      </c>
      <c r="L1335" s="47" t="str">
        <f>IFERROR(__xludf.DUMMYFUNCTION("""COMPUTED_VALUE"""),"m")</f>
        <v>m</v>
      </c>
      <c r="M1335" s="47" t="str">
        <f>IFERROR(__xludf.DUMMYFUNCTION("""COMPUTED_VALUE"""),"Bisquick2")</f>
        <v>Bisquick2</v>
      </c>
    </row>
    <row r="1336">
      <c r="A1336" s="47" t="str">
        <f>IFERROR(__xludf.DUMMYFUNCTION("""COMPUTED_VALUE"""),"Virtual Brown")</f>
        <v>Virtual Brown</v>
      </c>
      <c r="B1336" s="47" t="str">
        <f>IFERROR(__xludf.DUMMYFUNCTION("""COMPUTED_VALUE"""),"wally62")</f>
        <v>wally62</v>
      </c>
      <c r="C1336" s="78" t="str">
        <f>IFERROR(__xludf.DUMMYFUNCTION("""COMPUTED_VALUE"""),"https://www.munzee.com/m/wally62/5729/")</f>
        <v>https://www.munzee.com/m/wally62/5729/</v>
      </c>
      <c r="D1336" s="47"/>
      <c r="E1336" s="47" t="b">
        <f>IFERROR(__xludf.DUMMYFUNCTION("""COMPUTED_VALUE"""),TRUE)</f>
        <v>1</v>
      </c>
      <c r="F1336" s="47" t="str">
        <f>IFERROR(__xludf.DUMMYFUNCTION("""COMPUTED_VALUE"""),"")</f>
        <v/>
      </c>
      <c r="G1336" s="47" t="str">
        <f>IFERROR(__xludf.DUMMYFUNCTION("""COMPUTED_VALUE"""),"")</f>
        <v/>
      </c>
      <c r="H1336" s="47"/>
      <c r="I1336" s="47">
        <f>IFERROR(__xludf.DUMMYFUNCTION("""COMPUTED_VALUE"""),2.0)</f>
        <v>2</v>
      </c>
      <c r="J1336" s="47" t="str">
        <f>IFERROR(__xludf.DUMMYFUNCTION("""COMPUTED_VALUE"""),"https:")</f>
        <v>https:</v>
      </c>
      <c r="K1336" s="78" t="str">
        <f>IFERROR(__xludf.DUMMYFUNCTION("""COMPUTED_VALUE"""),"www.munzee.com")</f>
        <v>www.munzee.com</v>
      </c>
      <c r="L1336" s="47" t="str">
        <f>IFERROR(__xludf.DUMMYFUNCTION("""COMPUTED_VALUE"""),"m")</f>
        <v>m</v>
      </c>
      <c r="M1336" s="47" t="str">
        <f>IFERROR(__xludf.DUMMYFUNCTION("""COMPUTED_VALUE"""),"wally62")</f>
        <v>wally62</v>
      </c>
    </row>
    <row r="1337">
      <c r="A1337" s="47" t="str">
        <f>IFERROR(__xludf.DUMMYFUNCTION("""COMPUTED_VALUE"""),"Virtual Raw Sienna")</f>
        <v>Virtual Raw Sienna</v>
      </c>
      <c r="B1337" s="47" t="str">
        <f>IFERROR(__xludf.DUMMYFUNCTION("""COMPUTED_VALUE"""),"Djeagle")</f>
        <v>Djeagle</v>
      </c>
      <c r="C1337" s="78" t="str">
        <f>IFERROR(__xludf.DUMMYFUNCTION("""COMPUTED_VALUE"""),"https://www.munzee.com/m/djeagle/7363/")</f>
        <v>https://www.munzee.com/m/djeagle/7363/</v>
      </c>
      <c r="D1337" s="47"/>
      <c r="E1337" s="47" t="b">
        <f>IFERROR(__xludf.DUMMYFUNCTION("""COMPUTED_VALUE"""),TRUE)</f>
        <v>1</v>
      </c>
      <c r="F1337" s="47" t="str">
        <f>IFERROR(__xludf.DUMMYFUNCTION("""COMPUTED_VALUE"""),"")</f>
        <v/>
      </c>
      <c r="G1337" s="47" t="str">
        <f>IFERROR(__xludf.DUMMYFUNCTION("""COMPUTED_VALUE"""),"")</f>
        <v/>
      </c>
      <c r="H1337" s="47"/>
      <c r="I1337" s="47">
        <f>IFERROR(__xludf.DUMMYFUNCTION("""COMPUTED_VALUE"""),2.0)</f>
        <v>2</v>
      </c>
      <c r="J1337" s="47" t="str">
        <f>IFERROR(__xludf.DUMMYFUNCTION("""COMPUTED_VALUE"""),"https:")</f>
        <v>https:</v>
      </c>
      <c r="K1337" s="78" t="str">
        <f>IFERROR(__xludf.DUMMYFUNCTION("""COMPUTED_VALUE"""),"www.munzee.com")</f>
        <v>www.munzee.com</v>
      </c>
      <c r="L1337" s="47" t="str">
        <f>IFERROR(__xludf.DUMMYFUNCTION("""COMPUTED_VALUE"""),"m")</f>
        <v>m</v>
      </c>
      <c r="M1337" s="47" t="str">
        <f>IFERROR(__xludf.DUMMYFUNCTION("""COMPUTED_VALUE"""),"djeagle")</f>
        <v>djeagle</v>
      </c>
    </row>
    <row r="1338">
      <c r="A1338" s="47" t="str">
        <f>IFERROR(__xludf.DUMMYFUNCTION("""COMPUTED_VALUE"""),"Virtual Brown")</f>
        <v>Virtual Brown</v>
      </c>
      <c r="B1338" s="47" t="str">
        <f>IFERROR(__xludf.DUMMYFUNCTION("""COMPUTED_VALUE"""),"Franca")</f>
        <v>Franca</v>
      </c>
      <c r="C1338" s="78" t="str">
        <f>IFERROR(__xludf.DUMMYFUNCTION("""COMPUTED_VALUE"""),"https://www.munzee.com/m/Franca/3143/")</f>
        <v>https://www.munzee.com/m/Franca/3143/</v>
      </c>
      <c r="D1338" s="47"/>
      <c r="E1338" s="47" t="b">
        <f>IFERROR(__xludf.DUMMYFUNCTION("""COMPUTED_VALUE"""),TRUE)</f>
        <v>1</v>
      </c>
      <c r="F1338" s="47" t="str">
        <f>IFERROR(__xludf.DUMMYFUNCTION("""COMPUTED_VALUE"""),"")</f>
        <v/>
      </c>
      <c r="G1338" s="47" t="str">
        <f>IFERROR(__xludf.DUMMYFUNCTION("""COMPUTED_VALUE"""),"")</f>
        <v/>
      </c>
      <c r="H1338" s="47"/>
      <c r="I1338" s="47">
        <f>IFERROR(__xludf.DUMMYFUNCTION("""COMPUTED_VALUE"""),2.0)</f>
        <v>2</v>
      </c>
      <c r="J1338" s="47" t="str">
        <f>IFERROR(__xludf.DUMMYFUNCTION("""COMPUTED_VALUE"""),"https:")</f>
        <v>https:</v>
      </c>
      <c r="K1338" s="78" t="str">
        <f>IFERROR(__xludf.DUMMYFUNCTION("""COMPUTED_VALUE"""),"www.munzee.com")</f>
        <v>www.munzee.com</v>
      </c>
      <c r="L1338" s="47" t="str">
        <f>IFERROR(__xludf.DUMMYFUNCTION("""COMPUTED_VALUE"""),"m")</f>
        <v>m</v>
      </c>
      <c r="M1338" s="47" t="str">
        <f>IFERROR(__xludf.DUMMYFUNCTION("""COMPUTED_VALUE"""),"Franca")</f>
        <v>Franca</v>
      </c>
    </row>
    <row r="1339">
      <c r="A1339" s="47" t="str">
        <f>IFERROR(__xludf.DUMMYFUNCTION("""COMPUTED_VALUE"""),"Virtual Brown")</f>
        <v>Virtual Brown</v>
      </c>
      <c r="B1339" s="47" t="str">
        <f>IFERROR(__xludf.DUMMYFUNCTION("""COMPUTED_VALUE"""),"girlteddy5")</f>
        <v>girlteddy5</v>
      </c>
      <c r="C1339" s="78" t="str">
        <f>IFERROR(__xludf.DUMMYFUNCTION("""COMPUTED_VALUE"""),"https://www.munzee.com/m/Girlteddy5/110/")</f>
        <v>https://www.munzee.com/m/Girlteddy5/110/</v>
      </c>
      <c r="D1339" s="47"/>
      <c r="E1339" s="47" t="b">
        <f>IFERROR(__xludf.DUMMYFUNCTION("""COMPUTED_VALUE"""),TRUE)</f>
        <v>1</v>
      </c>
      <c r="F1339" s="47" t="str">
        <f>IFERROR(__xludf.DUMMYFUNCTION("""COMPUTED_VALUE"""),"")</f>
        <v/>
      </c>
      <c r="G1339" s="47" t="str">
        <f>IFERROR(__xludf.DUMMYFUNCTION("""COMPUTED_VALUE"""),"")</f>
        <v/>
      </c>
      <c r="H1339" s="47"/>
      <c r="I1339" s="47">
        <f>IFERROR(__xludf.DUMMYFUNCTION("""COMPUTED_VALUE"""),2.0)</f>
        <v>2</v>
      </c>
      <c r="J1339" s="47" t="str">
        <f>IFERROR(__xludf.DUMMYFUNCTION("""COMPUTED_VALUE"""),"https:")</f>
        <v>https:</v>
      </c>
      <c r="K1339" s="78" t="str">
        <f>IFERROR(__xludf.DUMMYFUNCTION("""COMPUTED_VALUE"""),"www.munzee.com")</f>
        <v>www.munzee.com</v>
      </c>
      <c r="L1339" s="47" t="str">
        <f>IFERROR(__xludf.DUMMYFUNCTION("""COMPUTED_VALUE"""),"m")</f>
        <v>m</v>
      </c>
      <c r="M1339" s="47" t="str">
        <f>IFERROR(__xludf.DUMMYFUNCTION("""COMPUTED_VALUE"""),"Girlteddy5")</f>
        <v>Girlteddy5</v>
      </c>
    </row>
    <row r="1340">
      <c r="A1340" s="47" t="str">
        <f>IFERROR(__xludf.DUMMYFUNCTION("""COMPUTED_VALUE"""),"Virtual Raw Sienna")</f>
        <v>Virtual Raw Sienna</v>
      </c>
      <c r="B1340" s="47" t="str">
        <f>IFERROR(__xludf.DUMMYFUNCTION("""COMPUTED_VALUE"""),"MeanderingMonkeys")</f>
        <v>MeanderingMonkeys</v>
      </c>
      <c r="C1340" s="78" t="str">
        <f>IFERROR(__xludf.DUMMYFUNCTION("""COMPUTED_VALUE"""),"https://www.munzee.com/m/MeanderingMonkeys/22568/")</f>
        <v>https://www.munzee.com/m/MeanderingMonkeys/22568/</v>
      </c>
      <c r="D1340" s="47"/>
      <c r="E1340" s="47" t="b">
        <f>IFERROR(__xludf.DUMMYFUNCTION("""COMPUTED_VALUE"""),TRUE)</f>
        <v>1</v>
      </c>
      <c r="F1340" s="47" t="str">
        <f>IFERROR(__xludf.DUMMYFUNCTION("""COMPUTED_VALUE"""),"")</f>
        <v/>
      </c>
      <c r="G1340" s="47" t="str">
        <f>IFERROR(__xludf.DUMMYFUNCTION("""COMPUTED_VALUE"""),"")</f>
        <v/>
      </c>
      <c r="H1340" s="47"/>
      <c r="I1340" s="47">
        <f>IFERROR(__xludf.DUMMYFUNCTION("""COMPUTED_VALUE"""),2.0)</f>
        <v>2</v>
      </c>
      <c r="J1340" s="47" t="str">
        <f>IFERROR(__xludf.DUMMYFUNCTION("""COMPUTED_VALUE"""),"https:")</f>
        <v>https:</v>
      </c>
      <c r="K1340" s="78" t="str">
        <f>IFERROR(__xludf.DUMMYFUNCTION("""COMPUTED_VALUE"""),"www.munzee.com")</f>
        <v>www.munzee.com</v>
      </c>
      <c r="L1340" s="47" t="str">
        <f>IFERROR(__xludf.DUMMYFUNCTION("""COMPUTED_VALUE"""),"m")</f>
        <v>m</v>
      </c>
      <c r="M1340" s="47" t="str">
        <f>IFERROR(__xludf.DUMMYFUNCTION("""COMPUTED_VALUE"""),"MeanderingMonkeys")</f>
        <v>MeanderingMonkeys</v>
      </c>
    </row>
    <row r="1341">
      <c r="A1341" s="47" t="str">
        <f>IFERROR(__xludf.DUMMYFUNCTION("""COMPUTED_VALUE"""),"Virtual Brown")</f>
        <v>Virtual Brown</v>
      </c>
      <c r="B1341" s="47" t="str">
        <f>IFERROR(__xludf.DUMMYFUNCTION("""COMPUTED_VALUE"""),"TheFrog")</f>
        <v>TheFrog</v>
      </c>
      <c r="C1341" s="78" t="str">
        <f>IFERROR(__xludf.DUMMYFUNCTION("""COMPUTED_VALUE"""),"https://www.munzee.com/m/TheFrog/5822/")</f>
        <v>https://www.munzee.com/m/TheFrog/5822/</v>
      </c>
      <c r="D1341" s="47"/>
      <c r="E1341" s="47" t="b">
        <f>IFERROR(__xludf.DUMMYFUNCTION("""COMPUTED_VALUE"""),TRUE)</f>
        <v>1</v>
      </c>
      <c r="F1341" s="47" t="str">
        <f>IFERROR(__xludf.DUMMYFUNCTION("""COMPUTED_VALUE"""),"")</f>
        <v/>
      </c>
      <c r="G1341" s="47" t="str">
        <f>IFERROR(__xludf.DUMMYFUNCTION("""COMPUTED_VALUE"""),"")</f>
        <v/>
      </c>
      <c r="H1341" s="47"/>
      <c r="I1341" s="47">
        <f>IFERROR(__xludf.DUMMYFUNCTION("""COMPUTED_VALUE"""),2.0)</f>
        <v>2</v>
      </c>
      <c r="J1341" s="47" t="str">
        <f>IFERROR(__xludf.DUMMYFUNCTION("""COMPUTED_VALUE"""),"https:")</f>
        <v>https:</v>
      </c>
      <c r="K1341" s="78" t="str">
        <f>IFERROR(__xludf.DUMMYFUNCTION("""COMPUTED_VALUE"""),"www.munzee.com")</f>
        <v>www.munzee.com</v>
      </c>
      <c r="L1341" s="47" t="str">
        <f>IFERROR(__xludf.DUMMYFUNCTION("""COMPUTED_VALUE"""),"m")</f>
        <v>m</v>
      </c>
      <c r="M1341" s="47" t="str">
        <f>IFERROR(__xludf.DUMMYFUNCTION("""COMPUTED_VALUE"""),"TheFrog")</f>
        <v>TheFrog</v>
      </c>
    </row>
    <row r="1342">
      <c r="A1342" s="47" t="str">
        <f>IFERROR(__xludf.DUMMYFUNCTION("""COMPUTED_VALUE"""),"Virtual Brown")</f>
        <v>Virtual Brown</v>
      </c>
      <c r="B1342" s="47" t="str">
        <f>IFERROR(__xludf.DUMMYFUNCTION("""COMPUTED_VALUE"""),"123xilef")</f>
        <v>123xilef</v>
      </c>
      <c r="C1342" s="78" t="str">
        <f>IFERROR(__xludf.DUMMYFUNCTION("""COMPUTED_VALUE"""),"https://www.munzee.com/m/123xilef/13723/")</f>
        <v>https://www.munzee.com/m/123xilef/13723/</v>
      </c>
      <c r="D1342" s="47"/>
      <c r="E1342" s="47" t="b">
        <f>IFERROR(__xludf.DUMMYFUNCTION("""COMPUTED_VALUE"""),TRUE)</f>
        <v>1</v>
      </c>
      <c r="F1342" s="47" t="str">
        <f>IFERROR(__xludf.DUMMYFUNCTION("""COMPUTED_VALUE"""),"")</f>
        <v/>
      </c>
      <c r="G1342" s="47" t="str">
        <f>IFERROR(__xludf.DUMMYFUNCTION("""COMPUTED_VALUE"""),"")</f>
        <v/>
      </c>
      <c r="H1342" s="47"/>
      <c r="I1342" s="47">
        <f>IFERROR(__xludf.DUMMYFUNCTION("""COMPUTED_VALUE"""),2.0)</f>
        <v>2</v>
      </c>
      <c r="J1342" s="47" t="str">
        <f>IFERROR(__xludf.DUMMYFUNCTION("""COMPUTED_VALUE"""),"https:")</f>
        <v>https:</v>
      </c>
      <c r="K1342" s="78" t="str">
        <f>IFERROR(__xludf.DUMMYFUNCTION("""COMPUTED_VALUE"""),"www.munzee.com")</f>
        <v>www.munzee.com</v>
      </c>
      <c r="L1342" s="47" t="str">
        <f>IFERROR(__xludf.DUMMYFUNCTION("""COMPUTED_VALUE"""),"m")</f>
        <v>m</v>
      </c>
      <c r="M1342" s="47" t="str">
        <f>IFERROR(__xludf.DUMMYFUNCTION("""COMPUTED_VALUE"""),"123xilef")</f>
        <v>123xilef</v>
      </c>
    </row>
    <row r="1343">
      <c r="A1343" s="47" t="str">
        <f>IFERROR(__xludf.DUMMYFUNCTION("""COMPUTED_VALUE"""),"Virtual Raw Sienna")</f>
        <v>Virtual Raw Sienna</v>
      </c>
      <c r="B1343" s="47" t="str">
        <f>IFERROR(__xludf.DUMMYFUNCTION("""COMPUTED_VALUE"""),"Anetzet ")</f>
        <v>Anetzet </v>
      </c>
      <c r="C1343" s="78" t="str">
        <f>IFERROR(__xludf.DUMMYFUNCTION("""COMPUTED_VALUE"""),"https://www.munzee.com/m/Anetzet/4998/")</f>
        <v>https://www.munzee.com/m/Anetzet/4998/</v>
      </c>
      <c r="D1343" s="47"/>
      <c r="E1343" s="47" t="b">
        <f>IFERROR(__xludf.DUMMYFUNCTION("""COMPUTED_VALUE"""),TRUE)</f>
        <v>1</v>
      </c>
      <c r="F1343" s="47" t="str">
        <f>IFERROR(__xludf.DUMMYFUNCTION("""COMPUTED_VALUE"""),"")</f>
        <v/>
      </c>
      <c r="G1343" s="47" t="str">
        <f>IFERROR(__xludf.DUMMYFUNCTION("""COMPUTED_VALUE"""),"")</f>
        <v/>
      </c>
      <c r="H1343" s="47"/>
      <c r="I1343" s="47">
        <f>IFERROR(__xludf.DUMMYFUNCTION("""COMPUTED_VALUE"""),2.0)</f>
        <v>2</v>
      </c>
      <c r="J1343" s="47" t="str">
        <f>IFERROR(__xludf.DUMMYFUNCTION("""COMPUTED_VALUE"""),"https:")</f>
        <v>https:</v>
      </c>
      <c r="K1343" s="78" t="str">
        <f>IFERROR(__xludf.DUMMYFUNCTION("""COMPUTED_VALUE"""),"www.munzee.com")</f>
        <v>www.munzee.com</v>
      </c>
      <c r="L1343" s="47" t="str">
        <f>IFERROR(__xludf.DUMMYFUNCTION("""COMPUTED_VALUE"""),"m")</f>
        <v>m</v>
      </c>
      <c r="M1343" s="47" t="str">
        <f>IFERROR(__xludf.DUMMYFUNCTION("""COMPUTED_VALUE"""),"Anetzet")</f>
        <v>Anetzet</v>
      </c>
    </row>
    <row r="1344">
      <c r="A1344" s="47" t="str">
        <f>IFERROR(__xludf.DUMMYFUNCTION("""COMPUTED_VALUE"""),"Virtual Brown")</f>
        <v>Virtual Brown</v>
      </c>
      <c r="B1344" s="47" t="str">
        <f>IFERROR(__xludf.DUMMYFUNCTION("""COMPUTED_VALUE"""),"Amundadus ")</f>
        <v>Amundadus </v>
      </c>
      <c r="C1344" s="78" t="str">
        <f>IFERROR(__xludf.DUMMYFUNCTION("""COMPUTED_VALUE"""),"https://www.munzee.com/m/amundadus/1541/")</f>
        <v>https://www.munzee.com/m/amundadus/1541/</v>
      </c>
      <c r="D1344" s="47"/>
      <c r="E1344" s="47" t="b">
        <f>IFERROR(__xludf.DUMMYFUNCTION("""COMPUTED_VALUE"""),TRUE)</f>
        <v>1</v>
      </c>
      <c r="F1344" s="47" t="str">
        <f>IFERROR(__xludf.DUMMYFUNCTION("""COMPUTED_VALUE"""),"")</f>
        <v/>
      </c>
      <c r="G1344" s="47" t="str">
        <f>IFERROR(__xludf.DUMMYFUNCTION("""COMPUTED_VALUE"""),"")</f>
        <v/>
      </c>
      <c r="H1344" s="47"/>
      <c r="I1344" s="47">
        <f>IFERROR(__xludf.DUMMYFUNCTION("""COMPUTED_VALUE"""),2.0)</f>
        <v>2</v>
      </c>
      <c r="J1344" s="47" t="str">
        <f>IFERROR(__xludf.DUMMYFUNCTION("""COMPUTED_VALUE"""),"https:")</f>
        <v>https:</v>
      </c>
      <c r="K1344" s="78" t="str">
        <f>IFERROR(__xludf.DUMMYFUNCTION("""COMPUTED_VALUE"""),"www.munzee.com")</f>
        <v>www.munzee.com</v>
      </c>
      <c r="L1344" s="47" t="str">
        <f>IFERROR(__xludf.DUMMYFUNCTION("""COMPUTED_VALUE"""),"m")</f>
        <v>m</v>
      </c>
      <c r="M1344" s="47" t="str">
        <f>IFERROR(__xludf.DUMMYFUNCTION("""COMPUTED_VALUE"""),"amundadus")</f>
        <v>amundadus</v>
      </c>
    </row>
    <row r="1345">
      <c r="A1345" s="47" t="str">
        <f>IFERROR(__xludf.DUMMYFUNCTION("""COMPUTED_VALUE"""),"Virtual Brown")</f>
        <v>Virtual Brown</v>
      </c>
      <c r="B1345" s="47" t="str">
        <f>IFERROR(__xludf.DUMMYFUNCTION("""COMPUTED_VALUE"""),"sverlaan")</f>
        <v>sverlaan</v>
      </c>
      <c r="C1345" s="78" t="str">
        <f>IFERROR(__xludf.DUMMYFUNCTION("""COMPUTED_VALUE"""),"https://www.munzee.com/m/sverlaan/7197/")</f>
        <v>https://www.munzee.com/m/sverlaan/7197/</v>
      </c>
      <c r="D1345" s="47"/>
      <c r="E1345" s="47" t="b">
        <f>IFERROR(__xludf.DUMMYFUNCTION("""COMPUTED_VALUE"""),TRUE)</f>
        <v>1</v>
      </c>
      <c r="F1345" s="47"/>
      <c r="G1345" s="47" t="str">
        <f>IFERROR(__xludf.DUMMYFUNCTION("""COMPUTED_VALUE"""),"")</f>
        <v/>
      </c>
      <c r="H1345" s="47"/>
      <c r="I1345" s="47">
        <f>IFERROR(__xludf.DUMMYFUNCTION("""COMPUTED_VALUE"""),2.0)</f>
        <v>2</v>
      </c>
      <c r="J1345" s="47" t="str">
        <f>IFERROR(__xludf.DUMMYFUNCTION("""COMPUTED_VALUE"""),"https:")</f>
        <v>https:</v>
      </c>
      <c r="K1345" s="78" t="str">
        <f>IFERROR(__xludf.DUMMYFUNCTION("""COMPUTED_VALUE"""),"www.munzee.com")</f>
        <v>www.munzee.com</v>
      </c>
      <c r="L1345" s="47" t="str">
        <f>IFERROR(__xludf.DUMMYFUNCTION("""COMPUTED_VALUE"""),"m")</f>
        <v>m</v>
      </c>
      <c r="M1345" s="47" t="str">
        <f>IFERROR(__xludf.DUMMYFUNCTION("""COMPUTED_VALUE"""),"sverlaan")</f>
        <v>sverlaan</v>
      </c>
    </row>
    <row r="1346">
      <c r="A1346" s="47" t="str">
        <f>IFERROR(__xludf.DUMMYFUNCTION("""COMPUTED_VALUE"""),"Virtual Brown")</f>
        <v>Virtual Brown</v>
      </c>
      <c r="B1346" s="47" t="str">
        <f>IFERROR(__xludf.DUMMYFUNCTION("""COMPUTED_VALUE"""),"Chaotix")</f>
        <v>Chaotix</v>
      </c>
      <c r="C1346" s="78" t="str">
        <f>IFERROR(__xludf.DUMMYFUNCTION("""COMPUTED_VALUE"""),"https://www.munzee.com/m/Chaotix/578/")</f>
        <v>https://www.munzee.com/m/Chaotix/578/</v>
      </c>
      <c r="D1346" s="47"/>
      <c r="E1346" s="47" t="b">
        <f>IFERROR(__xludf.DUMMYFUNCTION("""COMPUTED_VALUE"""),TRUE)</f>
        <v>1</v>
      </c>
      <c r="F1346" s="47" t="str">
        <f>IFERROR(__xludf.DUMMYFUNCTION("""COMPUTED_VALUE"""),"")</f>
        <v/>
      </c>
      <c r="G1346" s="47" t="str">
        <f>IFERROR(__xludf.DUMMYFUNCTION("""COMPUTED_VALUE"""),"")</f>
        <v/>
      </c>
      <c r="H1346" s="47"/>
      <c r="I1346" s="47">
        <f>IFERROR(__xludf.DUMMYFUNCTION("""COMPUTED_VALUE"""),2.0)</f>
        <v>2</v>
      </c>
      <c r="J1346" s="47" t="str">
        <f>IFERROR(__xludf.DUMMYFUNCTION("""COMPUTED_VALUE"""),"https:")</f>
        <v>https:</v>
      </c>
      <c r="K1346" s="78" t="str">
        <f>IFERROR(__xludf.DUMMYFUNCTION("""COMPUTED_VALUE"""),"www.munzee.com")</f>
        <v>www.munzee.com</v>
      </c>
      <c r="L1346" s="47" t="str">
        <f>IFERROR(__xludf.DUMMYFUNCTION("""COMPUTED_VALUE"""),"m")</f>
        <v>m</v>
      </c>
      <c r="M1346" s="47" t="str">
        <f>IFERROR(__xludf.DUMMYFUNCTION("""COMPUTED_VALUE"""),"Chaotix")</f>
        <v>Chaotix</v>
      </c>
    </row>
    <row r="1347">
      <c r="A1347" s="47" t="str">
        <f>IFERROR(__xludf.DUMMYFUNCTION("""COMPUTED_VALUE"""),"Virtual Brown")</f>
        <v>Virtual Brown</v>
      </c>
      <c r="B1347" s="47" t="str">
        <f>IFERROR(__xludf.DUMMYFUNCTION("""COMPUTED_VALUE"""),"Djeagle")</f>
        <v>Djeagle</v>
      </c>
      <c r="C1347" s="78" t="str">
        <f>IFERROR(__xludf.DUMMYFUNCTION("""COMPUTED_VALUE"""),"https://www.munzee.com/m/djeagle/7361/")</f>
        <v>https://www.munzee.com/m/djeagle/7361/</v>
      </c>
      <c r="D1347" s="47"/>
      <c r="E1347" s="47" t="b">
        <f>IFERROR(__xludf.DUMMYFUNCTION("""COMPUTED_VALUE"""),TRUE)</f>
        <v>1</v>
      </c>
      <c r="F1347" s="47" t="str">
        <f>IFERROR(__xludf.DUMMYFUNCTION("""COMPUTED_VALUE"""),"")</f>
        <v/>
      </c>
      <c r="G1347" s="47" t="str">
        <f>IFERROR(__xludf.DUMMYFUNCTION("""COMPUTED_VALUE"""),"")</f>
        <v/>
      </c>
      <c r="H1347" s="47"/>
      <c r="I1347" s="47">
        <f>IFERROR(__xludf.DUMMYFUNCTION("""COMPUTED_VALUE"""),2.0)</f>
        <v>2</v>
      </c>
      <c r="J1347" s="47" t="str">
        <f>IFERROR(__xludf.DUMMYFUNCTION("""COMPUTED_VALUE"""),"https:")</f>
        <v>https:</v>
      </c>
      <c r="K1347" s="78" t="str">
        <f>IFERROR(__xludf.DUMMYFUNCTION("""COMPUTED_VALUE"""),"www.munzee.com")</f>
        <v>www.munzee.com</v>
      </c>
      <c r="L1347" s="47" t="str">
        <f>IFERROR(__xludf.DUMMYFUNCTION("""COMPUTED_VALUE"""),"m")</f>
        <v>m</v>
      </c>
      <c r="M1347" s="47" t="str">
        <f>IFERROR(__xludf.DUMMYFUNCTION("""COMPUTED_VALUE"""),"djeagle")</f>
        <v>djeagle</v>
      </c>
    </row>
    <row r="1348">
      <c r="A1348" s="47" t="str">
        <f>IFERROR(__xludf.DUMMYFUNCTION("""COMPUTED_VALUE"""),"Virtual Brown")</f>
        <v>Virtual Brown</v>
      </c>
      <c r="B1348" s="47" t="str">
        <f>IFERROR(__xludf.DUMMYFUNCTION("""COMPUTED_VALUE"""),"McCormick64")</f>
        <v>McCormick64</v>
      </c>
      <c r="C1348" s="78" t="str">
        <f>IFERROR(__xludf.DUMMYFUNCTION("""COMPUTED_VALUE"""),"https://www.munzee.com/m/McCormick64/1455/")</f>
        <v>https://www.munzee.com/m/McCormick64/1455/</v>
      </c>
      <c r="D1348" s="47"/>
      <c r="E1348" s="47" t="b">
        <f>IFERROR(__xludf.DUMMYFUNCTION("""COMPUTED_VALUE"""),TRUE)</f>
        <v>1</v>
      </c>
      <c r="F1348" s="47" t="str">
        <f>IFERROR(__xludf.DUMMYFUNCTION("""COMPUTED_VALUE"""),"")</f>
        <v/>
      </c>
      <c r="G1348" s="47" t="str">
        <f>IFERROR(__xludf.DUMMYFUNCTION("""COMPUTED_VALUE"""),"")</f>
        <v/>
      </c>
      <c r="H1348" s="47"/>
      <c r="I1348" s="47">
        <f>IFERROR(__xludf.DUMMYFUNCTION("""COMPUTED_VALUE"""),2.0)</f>
        <v>2</v>
      </c>
      <c r="J1348" s="47" t="str">
        <f>IFERROR(__xludf.DUMMYFUNCTION("""COMPUTED_VALUE"""),"https:")</f>
        <v>https:</v>
      </c>
      <c r="K1348" s="78" t="str">
        <f>IFERROR(__xludf.DUMMYFUNCTION("""COMPUTED_VALUE"""),"www.munzee.com")</f>
        <v>www.munzee.com</v>
      </c>
      <c r="L1348" s="47" t="str">
        <f>IFERROR(__xludf.DUMMYFUNCTION("""COMPUTED_VALUE"""),"m")</f>
        <v>m</v>
      </c>
      <c r="M1348" s="47" t="str">
        <f>IFERROR(__xludf.DUMMYFUNCTION("""COMPUTED_VALUE"""),"McCormick64")</f>
        <v>McCormick64</v>
      </c>
    </row>
    <row r="1349">
      <c r="A1349" s="47" t="str">
        <f>IFERROR(__xludf.DUMMYFUNCTION("""COMPUTED_VALUE"""),"Virtual Brown")</f>
        <v>Virtual Brown</v>
      </c>
      <c r="B1349" s="47" t="str">
        <f>IFERROR(__xludf.DUMMYFUNCTION("""COMPUTED_VALUE"""),"5star")</f>
        <v>5star</v>
      </c>
      <c r="C1349" s="78" t="str">
        <f>IFERROR(__xludf.DUMMYFUNCTION("""COMPUTED_VALUE"""),"https://www.munzee.com/m/5Star/9439/")</f>
        <v>https://www.munzee.com/m/5Star/9439/</v>
      </c>
      <c r="D1349" s="47"/>
      <c r="E1349" s="47" t="b">
        <f>IFERROR(__xludf.DUMMYFUNCTION("""COMPUTED_VALUE"""),TRUE)</f>
        <v>1</v>
      </c>
      <c r="F1349" s="47" t="str">
        <f>IFERROR(__xludf.DUMMYFUNCTION("""COMPUTED_VALUE"""),"")</f>
        <v/>
      </c>
      <c r="G1349" s="47" t="str">
        <f>IFERROR(__xludf.DUMMYFUNCTION("""COMPUTED_VALUE"""),"")</f>
        <v/>
      </c>
      <c r="H1349" s="47"/>
      <c r="I1349" s="47">
        <f>IFERROR(__xludf.DUMMYFUNCTION("""COMPUTED_VALUE"""),2.0)</f>
        <v>2</v>
      </c>
      <c r="J1349" s="47" t="str">
        <f>IFERROR(__xludf.DUMMYFUNCTION("""COMPUTED_VALUE"""),"https:")</f>
        <v>https:</v>
      </c>
      <c r="K1349" s="78" t="str">
        <f>IFERROR(__xludf.DUMMYFUNCTION("""COMPUTED_VALUE"""),"www.munzee.com")</f>
        <v>www.munzee.com</v>
      </c>
      <c r="L1349" s="47" t="str">
        <f>IFERROR(__xludf.DUMMYFUNCTION("""COMPUTED_VALUE"""),"m")</f>
        <v>m</v>
      </c>
      <c r="M1349" s="47" t="str">
        <f>IFERROR(__xludf.DUMMYFUNCTION("""COMPUTED_VALUE"""),"5Star")</f>
        <v>5Star</v>
      </c>
    </row>
    <row r="1350">
      <c r="A1350" s="47" t="str">
        <f>IFERROR(__xludf.DUMMYFUNCTION("""COMPUTED_VALUE"""),"Virtual Raw Sienna")</f>
        <v>Virtual Raw Sienna</v>
      </c>
      <c r="B1350" s="47" t="str">
        <f>IFERROR(__xludf.DUMMYFUNCTION("""COMPUTED_VALUE"""),"Arendsoog")</f>
        <v>Arendsoog</v>
      </c>
      <c r="C1350" s="78" t="str">
        <f>IFERROR(__xludf.DUMMYFUNCTION("""COMPUTED_VALUE"""),"https://www.munzee.com/m/Arendsoog/8816/")</f>
        <v>https://www.munzee.com/m/Arendsoog/8816/</v>
      </c>
      <c r="D1350" s="47"/>
      <c r="E1350" s="47" t="b">
        <f>IFERROR(__xludf.DUMMYFUNCTION("""COMPUTED_VALUE"""),TRUE)</f>
        <v>1</v>
      </c>
      <c r="F1350" s="47" t="str">
        <f>IFERROR(__xludf.DUMMYFUNCTION("""COMPUTED_VALUE"""),"")</f>
        <v/>
      </c>
      <c r="G1350" s="47" t="str">
        <f>IFERROR(__xludf.DUMMYFUNCTION("""COMPUTED_VALUE"""),"")</f>
        <v/>
      </c>
      <c r="H1350" s="47"/>
      <c r="I1350" s="47">
        <f>IFERROR(__xludf.DUMMYFUNCTION("""COMPUTED_VALUE"""),2.0)</f>
        <v>2</v>
      </c>
      <c r="J1350" s="47" t="str">
        <f>IFERROR(__xludf.DUMMYFUNCTION("""COMPUTED_VALUE"""),"https:")</f>
        <v>https:</v>
      </c>
      <c r="K1350" s="78" t="str">
        <f>IFERROR(__xludf.DUMMYFUNCTION("""COMPUTED_VALUE"""),"www.munzee.com")</f>
        <v>www.munzee.com</v>
      </c>
      <c r="L1350" s="47" t="str">
        <f>IFERROR(__xludf.DUMMYFUNCTION("""COMPUTED_VALUE"""),"m")</f>
        <v>m</v>
      </c>
      <c r="M1350" s="47" t="str">
        <f>IFERROR(__xludf.DUMMYFUNCTION("""COMPUTED_VALUE"""),"Arendsoog")</f>
        <v>Arendsoog</v>
      </c>
    </row>
    <row r="1351">
      <c r="A1351" s="47" t="str">
        <f>IFERROR(__xludf.DUMMYFUNCTION("""COMPUTED_VALUE"""),"Virtual Raw Sienna")</f>
        <v>Virtual Raw Sienna</v>
      </c>
      <c r="B1351" s="47" t="str">
        <f>IFERROR(__xludf.DUMMYFUNCTION("""COMPUTED_VALUE"""),"Anetzet ")</f>
        <v>Anetzet </v>
      </c>
      <c r="C1351" s="78" t="str">
        <f>IFERROR(__xludf.DUMMYFUNCTION("""COMPUTED_VALUE"""),"https://www.munzee.com/m/Anetzet/7207/")</f>
        <v>https://www.munzee.com/m/Anetzet/7207/</v>
      </c>
      <c r="D1351" s="47"/>
      <c r="E1351" s="47" t="b">
        <f>IFERROR(__xludf.DUMMYFUNCTION("""COMPUTED_VALUE"""),TRUE)</f>
        <v>1</v>
      </c>
      <c r="F1351" s="47" t="str">
        <f>IFERROR(__xludf.DUMMYFUNCTION("""COMPUTED_VALUE"""),"")</f>
        <v/>
      </c>
      <c r="G1351" s="47" t="str">
        <f>IFERROR(__xludf.DUMMYFUNCTION("""COMPUTED_VALUE"""),"")</f>
        <v/>
      </c>
      <c r="H1351" s="47"/>
      <c r="I1351" s="47">
        <f>IFERROR(__xludf.DUMMYFUNCTION("""COMPUTED_VALUE"""),2.0)</f>
        <v>2</v>
      </c>
      <c r="J1351" s="47" t="str">
        <f>IFERROR(__xludf.DUMMYFUNCTION("""COMPUTED_VALUE"""),"https:")</f>
        <v>https:</v>
      </c>
      <c r="K1351" s="78" t="str">
        <f>IFERROR(__xludf.DUMMYFUNCTION("""COMPUTED_VALUE"""),"www.munzee.com")</f>
        <v>www.munzee.com</v>
      </c>
      <c r="L1351" s="47" t="str">
        <f>IFERROR(__xludf.DUMMYFUNCTION("""COMPUTED_VALUE"""),"m")</f>
        <v>m</v>
      </c>
      <c r="M1351" s="47" t="str">
        <f>IFERROR(__xludf.DUMMYFUNCTION("""COMPUTED_VALUE"""),"Anetzet")</f>
        <v>Anetzet</v>
      </c>
    </row>
    <row r="1352">
      <c r="A1352" s="47" t="str">
        <f>IFERROR(__xludf.DUMMYFUNCTION("""COMPUTED_VALUE"""),"Virtual Brown")</f>
        <v>Virtual Brown</v>
      </c>
      <c r="B1352" s="47" t="str">
        <f>IFERROR(__xludf.DUMMYFUNCTION("""COMPUTED_VALUE"""),"anseldelux")</f>
        <v>anseldelux</v>
      </c>
      <c r="C1352" s="78" t="str">
        <f>IFERROR(__xludf.DUMMYFUNCTION("""COMPUTED_VALUE"""),"https://www.munzee.com/m/Anseldelux/1270/")</f>
        <v>https://www.munzee.com/m/Anseldelux/1270/</v>
      </c>
      <c r="D1352" s="47"/>
      <c r="E1352" s="47" t="b">
        <f>IFERROR(__xludf.DUMMYFUNCTION("""COMPUTED_VALUE"""),TRUE)</f>
        <v>1</v>
      </c>
      <c r="F1352" s="47" t="str">
        <f>IFERROR(__xludf.DUMMYFUNCTION("""COMPUTED_VALUE"""),"")</f>
        <v/>
      </c>
      <c r="G1352" s="47" t="str">
        <f>IFERROR(__xludf.DUMMYFUNCTION("""COMPUTED_VALUE"""),"")</f>
        <v/>
      </c>
      <c r="H1352" s="47"/>
      <c r="I1352" s="47">
        <f>IFERROR(__xludf.DUMMYFUNCTION("""COMPUTED_VALUE"""),2.0)</f>
        <v>2</v>
      </c>
      <c r="J1352" s="47" t="str">
        <f>IFERROR(__xludf.DUMMYFUNCTION("""COMPUTED_VALUE"""),"https:")</f>
        <v>https:</v>
      </c>
      <c r="K1352" s="78" t="str">
        <f>IFERROR(__xludf.DUMMYFUNCTION("""COMPUTED_VALUE"""),"www.munzee.com")</f>
        <v>www.munzee.com</v>
      </c>
      <c r="L1352" s="47" t="str">
        <f>IFERROR(__xludf.DUMMYFUNCTION("""COMPUTED_VALUE"""),"m")</f>
        <v>m</v>
      </c>
      <c r="M1352" s="47" t="str">
        <f>IFERROR(__xludf.DUMMYFUNCTION("""COMPUTED_VALUE"""),"Anseldelux")</f>
        <v>Anseldelux</v>
      </c>
    </row>
    <row r="1353">
      <c r="A1353" s="47" t="str">
        <f>IFERROR(__xludf.DUMMYFUNCTION("""COMPUTED_VALUE"""),"Virtual Brown")</f>
        <v>Virtual Brown</v>
      </c>
      <c r="B1353" s="47" t="str">
        <f>IFERROR(__xludf.DUMMYFUNCTION("""COMPUTED_VALUE"""),"belladivadee")</f>
        <v>belladivadee</v>
      </c>
      <c r="C1353" s="78" t="str">
        <f>IFERROR(__xludf.DUMMYFUNCTION("""COMPUTED_VALUE"""),"https://www.munzee.com/m/belladivadee/3263/")</f>
        <v>https://www.munzee.com/m/belladivadee/3263/</v>
      </c>
      <c r="D1353" s="47"/>
      <c r="E1353" s="47" t="b">
        <f>IFERROR(__xludf.DUMMYFUNCTION("""COMPUTED_VALUE"""),TRUE)</f>
        <v>1</v>
      </c>
      <c r="F1353" s="47" t="str">
        <f>IFERROR(__xludf.DUMMYFUNCTION("""COMPUTED_VALUE"""),"")</f>
        <v/>
      </c>
      <c r="G1353" s="47" t="str">
        <f>IFERROR(__xludf.DUMMYFUNCTION("""COMPUTED_VALUE"""),"")</f>
        <v/>
      </c>
      <c r="H1353" s="47"/>
      <c r="I1353" s="47">
        <f>IFERROR(__xludf.DUMMYFUNCTION("""COMPUTED_VALUE"""),2.0)</f>
        <v>2</v>
      </c>
      <c r="J1353" s="47" t="str">
        <f>IFERROR(__xludf.DUMMYFUNCTION("""COMPUTED_VALUE"""),"https:")</f>
        <v>https:</v>
      </c>
      <c r="K1353" s="78" t="str">
        <f>IFERROR(__xludf.DUMMYFUNCTION("""COMPUTED_VALUE"""),"www.munzee.com")</f>
        <v>www.munzee.com</v>
      </c>
      <c r="L1353" s="47" t="str">
        <f>IFERROR(__xludf.DUMMYFUNCTION("""COMPUTED_VALUE"""),"m")</f>
        <v>m</v>
      </c>
      <c r="M1353" s="47" t="str">
        <f>IFERROR(__xludf.DUMMYFUNCTION("""COMPUTED_VALUE"""),"belladivadee")</f>
        <v>belladivadee</v>
      </c>
    </row>
    <row r="1354">
      <c r="A1354" s="47" t="str">
        <f>IFERROR(__xludf.DUMMYFUNCTION("""COMPUTED_VALUE"""),"Virtual Brown")</f>
        <v>Virtual Brown</v>
      </c>
      <c r="B1354" s="47" t="str">
        <f>IFERROR(__xludf.DUMMYFUNCTION("""COMPUTED_VALUE"""),"sverlaan")</f>
        <v>sverlaan</v>
      </c>
      <c r="C1354" s="78" t="str">
        <f>IFERROR(__xludf.DUMMYFUNCTION("""COMPUTED_VALUE"""),"https://www.munzee.com/m/sverlaan/6206/")</f>
        <v>https://www.munzee.com/m/sverlaan/6206/</v>
      </c>
      <c r="D1354" s="47"/>
      <c r="E1354" s="47" t="b">
        <f>IFERROR(__xludf.DUMMYFUNCTION("""COMPUTED_VALUE"""),TRUE)</f>
        <v>1</v>
      </c>
      <c r="F1354" s="47" t="str">
        <f>IFERROR(__xludf.DUMMYFUNCTION("""COMPUTED_VALUE"""),"")</f>
        <v/>
      </c>
      <c r="G1354" s="47" t="str">
        <f>IFERROR(__xludf.DUMMYFUNCTION("""COMPUTED_VALUE"""),"")</f>
        <v/>
      </c>
      <c r="H1354" s="47"/>
      <c r="I1354" s="47">
        <f>IFERROR(__xludf.DUMMYFUNCTION("""COMPUTED_VALUE"""),2.0)</f>
        <v>2</v>
      </c>
      <c r="J1354" s="47" t="str">
        <f>IFERROR(__xludf.DUMMYFUNCTION("""COMPUTED_VALUE"""),"https:")</f>
        <v>https:</v>
      </c>
      <c r="K1354" s="78" t="str">
        <f>IFERROR(__xludf.DUMMYFUNCTION("""COMPUTED_VALUE"""),"www.munzee.com")</f>
        <v>www.munzee.com</v>
      </c>
      <c r="L1354" s="47" t="str">
        <f>IFERROR(__xludf.DUMMYFUNCTION("""COMPUTED_VALUE"""),"m")</f>
        <v>m</v>
      </c>
      <c r="M1354" s="47" t="str">
        <f>IFERROR(__xludf.DUMMYFUNCTION("""COMPUTED_VALUE"""),"sverlaan")</f>
        <v>sverlaan</v>
      </c>
    </row>
    <row r="1355">
      <c r="A1355" s="47" t="str">
        <f>IFERROR(__xludf.DUMMYFUNCTION("""COMPUTED_VALUE"""),"Virtual Raw Sienna")</f>
        <v>Virtual Raw Sienna</v>
      </c>
      <c r="B1355" s="47" t="str">
        <f>IFERROR(__xludf.DUMMYFUNCTION("""COMPUTED_VALUE"""),"pawpatrolthomas")</f>
        <v>pawpatrolthomas</v>
      </c>
      <c r="C1355" s="78" t="str">
        <f>IFERROR(__xludf.DUMMYFUNCTION("""COMPUTED_VALUE"""),"https://www.munzee.com/m/PawPatrolThomas/4199/")</f>
        <v>https://www.munzee.com/m/PawPatrolThomas/4199/</v>
      </c>
      <c r="D1355" s="47"/>
      <c r="E1355" s="47" t="b">
        <f>IFERROR(__xludf.DUMMYFUNCTION("""COMPUTED_VALUE"""),TRUE)</f>
        <v>1</v>
      </c>
      <c r="F1355" s="47" t="str">
        <f>IFERROR(__xludf.DUMMYFUNCTION("""COMPUTED_VALUE"""),"")</f>
        <v/>
      </c>
      <c r="G1355" s="47" t="str">
        <f>IFERROR(__xludf.DUMMYFUNCTION("""COMPUTED_VALUE"""),"")</f>
        <v/>
      </c>
      <c r="H1355" s="47"/>
      <c r="I1355" s="47">
        <f>IFERROR(__xludf.DUMMYFUNCTION("""COMPUTED_VALUE"""),2.0)</f>
        <v>2</v>
      </c>
      <c r="J1355" s="47" t="str">
        <f>IFERROR(__xludf.DUMMYFUNCTION("""COMPUTED_VALUE"""),"https:")</f>
        <v>https:</v>
      </c>
      <c r="K1355" s="78" t="str">
        <f>IFERROR(__xludf.DUMMYFUNCTION("""COMPUTED_VALUE"""),"www.munzee.com")</f>
        <v>www.munzee.com</v>
      </c>
      <c r="L1355" s="47" t="str">
        <f>IFERROR(__xludf.DUMMYFUNCTION("""COMPUTED_VALUE"""),"m")</f>
        <v>m</v>
      </c>
      <c r="M1355" s="47" t="str">
        <f>IFERROR(__xludf.DUMMYFUNCTION("""COMPUTED_VALUE"""),"PawPatrolThomas")</f>
        <v>PawPatrolThomas</v>
      </c>
    </row>
    <row r="1356">
      <c r="A1356" s="47" t="str">
        <f>IFERROR(__xludf.DUMMYFUNCTION("""COMPUTED_VALUE"""),"Virtual Raw Sienna")</f>
        <v>Virtual Raw Sienna</v>
      </c>
      <c r="B1356" s="47" t="str">
        <f>IFERROR(__xludf.DUMMYFUNCTION("""COMPUTED_VALUE"""),"emilep68")</f>
        <v>emilep68</v>
      </c>
      <c r="C1356" s="78" t="str">
        <f>IFERROR(__xludf.DUMMYFUNCTION("""COMPUTED_VALUE"""),"https://www.munzee.com/m/EmileP68/5008/")</f>
        <v>https://www.munzee.com/m/EmileP68/5008/</v>
      </c>
      <c r="D1356" s="47"/>
      <c r="E1356" s="47" t="b">
        <f>IFERROR(__xludf.DUMMYFUNCTION("""COMPUTED_VALUE"""),TRUE)</f>
        <v>1</v>
      </c>
      <c r="F1356" s="47" t="str">
        <f>IFERROR(__xludf.DUMMYFUNCTION("""COMPUTED_VALUE"""),"")</f>
        <v/>
      </c>
      <c r="G1356" s="47" t="str">
        <f>IFERROR(__xludf.DUMMYFUNCTION("""COMPUTED_VALUE"""),"")</f>
        <v/>
      </c>
      <c r="H1356" s="47"/>
      <c r="I1356" s="47">
        <f>IFERROR(__xludf.DUMMYFUNCTION("""COMPUTED_VALUE"""),2.0)</f>
        <v>2</v>
      </c>
      <c r="J1356" s="47" t="str">
        <f>IFERROR(__xludf.DUMMYFUNCTION("""COMPUTED_VALUE"""),"https:")</f>
        <v>https:</v>
      </c>
      <c r="K1356" s="78" t="str">
        <f>IFERROR(__xludf.DUMMYFUNCTION("""COMPUTED_VALUE"""),"www.munzee.com")</f>
        <v>www.munzee.com</v>
      </c>
      <c r="L1356" s="47" t="str">
        <f>IFERROR(__xludf.DUMMYFUNCTION("""COMPUTED_VALUE"""),"m")</f>
        <v>m</v>
      </c>
      <c r="M1356" s="47" t="str">
        <f>IFERROR(__xludf.DUMMYFUNCTION("""COMPUTED_VALUE"""),"EmileP68")</f>
        <v>EmileP68</v>
      </c>
    </row>
    <row r="1357">
      <c r="A1357" s="47" t="str">
        <f>IFERROR(__xludf.DUMMYFUNCTION("""COMPUTED_VALUE"""),"Virtual Brown")</f>
        <v>Virtual Brown</v>
      </c>
      <c r="B1357" s="47" t="str">
        <f>IFERROR(__xludf.DUMMYFUNCTION("""COMPUTED_VALUE"""),"BrotherWilliam")</f>
        <v>BrotherWilliam</v>
      </c>
      <c r="C1357" s="78" t="str">
        <f>IFERROR(__xludf.DUMMYFUNCTION("""COMPUTED_VALUE"""),"https://www.munzee.com/m/BrotherWilliam/5386/")</f>
        <v>https://www.munzee.com/m/BrotherWilliam/5386/</v>
      </c>
      <c r="D1357" s="47"/>
      <c r="E1357" s="47" t="b">
        <f>IFERROR(__xludf.DUMMYFUNCTION("""COMPUTED_VALUE"""),TRUE)</f>
        <v>1</v>
      </c>
      <c r="F1357" s="47" t="str">
        <f>IFERROR(__xludf.DUMMYFUNCTION("""COMPUTED_VALUE"""),"")</f>
        <v/>
      </c>
      <c r="G1357" s="47" t="str">
        <f>IFERROR(__xludf.DUMMYFUNCTION("""COMPUTED_VALUE"""),"")</f>
        <v/>
      </c>
      <c r="H1357" s="47"/>
      <c r="I1357" s="47">
        <f>IFERROR(__xludf.DUMMYFUNCTION("""COMPUTED_VALUE"""),2.0)</f>
        <v>2</v>
      </c>
      <c r="J1357" s="47" t="str">
        <f>IFERROR(__xludf.DUMMYFUNCTION("""COMPUTED_VALUE"""),"https:")</f>
        <v>https:</v>
      </c>
      <c r="K1357" s="78" t="str">
        <f>IFERROR(__xludf.DUMMYFUNCTION("""COMPUTED_VALUE"""),"www.munzee.com")</f>
        <v>www.munzee.com</v>
      </c>
      <c r="L1357" s="47" t="str">
        <f>IFERROR(__xludf.DUMMYFUNCTION("""COMPUTED_VALUE"""),"m")</f>
        <v>m</v>
      </c>
      <c r="M1357" s="47" t="str">
        <f>IFERROR(__xludf.DUMMYFUNCTION("""COMPUTED_VALUE"""),"BrotherWilliam")</f>
        <v>BrotherWilliam</v>
      </c>
    </row>
    <row r="1358">
      <c r="A1358" s="47" t="str">
        <f>IFERROR(__xludf.DUMMYFUNCTION("""COMPUTED_VALUE"""),"Virtual Brown")</f>
        <v>Virtual Brown</v>
      </c>
      <c r="B1358" s="47" t="str">
        <f>IFERROR(__xludf.DUMMYFUNCTION("""COMPUTED_VALUE"""),"ArtofEco")</f>
        <v>ArtofEco</v>
      </c>
      <c r="C1358" s="78" t="str">
        <f>IFERROR(__xludf.DUMMYFUNCTION("""COMPUTED_VALUE"""),"https://www.munzee.com/m/ArtofEco/3657/")</f>
        <v>https://www.munzee.com/m/ArtofEco/3657/</v>
      </c>
      <c r="D1358" s="47"/>
      <c r="E1358" s="47" t="b">
        <f>IFERROR(__xludf.DUMMYFUNCTION("""COMPUTED_VALUE"""),TRUE)</f>
        <v>1</v>
      </c>
      <c r="F1358" s="47" t="str">
        <f>IFERROR(__xludf.DUMMYFUNCTION("""COMPUTED_VALUE"""),"")</f>
        <v/>
      </c>
      <c r="G1358" s="47" t="str">
        <f>IFERROR(__xludf.DUMMYFUNCTION("""COMPUTED_VALUE"""),"")</f>
        <v/>
      </c>
      <c r="H1358" s="47"/>
      <c r="I1358" s="47">
        <f>IFERROR(__xludf.DUMMYFUNCTION("""COMPUTED_VALUE"""),2.0)</f>
        <v>2</v>
      </c>
      <c r="J1358" s="47" t="str">
        <f>IFERROR(__xludf.DUMMYFUNCTION("""COMPUTED_VALUE"""),"https:")</f>
        <v>https:</v>
      </c>
      <c r="K1358" s="78" t="str">
        <f>IFERROR(__xludf.DUMMYFUNCTION("""COMPUTED_VALUE"""),"www.munzee.com")</f>
        <v>www.munzee.com</v>
      </c>
      <c r="L1358" s="47" t="str">
        <f>IFERROR(__xludf.DUMMYFUNCTION("""COMPUTED_VALUE"""),"m")</f>
        <v>m</v>
      </c>
      <c r="M1358" s="47" t="str">
        <f>IFERROR(__xludf.DUMMYFUNCTION("""COMPUTED_VALUE"""),"ArtofEco")</f>
        <v>ArtofEco</v>
      </c>
    </row>
    <row r="1359">
      <c r="A1359" s="47" t="str">
        <f>IFERROR(__xludf.DUMMYFUNCTION("""COMPUTED_VALUE"""),"Virtual Brown")</f>
        <v>Virtual Brown</v>
      </c>
      <c r="B1359" s="47" t="str">
        <f>IFERROR(__xludf.DUMMYFUNCTION("""COMPUTED_VALUE"""),"J1Huisman")</f>
        <v>J1Huisman</v>
      </c>
      <c r="C1359" s="78" t="str">
        <f>IFERROR(__xludf.DUMMYFUNCTION("""COMPUTED_VALUE"""),"https://www.munzee.com/m/J1Huisman/13699/")</f>
        <v>https://www.munzee.com/m/J1Huisman/13699/</v>
      </c>
      <c r="D1359" s="47"/>
      <c r="E1359" s="47" t="b">
        <f>IFERROR(__xludf.DUMMYFUNCTION("""COMPUTED_VALUE"""),TRUE)</f>
        <v>1</v>
      </c>
      <c r="F1359" s="47" t="str">
        <f>IFERROR(__xludf.DUMMYFUNCTION("""COMPUTED_VALUE"""),"")</f>
        <v/>
      </c>
      <c r="G1359" s="47" t="str">
        <f>IFERROR(__xludf.DUMMYFUNCTION("""COMPUTED_VALUE"""),"")</f>
        <v/>
      </c>
      <c r="H1359" s="47"/>
      <c r="I1359" s="47">
        <f>IFERROR(__xludf.DUMMYFUNCTION("""COMPUTED_VALUE"""),2.0)</f>
        <v>2</v>
      </c>
      <c r="J1359" s="47" t="str">
        <f>IFERROR(__xludf.DUMMYFUNCTION("""COMPUTED_VALUE"""),"https:")</f>
        <v>https:</v>
      </c>
      <c r="K1359" s="78" t="str">
        <f>IFERROR(__xludf.DUMMYFUNCTION("""COMPUTED_VALUE"""),"www.munzee.com")</f>
        <v>www.munzee.com</v>
      </c>
      <c r="L1359" s="47" t="str">
        <f>IFERROR(__xludf.DUMMYFUNCTION("""COMPUTED_VALUE"""),"m")</f>
        <v>m</v>
      </c>
      <c r="M1359" s="47" t="str">
        <f>IFERROR(__xludf.DUMMYFUNCTION("""COMPUTED_VALUE"""),"J1Huisman")</f>
        <v>J1Huisman</v>
      </c>
    </row>
    <row r="1360">
      <c r="A1360" s="47" t="str">
        <f>IFERROR(__xludf.DUMMYFUNCTION("""COMPUTED_VALUE"""),"Virtual Raw Sienna")</f>
        <v>Virtual Raw Sienna</v>
      </c>
      <c r="B1360" s="47" t="str">
        <f>IFERROR(__xludf.DUMMYFUNCTION("""COMPUTED_VALUE"""),"fsafranek")</f>
        <v>fsafranek</v>
      </c>
      <c r="C1360" s="78" t="str">
        <f>IFERROR(__xludf.DUMMYFUNCTION("""COMPUTED_VALUE"""),"https://www.munzee.com/m/fsafranek/5469/")</f>
        <v>https://www.munzee.com/m/fsafranek/5469/</v>
      </c>
      <c r="D1360" s="47"/>
      <c r="E1360" s="47" t="b">
        <f>IFERROR(__xludf.DUMMYFUNCTION("""COMPUTED_VALUE"""),TRUE)</f>
        <v>1</v>
      </c>
      <c r="F1360" s="47" t="str">
        <f>IFERROR(__xludf.DUMMYFUNCTION("""COMPUTED_VALUE"""),"")</f>
        <v/>
      </c>
      <c r="G1360" s="47" t="str">
        <f>IFERROR(__xludf.DUMMYFUNCTION("""COMPUTED_VALUE"""),"")</f>
        <v/>
      </c>
      <c r="H1360" s="47"/>
      <c r="I1360" s="47">
        <f>IFERROR(__xludf.DUMMYFUNCTION("""COMPUTED_VALUE"""),2.0)</f>
        <v>2</v>
      </c>
      <c r="J1360" s="47" t="str">
        <f>IFERROR(__xludf.DUMMYFUNCTION("""COMPUTED_VALUE"""),"https:")</f>
        <v>https:</v>
      </c>
      <c r="K1360" s="78" t="str">
        <f>IFERROR(__xludf.DUMMYFUNCTION("""COMPUTED_VALUE"""),"www.munzee.com")</f>
        <v>www.munzee.com</v>
      </c>
      <c r="L1360" s="47" t="str">
        <f>IFERROR(__xludf.DUMMYFUNCTION("""COMPUTED_VALUE"""),"m")</f>
        <v>m</v>
      </c>
      <c r="M1360" s="47" t="str">
        <f>IFERROR(__xludf.DUMMYFUNCTION("""COMPUTED_VALUE"""),"fsafranek")</f>
        <v>fsafranek</v>
      </c>
    </row>
    <row r="1361">
      <c r="A1361" s="47" t="str">
        <f>IFERROR(__xludf.DUMMYFUNCTION("""COMPUTED_VALUE"""),"Virtual Brown")</f>
        <v>Virtual Brown</v>
      </c>
      <c r="B1361" s="47" t="str">
        <f>IFERROR(__xludf.DUMMYFUNCTION("""COMPUTED_VALUE"""),"rita85gto")</f>
        <v>rita85gto</v>
      </c>
      <c r="C1361" s="78" t="str">
        <f>IFERROR(__xludf.DUMMYFUNCTION("""COMPUTED_VALUE"""),"https://www.munzee.com/m/rita85gto/3823/")</f>
        <v>https://www.munzee.com/m/rita85gto/3823/</v>
      </c>
      <c r="D1361" s="47"/>
      <c r="E1361" s="47" t="b">
        <f>IFERROR(__xludf.DUMMYFUNCTION("""COMPUTED_VALUE"""),TRUE)</f>
        <v>1</v>
      </c>
      <c r="F1361" s="47" t="str">
        <f>IFERROR(__xludf.DUMMYFUNCTION("""COMPUTED_VALUE"""),"")</f>
        <v/>
      </c>
      <c r="G1361" s="47" t="str">
        <f>IFERROR(__xludf.DUMMYFUNCTION("""COMPUTED_VALUE"""),"")</f>
        <v/>
      </c>
      <c r="H1361" s="47"/>
      <c r="I1361" s="47">
        <f>IFERROR(__xludf.DUMMYFUNCTION("""COMPUTED_VALUE"""),2.0)</f>
        <v>2</v>
      </c>
      <c r="J1361" s="47" t="str">
        <f>IFERROR(__xludf.DUMMYFUNCTION("""COMPUTED_VALUE"""),"https:")</f>
        <v>https:</v>
      </c>
      <c r="K1361" s="78" t="str">
        <f>IFERROR(__xludf.DUMMYFUNCTION("""COMPUTED_VALUE"""),"www.munzee.com")</f>
        <v>www.munzee.com</v>
      </c>
      <c r="L1361" s="47" t="str">
        <f>IFERROR(__xludf.DUMMYFUNCTION("""COMPUTED_VALUE"""),"m")</f>
        <v>m</v>
      </c>
      <c r="M1361" s="47" t="str">
        <f>IFERROR(__xludf.DUMMYFUNCTION("""COMPUTED_VALUE"""),"rita85gto")</f>
        <v>rita85gto</v>
      </c>
    </row>
    <row r="1362">
      <c r="A1362" s="47" t="str">
        <f>IFERROR(__xludf.DUMMYFUNCTION("""COMPUTED_VALUE"""),"Virtual Brown")</f>
        <v>Virtual Brown</v>
      </c>
      <c r="B1362" s="47" t="str">
        <f>IFERROR(__xludf.DUMMYFUNCTION("""COMPUTED_VALUE"""),"xrayneex")</f>
        <v>xrayneex</v>
      </c>
      <c r="C1362" s="78" t="str">
        <f>IFERROR(__xludf.DUMMYFUNCTION("""COMPUTED_VALUE"""),"https://www.munzee.com/m/xrayneex/2622/")</f>
        <v>https://www.munzee.com/m/xrayneex/2622/</v>
      </c>
      <c r="D1362" s="47"/>
      <c r="E1362" s="47" t="b">
        <f>IFERROR(__xludf.DUMMYFUNCTION("""COMPUTED_VALUE"""),TRUE)</f>
        <v>1</v>
      </c>
      <c r="F1362" s="47" t="str">
        <f>IFERROR(__xludf.DUMMYFUNCTION("""COMPUTED_VALUE"""),"")</f>
        <v/>
      </c>
      <c r="G1362" s="47" t="str">
        <f>IFERROR(__xludf.DUMMYFUNCTION("""COMPUTED_VALUE"""),"")</f>
        <v/>
      </c>
      <c r="H1362" s="47"/>
      <c r="I1362" s="47">
        <f>IFERROR(__xludf.DUMMYFUNCTION("""COMPUTED_VALUE"""),2.0)</f>
        <v>2</v>
      </c>
      <c r="J1362" s="47" t="str">
        <f>IFERROR(__xludf.DUMMYFUNCTION("""COMPUTED_VALUE"""),"https:")</f>
        <v>https:</v>
      </c>
      <c r="K1362" s="78" t="str">
        <f>IFERROR(__xludf.DUMMYFUNCTION("""COMPUTED_VALUE"""),"www.munzee.com")</f>
        <v>www.munzee.com</v>
      </c>
      <c r="L1362" s="47" t="str">
        <f>IFERROR(__xludf.DUMMYFUNCTION("""COMPUTED_VALUE"""),"m")</f>
        <v>m</v>
      </c>
      <c r="M1362" s="47" t="str">
        <f>IFERROR(__xludf.DUMMYFUNCTION("""COMPUTED_VALUE"""),"xrayneex")</f>
        <v>xrayneex</v>
      </c>
    </row>
    <row r="1363">
      <c r="A1363" s="47" t="str">
        <f>IFERROR(__xludf.DUMMYFUNCTION("""COMPUTED_VALUE"""),"Virtual Brown")</f>
        <v>Virtual Brown</v>
      </c>
      <c r="B1363" s="47" t="str">
        <f>IFERROR(__xludf.DUMMYFUNCTION("""COMPUTED_VALUE"""),"Drazoria")</f>
        <v>Drazoria</v>
      </c>
      <c r="C1363" s="78" t="str">
        <f>IFERROR(__xludf.DUMMYFUNCTION("""COMPUTED_VALUE"""),"https://www.munzee.com/m/Drazoria/1639/")</f>
        <v>https://www.munzee.com/m/Drazoria/1639/</v>
      </c>
      <c r="D1363" s="47"/>
      <c r="E1363" s="47" t="b">
        <f>IFERROR(__xludf.DUMMYFUNCTION("""COMPUTED_VALUE"""),TRUE)</f>
        <v>1</v>
      </c>
      <c r="F1363" s="47"/>
      <c r="G1363" s="47" t="str">
        <f>IFERROR(__xludf.DUMMYFUNCTION("""COMPUTED_VALUE"""),"")</f>
        <v/>
      </c>
      <c r="H1363" s="47"/>
      <c r="I1363" s="47">
        <f>IFERROR(__xludf.DUMMYFUNCTION("""COMPUTED_VALUE"""),2.0)</f>
        <v>2</v>
      </c>
      <c r="J1363" s="47" t="str">
        <f>IFERROR(__xludf.DUMMYFUNCTION("""COMPUTED_VALUE"""),"https:")</f>
        <v>https:</v>
      </c>
      <c r="K1363" s="78" t="str">
        <f>IFERROR(__xludf.DUMMYFUNCTION("""COMPUTED_VALUE"""),"www.munzee.com")</f>
        <v>www.munzee.com</v>
      </c>
      <c r="L1363" s="47" t="str">
        <f>IFERROR(__xludf.DUMMYFUNCTION("""COMPUTED_VALUE"""),"m")</f>
        <v>m</v>
      </c>
      <c r="M1363" s="47" t="str">
        <f>IFERROR(__xludf.DUMMYFUNCTION("""COMPUTED_VALUE"""),"Drazoria")</f>
        <v>Drazoria</v>
      </c>
    </row>
    <row r="1364">
      <c r="A1364" s="47" t="str">
        <f>IFERROR(__xludf.DUMMYFUNCTION("""COMPUTED_VALUE"""),"Virtual Brown")</f>
        <v>Virtual Brown</v>
      </c>
      <c r="B1364" s="47" t="str">
        <f>IFERROR(__xludf.DUMMYFUNCTION("""COMPUTED_VALUE"""),"Tinake1309")</f>
        <v>Tinake1309</v>
      </c>
      <c r="C1364" s="78" t="str">
        <f>IFERROR(__xludf.DUMMYFUNCTION("""COMPUTED_VALUE"""),"https://www.munzee.com/m/Tinake1309/1656/")</f>
        <v>https://www.munzee.com/m/Tinake1309/1656/</v>
      </c>
      <c r="D1364" s="47"/>
      <c r="E1364" s="47" t="b">
        <f>IFERROR(__xludf.DUMMYFUNCTION("""COMPUTED_VALUE"""),TRUE)</f>
        <v>1</v>
      </c>
      <c r="F1364" s="47" t="str">
        <f>IFERROR(__xludf.DUMMYFUNCTION("""COMPUTED_VALUE"""),"")</f>
        <v/>
      </c>
      <c r="G1364" s="47" t="str">
        <f>IFERROR(__xludf.DUMMYFUNCTION("""COMPUTED_VALUE"""),"")</f>
        <v/>
      </c>
      <c r="H1364" s="47"/>
      <c r="I1364" s="47">
        <f>IFERROR(__xludf.DUMMYFUNCTION("""COMPUTED_VALUE"""),2.0)</f>
        <v>2</v>
      </c>
      <c r="J1364" s="47" t="str">
        <f>IFERROR(__xludf.DUMMYFUNCTION("""COMPUTED_VALUE"""),"https:")</f>
        <v>https:</v>
      </c>
      <c r="K1364" s="78" t="str">
        <f>IFERROR(__xludf.DUMMYFUNCTION("""COMPUTED_VALUE"""),"www.munzee.com")</f>
        <v>www.munzee.com</v>
      </c>
      <c r="L1364" s="47" t="str">
        <f>IFERROR(__xludf.DUMMYFUNCTION("""COMPUTED_VALUE"""),"m")</f>
        <v>m</v>
      </c>
      <c r="M1364" s="47" t="str">
        <f>IFERROR(__xludf.DUMMYFUNCTION("""COMPUTED_VALUE"""),"Tinake1309")</f>
        <v>Tinake1309</v>
      </c>
    </row>
    <row r="1365">
      <c r="A1365" s="47" t="str">
        <f>IFERROR(__xludf.DUMMYFUNCTION("""COMPUTED_VALUE"""),"Virtual Brown")</f>
        <v>Virtual Brown</v>
      </c>
      <c r="B1365" s="47" t="str">
        <f>IFERROR(__xludf.DUMMYFUNCTION("""COMPUTED_VALUE"""),"Berg14")</f>
        <v>Berg14</v>
      </c>
      <c r="C1365" s="78" t="str">
        <f>IFERROR(__xludf.DUMMYFUNCTION("""COMPUTED_VALUE"""),"https://www.munzee.com/m/Berg14/1506/")</f>
        <v>https://www.munzee.com/m/Berg14/1506/</v>
      </c>
      <c r="D1365" s="47"/>
      <c r="E1365" s="47" t="b">
        <f>IFERROR(__xludf.DUMMYFUNCTION("""COMPUTED_VALUE"""),TRUE)</f>
        <v>1</v>
      </c>
      <c r="F1365" s="47" t="str">
        <f>IFERROR(__xludf.DUMMYFUNCTION("""COMPUTED_VALUE"""),"")</f>
        <v/>
      </c>
      <c r="G1365" s="47" t="str">
        <f>IFERROR(__xludf.DUMMYFUNCTION("""COMPUTED_VALUE"""),"")</f>
        <v/>
      </c>
      <c r="H1365" s="47"/>
      <c r="I1365" s="47">
        <f>IFERROR(__xludf.DUMMYFUNCTION("""COMPUTED_VALUE"""),2.0)</f>
        <v>2</v>
      </c>
      <c r="J1365" s="47" t="str">
        <f>IFERROR(__xludf.DUMMYFUNCTION("""COMPUTED_VALUE"""),"https:")</f>
        <v>https:</v>
      </c>
      <c r="K1365" s="78" t="str">
        <f>IFERROR(__xludf.DUMMYFUNCTION("""COMPUTED_VALUE"""),"www.munzee.com")</f>
        <v>www.munzee.com</v>
      </c>
      <c r="L1365" s="47" t="str">
        <f>IFERROR(__xludf.DUMMYFUNCTION("""COMPUTED_VALUE"""),"m")</f>
        <v>m</v>
      </c>
      <c r="M1365" s="47" t="str">
        <f>IFERROR(__xludf.DUMMYFUNCTION("""COMPUTED_VALUE"""),"Berg14")</f>
        <v>Berg14</v>
      </c>
    </row>
    <row r="1366">
      <c r="A1366" s="47" t="str">
        <f>IFERROR(__xludf.DUMMYFUNCTION("""COMPUTED_VALUE"""),"Virtual Brown")</f>
        <v>Virtual Brown</v>
      </c>
      <c r="B1366" s="47" t="str">
        <f>IFERROR(__xludf.DUMMYFUNCTION("""COMPUTED_VALUE"""),"Niks13")</f>
        <v>Niks13</v>
      </c>
      <c r="C1366" s="78" t="str">
        <f>IFERROR(__xludf.DUMMYFUNCTION("""COMPUTED_VALUE"""),"https://www.munzee.com/m/Niks13/1517/")</f>
        <v>https://www.munzee.com/m/Niks13/1517/</v>
      </c>
      <c r="D1366" s="47"/>
      <c r="E1366" s="47" t="b">
        <f>IFERROR(__xludf.DUMMYFUNCTION("""COMPUTED_VALUE"""),TRUE)</f>
        <v>1</v>
      </c>
      <c r="F1366" s="47" t="str">
        <f>IFERROR(__xludf.DUMMYFUNCTION("""COMPUTED_VALUE"""),"")</f>
        <v/>
      </c>
      <c r="G1366" s="47" t="str">
        <f>IFERROR(__xludf.DUMMYFUNCTION("""COMPUTED_VALUE"""),"")</f>
        <v/>
      </c>
      <c r="H1366" s="47"/>
      <c r="I1366" s="47">
        <f>IFERROR(__xludf.DUMMYFUNCTION("""COMPUTED_VALUE"""),2.0)</f>
        <v>2</v>
      </c>
      <c r="J1366" s="47" t="str">
        <f>IFERROR(__xludf.DUMMYFUNCTION("""COMPUTED_VALUE"""),"https:")</f>
        <v>https:</v>
      </c>
      <c r="K1366" s="78" t="str">
        <f>IFERROR(__xludf.DUMMYFUNCTION("""COMPUTED_VALUE"""),"www.munzee.com")</f>
        <v>www.munzee.com</v>
      </c>
      <c r="L1366" s="47" t="str">
        <f>IFERROR(__xludf.DUMMYFUNCTION("""COMPUTED_VALUE"""),"m")</f>
        <v>m</v>
      </c>
      <c r="M1366" s="47" t="str">
        <f>IFERROR(__xludf.DUMMYFUNCTION("""COMPUTED_VALUE"""),"Niks13")</f>
        <v>Niks13</v>
      </c>
    </row>
    <row r="1367">
      <c r="A1367" s="47" t="str">
        <f>IFERROR(__xludf.DUMMYFUNCTION("""COMPUTED_VALUE"""),"Virtual Brown")</f>
        <v>Virtual Brown</v>
      </c>
      <c r="B1367" s="47" t="str">
        <f>IFERROR(__xludf.DUMMYFUNCTION("""COMPUTED_VALUE"""),"lupo6")</f>
        <v>lupo6</v>
      </c>
      <c r="C1367" s="78" t="str">
        <f>IFERROR(__xludf.DUMMYFUNCTION("""COMPUTED_VALUE"""),"https://www.munzee.com/m/lupo6/6814")</f>
        <v>https://www.munzee.com/m/lupo6/6814</v>
      </c>
      <c r="D1367" s="47"/>
      <c r="E1367" s="47" t="b">
        <f>IFERROR(__xludf.DUMMYFUNCTION("""COMPUTED_VALUE"""),TRUE)</f>
        <v>1</v>
      </c>
      <c r="F1367" s="47" t="str">
        <f>IFERROR(__xludf.DUMMYFUNCTION("""COMPUTED_VALUE"""),"")</f>
        <v/>
      </c>
      <c r="G1367" s="47" t="str">
        <f>IFERROR(__xludf.DUMMYFUNCTION("""COMPUTED_VALUE"""),"")</f>
        <v/>
      </c>
      <c r="H1367" s="47"/>
      <c r="I1367" s="47">
        <f>IFERROR(__xludf.DUMMYFUNCTION("""COMPUTED_VALUE"""),2.0)</f>
        <v>2</v>
      </c>
      <c r="J1367" s="47" t="str">
        <f>IFERROR(__xludf.DUMMYFUNCTION("""COMPUTED_VALUE"""),"https:")</f>
        <v>https:</v>
      </c>
      <c r="K1367" s="78" t="str">
        <f>IFERROR(__xludf.DUMMYFUNCTION("""COMPUTED_VALUE"""),"www.munzee.com")</f>
        <v>www.munzee.com</v>
      </c>
      <c r="L1367" s="47" t="str">
        <f>IFERROR(__xludf.DUMMYFUNCTION("""COMPUTED_VALUE"""),"m")</f>
        <v>m</v>
      </c>
      <c r="M1367" s="47" t="str">
        <f>IFERROR(__xludf.DUMMYFUNCTION("""COMPUTED_VALUE"""),"lupo6")</f>
        <v>lupo6</v>
      </c>
    </row>
    <row r="1368">
      <c r="A1368" s="47" t="str">
        <f>IFERROR(__xludf.DUMMYFUNCTION("""COMPUTED_VALUE"""),"Virtual Brown")</f>
        <v>Virtual Brown</v>
      </c>
      <c r="B1368" s="47" t="str">
        <f>IFERROR(__xludf.DUMMYFUNCTION("""COMPUTED_VALUE"""),"crscousins")</f>
        <v>crscousins</v>
      </c>
      <c r="C1368" s="78" t="str">
        <f>IFERROR(__xludf.DUMMYFUNCTION("""COMPUTED_VALUE"""),"https://www.munzee.com/m/crscousins/7153/")</f>
        <v>https://www.munzee.com/m/crscousins/7153/</v>
      </c>
      <c r="D1368" s="47"/>
      <c r="E1368" s="47" t="b">
        <f>IFERROR(__xludf.DUMMYFUNCTION("""COMPUTED_VALUE"""),TRUE)</f>
        <v>1</v>
      </c>
      <c r="F1368" s="47" t="str">
        <f>IFERROR(__xludf.DUMMYFUNCTION("""COMPUTED_VALUE"""),"")</f>
        <v/>
      </c>
      <c r="G1368" s="47" t="str">
        <f>IFERROR(__xludf.DUMMYFUNCTION("""COMPUTED_VALUE"""),"")</f>
        <v/>
      </c>
      <c r="H1368" s="47"/>
      <c r="I1368" s="47">
        <f>IFERROR(__xludf.DUMMYFUNCTION("""COMPUTED_VALUE"""),2.0)</f>
        <v>2</v>
      </c>
      <c r="J1368" s="47" t="str">
        <f>IFERROR(__xludf.DUMMYFUNCTION("""COMPUTED_VALUE"""),"https:")</f>
        <v>https:</v>
      </c>
      <c r="K1368" s="78" t="str">
        <f>IFERROR(__xludf.DUMMYFUNCTION("""COMPUTED_VALUE"""),"www.munzee.com")</f>
        <v>www.munzee.com</v>
      </c>
      <c r="L1368" s="47" t="str">
        <f>IFERROR(__xludf.DUMMYFUNCTION("""COMPUTED_VALUE"""),"m")</f>
        <v>m</v>
      </c>
      <c r="M1368" s="47" t="str">
        <f>IFERROR(__xludf.DUMMYFUNCTION("""COMPUTED_VALUE"""),"crscousins")</f>
        <v>crscousins</v>
      </c>
    </row>
    <row r="1369">
      <c r="A1369" s="47" t="str">
        <f>IFERROR(__xludf.DUMMYFUNCTION("""COMPUTED_VALUE"""),"Virtual Brown")</f>
        <v>Virtual Brown</v>
      </c>
      <c r="B1369" s="47" t="str">
        <f>IFERROR(__xludf.DUMMYFUNCTION("""COMPUTED_VALUE"""),"Bungle")</f>
        <v>Bungle</v>
      </c>
      <c r="C1369" s="78" t="str">
        <f>IFERROR(__xludf.DUMMYFUNCTION("""COMPUTED_VALUE"""),"https://www.munzee.com/m/Bungle/10928")</f>
        <v>https://www.munzee.com/m/Bungle/10928</v>
      </c>
      <c r="D1369" s="47"/>
      <c r="E1369" s="47" t="b">
        <f>IFERROR(__xludf.DUMMYFUNCTION("""COMPUTED_VALUE"""),TRUE)</f>
        <v>1</v>
      </c>
      <c r="F1369" s="47"/>
      <c r="G1369" s="47" t="str">
        <f>IFERROR(__xludf.DUMMYFUNCTION("""COMPUTED_VALUE"""),"")</f>
        <v/>
      </c>
      <c r="H1369" s="47"/>
      <c r="I1369" s="47">
        <f>IFERROR(__xludf.DUMMYFUNCTION("""COMPUTED_VALUE"""),2.0)</f>
        <v>2</v>
      </c>
      <c r="J1369" s="47" t="str">
        <f>IFERROR(__xludf.DUMMYFUNCTION("""COMPUTED_VALUE"""),"https:")</f>
        <v>https:</v>
      </c>
      <c r="K1369" s="78" t="str">
        <f>IFERROR(__xludf.DUMMYFUNCTION("""COMPUTED_VALUE"""),"www.munzee.com")</f>
        <v>www.munzee.com</v>
      </c>
      <c r="L1369" s="47" t="str">
        <f>IFERROR(__xludf.DUMMYFUNCTION("""COMPUTED_VALUE"""),"m")</f>
        <v>m</v>
      </c>
      <c r="M1369" s="47" t="str">
        <f>IFERROR(__xludf.DUMMYFUNCTION("""COMPUTED_VALUE"""),"Bungle")</f>
        <v>Bungle</v>
      </c>
    </row>
    <row r="1370">
      <c r="A1370" s="47" t="str">
        <f>IFERROR(__xludf.DUMMYFUNCTION("""COMPUTED_VALUE"""),"Virtual Brown")</f>
        <v>Virtual Brown</v>
      </c>
      <c r="B1370" s="47" t="str">
        <f>IFERROR(__xludf.DUMMYFUNCTION("""COMPUTED_VALUE"""),"OdinsFiRe")</f>
        <v>OdinsFiRe</v>
      </c>
      <c r="C1370" s="78" t="str">
        <f>IFERROR(__xludf.DUMMYFUNCTION("""COMPUTED_VALUE"""),"https://www.munzee.com/m/OdinsFiRe/2162/")</f>
        <v>https://www.munzee.com/m/OdinsFiRe/2162/</v>
      </c>
      <c r="D1370" s="47"/>
      <c r="E1370" s="47" t="b">
        <f>IFERROR(__xludf.DUMMYFUNCTION("""COMPUTED_VALUE"""),TRUE)</f>
        <v>1</v>
      </c>
      <c r="F1370" s="47"/>
      <c r="G1370" s="47" t="str">
        <f>IFERROR(__xludf.DUMMYFUNCTION("""COMPUTED_VALUE"""),"")</f>
        <v/>
      </c>
      <c r="H1370" s="47"/>
      <c r="I1370" s="47">
        <f>IFERROR(__xludf.DUMMYFUNCTION("""COMPUTED_VALUE"""),2.0)</f>
        <v>2</v>
      </c>
      <c r="J1370" s="47" t="str">
        <f>IFERROR(__xludf.DUMMYFUNCTION("""COMPUTED_VALUE"""),"https:")</f>
        <v>https:</v>
      </c>
      <c r="K1370" s="78" t="str">
        <f>IFERROR(__xludf.DUMMYFUNCTION("""COMPUTED_VALUE"""),"www.munzee.com")</f>
        <v>www.munzee.com</v>
      </c>
      <c r="L1370" s="47" t="str">
        <f>IFERROR(__xludf.DUMMYFUNCTION("""COMPUTED_VALUE"""),"m")</f>
        <v>m</v>
      </c>
      <c r="M1370" s="47" t="str">
        <f>IFERROR(__xludf.DUMMYFUNCTION("""COMPUTED_VALUE"""),"OdinsFiRe")</f>
        <v>OdinsFiRe</v>
      </c>
    </row>
    <row r="1371">
      <c r="A1371" s="47" t="str">
        <f>IFERROR(__xludf.DUMMYFUNCTION("""COMPUTED_VALUE"""),"Virtual Brown")</f>
        <v>Virtual Brown</v>
      </c>
      <c r="B1371" s="47"/>
      <c r="C1371" s="47"/>
      <c r="D1371" s="47"/>
      <c r="E1371" s="47" t="b">
        <f>IFERROR(__xludf.DUMMYFUNCTION("""COMPUTED_VALUE"""),FALSE)</f>
        <v>0</v>
      </c>
      <c r="F1371" s="47"/>
      <c r="G1371" s="47" t="str">
        <f>IFERROR(__xludf.DUMMYFUNCTION("""COMPUTED_VALUE"""),"")</f>
        <v/>
      </c>
      <c r="H1371" s="47"/>
      <c r="I1371" s="47">
        <f>IFERROR(__xludf.DUMMYFUNCTION("""COMPUTED_VALUE"""),0.0)</f>
        <v>0</v>
      </c>
      <c r="J1371" s="47" t="str">
        <f>IFERROR(__xludf.DUMMYFUNCTION("""COMPUTED_VALUE"""),"#VALUE!")</f>
        <v>#VALUE!</v>
      </c>
      <c r="K1371" s="47"/>
      <c r="L1371" s="47"/>
      <c r="M1371" s="47"/>
    </row>
    <row r="1372">
      <c r="A1372" s="47" t="str">
        <f>IFERROR(__xludf.DUMMYFUNCTION("""COMPUTED_VALUE"""),"Virtual Raw Sienna")</f>
        <v>Virtual Raw Sienna</v>
      </c>
      <c r="B1372" s="47" t="str">
        <f>IFERROR(__xludf.DUMMYFUNCTION("""COMPUTED_VALUE"""),"Ellesche")</f>
        <v>Ellesche</v>
      </c>
      <c r="C1372" s="78" t="str">
        <f>IFERROR(__xludf.DUMMYFUNCTION("""COMPUTED_VALUE"""),"https://www.munzee.com/m/Ellesche/835")</f>
        <v>https://www.munzee.com/m/Ellesche/835</v>
      </c>
      <c r="D1372" s="47"/>
      <c r="E1372" s="47" t="b">
        <f>IFERROR(__xludf.DUMMYFUNCTION("""COMPUTED_VALUE"""),TRUE)</f>
        <v>1</v>
      </c>
      <c r="F1372" s="47" t="str">
        <f>IFERROR(__xludf.DUMMYFUNCTION("""COMPUTED_VALUE"""),"")</f>
        <v/>
      </c>
      <c r="G1372" s="47" t="str">
        <f>IFERROR(__xludf.DUMMYFUNCTION("""COMPUTED_VALUE"""),"")</f>
        <v/>
      </c>
      <c r="H1372" s="47"/>
      <c r="I1372" s="47">
        <f>IFERROR(__xludf.DUMMYFUNCTION("""COMPUTED_VALUE"""),2.0)</f>
        <v>2</v>
      </c>
      <c r="J1372" s="47" t="str">
        <f>IFERROR(__xludf.DUMMYFUNCTION("""COMPUTED_VALUE"""),"https:")</f>
        <v>https:</v>
      </c>
      <c r="K1372" s="78" t="str">
        <f>IFERROR(__xludf.DUMMYFUNCTION("""COMPUTED_VALUE"""),"www.munzee.com")</f>
        <v>www.munzee.com</v>
      </c>
      <c r="L1372" s="47" t="str">
        <f>IFERROR(__xludf.DUMMYFUNCTION("""COMPUTED_VALUE"""),"m")</f>
        <v>m</v>
      </c>
      <c r="M1372" s="47" t="str">
        <f>IFERROR(__xludf.DUMMYFUNCTION("""COMPUTED_VALUE"""),"Ellesche")</f>
        <v>Ellesche</v>
      </c>
    </row>
    <row r="1373">
      <c r="A1373" s="47" t="str">
        <f>IFERROR(__xludf.DUMMYFUNCTION("""COMPUTED_VALUE"""),"Virtual Brown")</f>
        <v>Virtual Brown</v>
      </c>
      <c r="B1373" s="47"/>
      <c r="C1373" s="47"/>
      <c r="D1373" s="47"/>
      <c r="E1373" s="47" t="b">
        <f>IFERROR(__xludf.DUMMYFUNCTION("""COMPUTED_VALUE"""),FALSE)</f>
        <v>0</v>
      </c>
      <c r="F1373" s="47"/>
      <c r="G1373" s="47" t="str">
        <f>IFERROR(__xludf.DUMMYFUNCTION("""COMPUTED_VALUE"""),"")</f>
        <v/>
      </c>
      <c r="H1373" s="47"/>
      <c r="I1373" s="47">
        <f>IFERROR(__xludf.DUMMYFUNCTION("""COMPUTED_VALUE"""),0.0)</f>
        <v>0</v>
      </c>
      <c r="J1373" s="47" t="str">
        <f>IFERROR(__xludf.DUMMYFUNCTION("""COMPUTED_VALUE"""),"#VALUE!")</f>
        <v>#VALUE!</v>
      </c>
      <c r="K1373" s="47"/>
      <c r="L1373" s="47"/>
      <c r="M1373" s="47"/>
    </row>
    <row r="1374">
      <c r="A1374" s="47" t="str">
        <f>IFERROR(__xludf.DUMMYFUNCTION("""COMPUTED_VALUE"""),"Virtual Brown")</f>
        <v>Virtual Brown</v>
      </c>
      <c r="B1374" s="47" t="str">
        <f>IFERROR(__xludf.DUMMYFUNCTION("""COMPUTED_VALUE"""),"Anetzet ")</f>
        <v>Anetzet </v>
      </c>
      <c r="C1374" s="78" t="str">
        <f>IFERROR(__xludf.DUMMYFUNCTION("""COMPUTED_VALUE"""),"https://www.munzee.com/m/Anetzet/4615/")</f>
        <v>https://www.munzee.com/m/Anetzet/4615/</v>
      </c>
      <c r="D1374" s="47"/>
      <c r="E1374" s="47" t="b">
        <f>IFERROR(__xludf.DUMMYFUNCTION("""COMPUTED_VALUE"""),TRUE)</f>
        <v>1</v>
      </c>
      <c r="F1374" s="47" t="str">
        <f>IFERROR(__xludf.DUMMYFUNCTION("""COMPUTED_VALUE"""),"")</f>
        <v/>
      </c>
      <c r="G1374" s="47" t="str">
        <f>IFERROR(__xludf.DUMMYFUNCTION("""COMPUTED_VALUE"""),"")</f>
        <v/>
      </c>
      <c r="H1374" s="47"/>
      <c r="I1374" s="47">
        <f>IFERROR(__xludf.DUMMYFUNCTION("""COMPUTED_VALUE"""),2.0)</f>
        <v>2</v>
      </c>
      <c r="J1374" s="47" t="str">
        <f>IFERROR(__xludf.DUMMYFUNCTION("""COMPUTED_VALUE"""),"https:")</f>
        <v>https:</v>
      </c>
      <c r="K1374" s="78" t="str">
        <f>IFERROR(__xludf.DUMMYFUNCTION("""COMPUTED_VALUE"""),"www.munzee.com")</f>
        <v>www.munzee.com</v>
      </c>
      <c r="L1374" s="47" t="str">
        <f>IFERROR(__xludf.DUMMYFUNCTION("""COMPUTED_VALUE"""),"m")</f>
        <v>m</v>
      </c>
      <c r="M1374" s="47" t="str">
        <f>IFERROR(__xludf.DUMMYFUNCTION("""COMPUTED_VALUE"""),"Anetzet")</f>
        <v>Anetzet</v>
      </c>
    </row>
    <row r="1375">
      <c r="A1375" s="47" t="str">
        <f>IFERROR(__xludf.DUMMYFUNCTION("""COMPUTED_VALUE"""),"Virtual Brown")</f>
        <v>Virtual Brown</v>
      </c>
      <c r="B1375" s="47"/>
      <c r="C1375" s="47"/>
      <c r="D1375" s="47"/>
      <c r="E1375" s="47" t="b">
        <f>IFERROR(__xludf.DUMMYFUNCTION("""COMPUTED_VALUE"""),FALSE)</f>
        <v>0</v>
      </c>
      <c r="F1375" s="47"/>
      <c r="G1375" s="47" t="str">
        <f>IFERROR(__xludf.DUMMYFUNCTION("""COMPUTED_VALUE"""),"")</f>
        <v/>
      </c>
      <c r="H1375" s="47"/>
      <c r="I1375" s="47">
        <f>IFERROR(__xludf.DUMMYFUNCTION("""COMPUTED_VALUE"""),0.0)</f>
        <v>0</v>
      </c>
      <c r="J1375" s="47" t="str">
        <f>IFERROR(__xludf.DUMMYFUNCTION("""COMPUTED_VALUE"""),"#VALUE!")</f>
        <v>#VALUE!</v>
      </c>
      <c r="K1375" s="47"/>
      <c r="L1375" s="47"/>
      <c r="M1375" s="47"/>
    </row>
    <row r="1376">
      <c r="A1376" s="47" t="str">
        <f>IFERROR(__xludf.DUMMYFUNCTION("""COMPUTED_VALUE"""),"Virtual Raw Sienna")</f>
        <v>Virtual Raw Sienna</v>
      </c>
      <c r="B1376" s="47" t="str">
        <f>IFERROR(__xludf.DUMMYFUNCTION("""COMPUTED_VALUE"""),"Aniara")</f>
        <v>Aniara</v>
      </c>
      <c r="C1376" s="78" t="str">
        <f>IFERROR(__xludf.DUMMYFUNCTION("""COMPUTED_VALUE"""),"https://www.munzee.com/m/Aniara/17962/")</f>
        <v>https://www.munzee.com/m/Aniara/17962/</v>
      </c>
      <c r="D1376" s="47"/>
      <c r="E1376" s="47" t="b">
        <f>IFERROR(__xludf.DUMMYFUNCTION("""COMPUTED_VALUE"""),TRUE)</f>
        <v>1</v>
      </c>
      <c r="F1376" s="47" t="str">
        <f>IFERROR(__xludf.DUMMYFUNCTION("""COMPUTED_VALUE"""),"")</f>
        <v/>
      </c>
      <c r="G1376" s="47" t="str">
        <f>IFERROR(__xludf.DUMMYFUNCTION("""COMPUTED_VALUE"""),"")</f>
        <v/>
      </c>
      <c r="H1376" s="47"/>
      <c r="I1376" s="47">
        <f>IFERROR(__xludf.DUMMYFUNCTION("""COMPUTED_VALUE"""),2.0)</f>
        <v>2</v>
      </c>
      <c r="J1376" s="47" t="str">
        <f>IFERROR(__xludf.DUMMYFUNCTION("""COMPUTED_VALUE"""),"https:")</f>
        <v>https:</v>
      </c>
      <c r="K1376" s="78" t="str">
        <f>IFERROR(__xludf.DUMMYFUNCTION("""COMPUTED_VALUE"""),"www.munzee.com")</f>
        <v>www.munzee.com</v>
      </c>
      <c r="L1376" s="47" t="str">
        <f>IFERROR(__xludf.DUMMYFUNCTION("""COMPUTED_VALUE"""),"m")</f>
        <v>m</v>
      </c>
      <c r="M1376" s="47" t="str">
        <f>IFERROR(__xludf.DUMMYFUNCTION("""COMPUTED_VALUE"""),"Aniara")</f>
        <v>Aniara</v>
      </c>
    </row>
    <row r="1377">
      <c r="A1377" s="47" t="str">
        <f>IFERROR(__xludf.DUMMYFUNCTION("""COMPUTED_VALUE"""),"Virtual Brown")</f>
        <v>Virtual Brown</v>
      </c>
      <c r="B1377" s="47" t="str">
        <f>IFERROR(__xludf.DUMMYFUNCTION("""COMPUTED_VALUE"""),"lison55")</f>
        <v>lison55</v>
      </c>
      <c r="C1377" s="78" t="str">
        <f>IFERROR(__xludf.DUMMYFUNCTION("""COMPUTED_VALUE"""),"https://www.munzee.com/m/lison55/20908/")</f>
        <v>https://www.munzee.com/m/lison55/20908/</v>
      </c>
      <c r="D1377" s="89">
        <f>IFERROR(__xludf.DUMMYFUNCTION("""COMPUTED_VALUE"""),44837.0)</f>
        <v>44837</v>
      </c>
      <c r="E1377" s="47" t="b">
        <f>IFERROR(__xludf.DUMMYFUNCTION("""COMPUTED_VALUE"""),TRUE)</f>
        <v>1</v>
      </c>
      <c r="F1377" s="47" t="str">
        <f>IFERROR(__xludf.DUMMYFUNCTION("""COMPUTED_VALUE"""),"")</f>
        <v/>
      </c>
      <c r="G1377" s="47" t="str">
        <f>IFERROR(__xludf.DUMMYFUNCTION("""COMPUTED_VALUE"""),"")</f>
        <v/>
      </c>
      <c r="H1377" s="47"/>
      <c r="I1377" s="47">
        <f>IFERROR(__xludf.DUMMYFUNCTION("""COMPUTED_VALUE"""),2.0)</f>
        <v>2</v>
      </c>
      <c r="J1377" s="47" t="str">
        <f>IFERROR(__xludf.DUMMYFUNCTION("""COMPUTED_VALUE"""),"https:")</f>
        <v>https:</v>
      </c>
      <c r="K1377" s="78" t="str">
        <f>IFERROR(__xludf.DUMMYFUNCTION("""COMPUTED_VALUE"""),"www.munzee.com")</f>
        <v>www.munzee.com</v>
      </c>
      <c r="L1377" s="47" t="str">
        <f>IFERROR(__xludf.DUMMYFUNCTION("""COMPUTED_VALUE"""),"m")</f>
        <v>m</v>
      </c>
      <c r="M1377" s="47" t="str">
        <f>IFERROR(__xludf.DUMMYFUNCTION("""COMPUTED_VALUE"""),"lison55")</f>
        <v>lison55</v>
      </c>
    </row>
    <row r="1378">
      <c r="A1378" s="47" t="str">
        <f>IFERROR(__xludf.DUMMYFUNCTION("""COMPUTED_VALUE"""),"Virtual Brown")</f>
        <v>Virtual Brown</v>
      </c>
      <c r="B1378" s="47"/>
      <c r="C1378" s="47"/>
      <c r="D1378" s="47"/>
      <c r="E1378" s="47" t="b">
        <f>IFERROR(__xludf.DUMMYFUNCTION("""COMPUTED_VALUE"""),FALSE)</f>
        <v>0</v>
      </c>
      <c r="F1378" s="47"/>
      <c r="G1378" s="47" t="str">
        <f>IFERROR(__xludf.DUMMYFUNCTION("""COMPUTED_VALUE"""),"")</f>
        <v/>
      </c>
      <c r="H1378" s="47"/>
      <c r="I1378" s="47">
        <f>IFERROR(__xludf.DUMMYFUNCTION("""COMPUTED_VALUE"""),0.0)</f>
        <v>0</v>
      </c>
      <c r="J1378" s="47" t="str">
        <f>IFERROR(__xludf.DUMMYFUNCTION("""COMPUTED_VALUE"""),"#VALUE!")</f>
        <v>#VALUE!</v>
      </c>
      <c r="K1378" s="47"/>
      <c r="L1378" s="47"/>
      <c r="M1378" s="47"/>
    </row>
    <row r="1379">
      <c r="A1379" s="47" t="str">
        <f>IFERROR(__xludf.DUMMYFUNCTION("""COMPUTED_VALUE"""),"Virtual Raw Sienna")</f>
        <v>Virtual Raw Sienna</v>
      </c>
      <c r="B1379" s="47"/>
      <c r="C1379" s="47"/>
      <c r="D1379" s="47"/>
      <c r="E1379" s="47" t="b">
        <f>IFERROR(__xludf.DUMMYFUNCTION("""COMPUTED_VALUE"""),FALSE)</f>
        <v>0</v>
      </c>
      <c r="F1379" s="47"/>
      <c r="G1379" s="47" t="str">
        <f>IFERROR(__xludf.DUMMYFUNCTION("""COMPUTED_VALUE"""),"")</f>
        <v/>
      </c>
      <c r="H1379" s="47"/>
      <c r="I1379" s="47">
        <f>IFERROR(__xludf.DUMMYFUNCTION("""COMPUTED_VALUE"""),0.0)</f>
        <v>0</v>
      </c>
      <c r="J1379" s="47" t="str">
        <f>IFERROR(__xludf.DUMMYFUNCTION("""COMPUTED_VALUE"""),"#VALUE!")</f>
        <v>#VALUE!</v>
      </c>
      <c r="K1379" s="47"/>
      <c r="L1379" s="47"/>
      <c r="M1379" s="47"/>
    </row>
    <row r="1380">
      <c r="A1380" s="47" t="str">
        <f>IFERROR(__xludf.DUMMYFUNCTION("""COMPUTED_VALUE"""),"Virtual Brown")</f>
        <v>Virtual Brown</v>
      </c>
      <c r="B1380" s="47" t="str">
        <f>IFERROR(__xludf.DUMMYFUNCTION("""COMPUTED_VALUE"""),"cbf600")</f>
        <v>cbf600</v>
      </c>
      <c r="C1380" s="78" t="str">
        <f>IFERROR(__xludf.DUMMYFUNCTION("""COMPUTED_VALUE"""),"https://www.munzee.com/m/cbf600/3731/")</f>
        <v>https://www.munzee.com/m/cbf600/3731/</v>
      </c>
      <c r="D1380" s="47"/>
      <c r="E1380" s="47" t="b">
        <f>IFERROR(__xludf.DUMMYFUNCTION("""COMPUTED_VALUE"""),TRUE)</f>
        <v>1</v>
      </c>
      <c r="F1380" s="47" t="str">
        <f>IFERROR(__xludf.DUMMYFUNCTION("""COMPUTED_VALUE"""),"")</f>
        <v/>
      </c>
      <c r="G1380" s="47" t="str">
        <f>IFERROR(__xludf.DUMMYFUNCTION("""COMPUTED_VALUE"""),"")</f>
        <v/>
      </c>
      <c r="H1380" s="47"/>
      <c r="I1380" s="47">
        <f>IFERROR(__xludf.DUMMYFUNCTION("""COMPUTED_VALUE"""),2.0)</f>
        <v>2</v>
      </c>
      <c r="J1380" s="47" t="str">
        <f>IFERROR(__xludf.DUMMYFUNCTION("""COMPUTED_VALUE"""),"https:")</f>
        <v>https:</v>
      </c>
      <c r="K1380" s="78" t="str">
        <f>IFERROR(__xludf.DUMMYFUNCTION("""COMPUTED_VALUE"""),"www.munzee.com")</f>
        <v>www.munzee.com</v>
      </c>
      <c r="L1380" s="47" t="str">
        <f>IFERROR(__xludf.DUMMYFUNCTION("""COMPUTED_VALUE"""),"m")</f>
        <v>m</v>
      </c>
      <c r="M1380" s="47" t="str">
        <f>IFERROR(__xludf.DUMMYFUNCTION("""COMPUTED_VALUE"""),"cbf600")</f>
        <v>cbf600</v>
      </c>
    </row>
    <row r="1381">
      <c r="A1381" s="47" t="str">
        <f>IFERROR(__xludf.DUMMYFUNCTION("""COMPUTED_VALUE"""),"Virtual Raw Sienna")</f>
        <v>Virtual Raw Sienna</v>
      </c>
      <c r="B1381" s="47"/>
      <c r="C1381" s="47"/>
      <c r="D1381" s="47"/>
      <c r="E1381" s="47" t="b">
        <f>IFERROR(__xludf.DUMMYFUNCTION("""COMPUTED_VALUE"""),FALSE)</f>
        <v>0</v>
      </c>
      <c r="F1381" s="47"/>
      <c r="G1381" s="47" t="str">
        <f>IFERROR(__xludf.DUMMYFUNCTION("""COMPUTED_VALUE"""),"")</f>
        <v/>
      </c>
      <c r="H1381" s="47"/>
      <c r="I1381" s="47">
        <f>IFERROR(__xludf.DUMMYFUNCTION("""COMPUTED_VALUE"""),0.0)</f>
        <v>0</v>
      </c>
      <c r="J1381" s="47" t="str">
        <f>IFERROR(__xludf.DUMMYFUNCTION("""COMPUTED_VALUE"""),"#VALUE!")</f>
        <v>#VALUE!</v>
      </c>
      <c r="K1381" s="47"/>
      <c r="L1381" s="47"/>
      <c r="M1381" s="47"/>
    </row>
    <row r="1382">
      <c r="A1382" s="47" t="str">
        <f>IFERROR(__xludf.DUMMYFUNCTION("""COMPUTED_VALUE"""),"Virtual Brown")</f>
        <v>Virtual Brown</v>
      </c>
      <c r="B1382" s="47"/>
      <c r="C1382" s="47"/>
      <c r="D1382" s="47"/>
      <c r="E1382" s="47" t="b">
        <f>IFERROR(__xludf.DUMMYFUNCTION("""COMPUTED_VALUE"""),FALSE)</f>
        <v>0</v>
      </c>
      <c r="F1382" s="47"/>
      <c r="G1382" s="47" t="str">
        <f>IFERROR(__xludf.DUMMYFUNCTION("""COMPUTED_VALUE"""),"")</f>
        <v/>
      </c>
      <c r="H1382" s="47"/>
      <c r="I1382" s="47">
        <f>IFERROR(__xludf.DUMMYFUNCTION("""COMPUTED_VALUE"""),0.0)</f>
        <v>0</v>
      </c>
      <c r="J1382" s="47" t="str">
        <f>IFERROR(__xludf.DUMMYFUNCTION("""COMPUTED_VALUE"""),"#VALUE!")</f>
        <v>#VALUE!</v>
      </c>
      <c r="K1382" s="47"/>
      <c r="L1382" s="47"/>
      <c r="M1382" s="47"/>
    </row>
    <row r="1383">
      <c r="A1383" s="47" t="str">
        <f>IFERROR(__xludf.DUMMYFUNCTION("""COMPUTED_VALUE"""),"Virtual Brown")</f>
        <v>Virtual Brown</v>
      </c>
      <c r="B1383" s="47"/>
      <c r="C1383" s="47"/>
      <c r="D1383" s="47"/>
      <c r="E1383" s="47" t="b">
        <f>IFERROR(__xludf.DUMMYFUNCTION("""COMPUTED_VALUE"""),FALSE)</f>
        <v>0</v>
      </c>
      <c r="F1383" s="47"/>
      <c r="G1383" s="47" t="str">
        <f>IFERROR(__xludf.DUMMYFUNCTION("""COMPUTED_VALUE"""),"")</f>
        <v/>
      </c>
      <c r="H1383" s="47"/>
      <c r="I1383" s="47">
        <f>IFERROR(__xludf.DUMMYFUNCTION("""COMPUTED_VALUE"""),0.0)</f>
        <v>0</v>
      </c>
      <c r="J1383" s="47" t="str">
        <f>IFERROR(__xludf.DUMMYFUNCTION("""COMPUTED_VALUE"""),"#VALUE!")</f>
        <v>#VALUE!</v>
      </c>
      <c r="K1383" s="47"/>
      <c r="L1383" s="47"/>
      <c r="M1383" s="47"/>
    </row>
    <row r="1384">
      <c r="A1384" s="47" t="str">
        <f>IFERROR(__xludf.DUMMYFUNCTION("""COMPUTED_VALUE"""),"Virtual Brown")</f>
        <v>Virtual Brown</v>
      </c>
      <c r="B1384" s="47"/>
      <c r="C1384" s="47"/>
      <c r="D1384" s="47"/>
      <c r="E1384" s="47" t="b">
        <f>IFERROR(__xludf.DUMMYFUNCTION("""COMPUTED_VALUE"""),FALSE)</f>
        <v>0</v>
      </c>
      <c r="F1384" s="47"/>
      <c r="G1384" s="47" t="str">
        <f>IFERROR(__xludf.DUMMYFUNCTION("""COMPUTED_VALUE"""),"")</f>
        <v/>
      </c>
      <c r="H1384" s="47"/>
      <c r="I1384" s="47">
        <f>IFERROR(__xludf.DUMMYFUNCTION("""COMPUTED_VALUE"""),0.0)</f>
        <v>0</v>
      </c>
      <c r="J1384" s="47" t="str">
        <f>IFERROR(__xludf.DUMMYFUNCTION("""COMPUTED_VALUE"""),"#VALUE!")</f>
        <v>#VALUE!</v>
      </c>
      <c r="K1384" s="47"/>
      <c r="L1384" s="47"/>
      <c r="M1384" s="47"/>
    </row>
    <row r="1385">
      <c r="A1385" s="47" t="str">
        <f>IFERROR(__xludf.DUMMYFUNCTION("""COMPUTED_VALUE"""),"Virtual Brown")</f>
        <v>Virtual Brown</v>
      </c>
      <c r="B1385" s="47"/>
      <c r="C1385" s="47"/>
      <c r="D1385" s="47"/>
      <c r="E1385" s="47" t="b">
        <f>IFERROR(__xludf.DUMMYFUNCTION("""COMPUTED_VALUE"""),FALSE)</f>
        <v>0</v>
      </c>
      <c r="F1385" s="47"/>
      <c r="G1385" s="47" t="str">
        <f>IFERROR(__xludf.DUMMYFUNCTION("""COMPUTED_VALUE"""),"")</f>
        <v/>
      </c>
      <c r="H1385" s="47"/>
      <c r="I1385" s="47">
        <f>IFERROR(__xludf.DUMMYFUNCTION("""COMPUTED_VALUE"""),0.0)</f>
        <v>0</v>
      </c>
      <c r="J1385" s="47" t="str">
        <f>IFERROR(__xludf.DUMMYFUNCTION("""COMPUTED_VALUE"""),"#VALUE!")</f>
        <v>#VALUE!</v>
      </c>
      <c r="K1385" s="47"/>
      <c r="L1385" s="47"/>
      <c r="M1385" s="47"/>
    </row>
    <row r="1386">
      <c r="A1386" s="47" t="str">
        <f>IFERROR(__xludf.DUMMYFUNCTION("""COMPUTED_VALUE"""),"Virtual Brown")</f>
        <v>Virtual Brown</v>
      </c>
      <c r="B1386" s="47"/>
      <c r="C1386" s="47"/>
      <c r="D1386" s="47"/>
      <c r="E1386" s="47" t="b">
        <f>IFERROR(__xludf.DUMMYFUNCTION("""COMPUTED_VALUE"""),FALSE)</f>
        <v>0</v>
      </c>
      <c r="F1386" s="47"/>
      <c r="G1386" s="47" t="str">
        <f>IFERROR(__xludf.DUMMYFUNCTION("""COMPUTED_VALUE"""),"")</f>
        <v/>
      </c>
      <c r="H1386" s="47"/>
      <c r="I1386" s="47">
        <f>IFERROR(__xludf.DUMMYFUNCTION("""COMPUTED_VALUE"""),0.0)</f>
        <v>0</v>
      </c>
      <c r="J1386" s="47" t="str">
        <f>IFERROR(__xludf.DUMMYFUNCTION("""COMPUTED_VALUE"""),"#VALUE!")</f>
        <v>#VALUE!</v>
      </c>
      <c r="K1386" s="47"/>
      <c r="L1386" s="47"/>
      <c r="M1386" s="47"/>
    </row>
    <row r="1387">
      <c r="A1387" s="47" t="str">
        <f>IFERROR(__xludf.DUMMYFUNCTION("""COMPUTED_VALUE"""),"Virtual Brown")</f>
        <v>Virtual Brown</v>
      </c>
      <c r="B1387" s="47" t="str">
        <f>IFERROR(__xludf.DUMMYFUNCTION("""COMPUTED_VALUE"""),"Bisquick2")</f>
        <v>Bisquick2</v>
      </c>
      <c r="C1387" s="78" t="str">
        <f>IFERROR(__xludf.DUMMYFUNCTION("""COMPUTED_VALUE"""),"https://www.munzee.com/m/Bisquick2/7182/")</f>
        <v>https://www.munzee.com/m/Bisquick2/7182/</v>
      </c>
      <c r="D1387" s="47"/>
      <c r="E1387" s="47" t="b">
        <f>IFERROR(__xludf.DUMMYFUNCTION("""COMPUTED_VALUE"""),TRUE)</f>
        <v>1</v>
      </c>
      <c r="F1387" s="47" t="str">
        <f>IFERROR(__xludf.DUMMYFUNCTION("""COMPUTED_VALUE"""),"")</f>
        <v/>
      </c>
      <c r="G1387" s="47" t="str">
        <f>IFERROR(__xludf.DUMMYFUNCTION("""COMPUTED_VALUE"""),"")</f>
        <v/>
      </c>
      <c r="H1387" s="47"/>
      <c r="I1387" s="47">
        <f>IFERROR(__xludf.DUMMYFUNCTION("""COMPUTED_VALUE"""),2.0)</f>
        <v>2</v>
      </c>
      <c r="J1387" s="47" t="str">
        <f>IFERROR(__xludf.DUMMYFUNCTION("""COMPUTED_VALUE"""),"https:")</f>
        <v>https:</v>
      </c>
      <c r="K1387" s="78" t="str">
        <f>IFERROR(__xludf.DUMMYFUNCTION("""COMPUTED_VALUE"""),"www.munzee.com")</f>
        <v>www.munzee.com</v>
      </c>
      <c r="L1387" s="47" t="str">
        <f>IFERROR(__xludf.DUMMYFUNCTION("""COMPUTED_VALUE"""),"m")</f>
        <v>m</v>
      </c>
      <c r="M1387" s="47" t="str">
        <f>IFERROR(__xludf.DUMMYFUNCTION("""COMPUTED_VALUE"""),"Bisquick2")</f>
        <v>Bisquick2</v>
      </c>
    </row>
    <row r="1388">
      <c r="A1388" s="47" t="str">
        <f>IFERROR(__xludf.DUMMYFUNCTION("""COMPUTED_VALUE"""),"Virtual Brown")</f>
        <v>Virtual Brown</v>
      </c>
      <c r="B1388" s="47" t="str">
        <f>IFERROR(__xludf.DUMMYFUNCTION("""COMPUTED_VALUE"""),"wally62")</f>
        <v>wally62</v>
      </c>
      <c r="C1388" s="78" t="str">
        <f>IFERROR(__xludf.DUMMYFUNCTION("""COMPUTED_VALUE"""),"https://www.munzee.com/m/wally62/5784/")</f>
        <v>https://www.munzee.com/m/wally62/5784/</v>
      </c>
      <c r="D1388" s="47"/>
      <c r="E1388" s="47" t="b">
        <f>IFERROR(__xludf.DUMMYFUNCTION("""COMPUTED_VALUE"""),TRUE)</f>
        <v>1</v>
      </c>
      <c r="F1388" s="47" t="str">
        <f>IFERROR(__xludf.DUMMYFUNCTION("""COMPUTED_VALUE"""),"")</f>
        <v/>
      </c>
      <c r="G1388" s="47" t="str">
        <f>IFERROR(__xludf.DUMMYFUNCTION("""COMPUTED_VALUE"""),"")</f>
        <v/>
      </c>
      <c r="H1388" s="47"/>
      <c r="I1388" s="47">
        <f>IFERROR(__xludf.DUMMYFUNCTION("""COMPUTED_VALUE"""),2.0)</f>
        <v>2</v>
      </c>
      <c r="J1388" s="47" t="str">
        <f>IFERROR(__xludf.DUMMYFUNCTION("""COMPUTED_VALUE"""),"https:")</f>
        <v>https:</v>
      </c>
      <c r="K1388" s="78" t="str">
        <f>IFERROR(__xludf.DUMMYFUNCTION("""COMPUTED_VALUE"""),"www.munzee.com")</f>
        <v>www.munzee.com</v>
      </c>
      <c r="L1388" s="47" t="str">
        <f>IFERROR(__xludf.DUMMYFUNCTION("""COMPUTED_VALUE"""),"m")</f>
        <v>m</v>
      </c>
      <c r="M1388" s="47" t="str">
        <f>IFERROR(__xludf.DUMMYFUNCTION("""COMPUTED_VALUE"""),"wally62")</f>
        <v>wally62</v>
      </c>
    </row>
    <row r="1389">
      <c r="A1389" s="47" t="str">
        <f>IFERROR(__xludf.DUMMYFUNCTION("""COMPUTED_VALUE"""),"Virtual Raw Sienna")</f>
        <v>Virtual Raw Sienna</v>
      </c>
      <c r="B1389" s="47"/>
      <c r="C1389" s="47"/>
      <c r="D1389" s="47"/>
      <c r="E1389" s="47" t="b">
        <f>IFERROR(__xludf.DUMMYFUNCTION("""COMPUTED_VALUE"""),FALSE)</f>
        <v>0</v>
      </c>
      <c r="F1389" s="47"/>
      <c r="G1389" s="47" t="str">
        <f>IFERROR(__xludf.DUMMYFUNCTION("""COMPUTED_VALUE"""),"")</f>
        <v/>
      </c>
      <c r="H1389" s="47"/>
      <c r="I1389" s="47">
        <f>IFERROR(__xludf.DUMMYFUNCTION("""COMPUTED_VALUE"""),0.0)</f>
        <v>0</v>
      </c>
      <c r="J1389" s="47" t="str">
        <f>IFERROR(__xludf.DUMMYFUNCTION("""COMPUTED_VALUE"""),"#VALUE!")</f>
        <v>#VALUE!</v>
      </c>
      <c r="K1389" s="47"/>
      <c r="L1389" s="47"/>
      <c r="M1389" s="47"/>
    </row>
    <row r="1390">
      <c r="A1390" s="47" t="str">
        <f>IFERROR(__xludf.DUMMYFUNCTION("""COMPUTED_VALUE"""),"Virtual Brown")</f>
        <v>Virtual Brown</v>
      </c>
      <c r="B1390" s="47"/>
      <c r="C1390" s="47"/>
      <c r="D1390" s="47"/>
      <c r="E1390" s="47" t="b">
        <f>IFERROR(__xludf.DUMMYFUNCTION("""COMPUTED_VALUE"""),FALSE)</f>
        <v>0</v>
      </c>
      <c r="F1390" s="47"/>
      <c r="G1390" s="47" t="str">
        <f>IFERROR(__xludf.DUMMYFUNCTION("""COMPUTED_VALUE"""),"")</f>
        <v/>
      </c>
      <c r="H1390" s="47"/>
      <c r="I1390" s="47">
        <f>IFERROR(__xludf.DUMMYFUNCTION("""COMPUTED_VALUE"""),0.0)</f>
        <v>0</v>
      </c>
      <c r="J1390" s="47" t="str">
        <f>IFERROR(__xludf.DUMMYFUNCTION("""COMPUTED_VALUE"""),"#VALUE!")</f>
        <v>#VALUE!</v>
      </c>
      <c r="K1390" s="47"/>
      <c r="L1390" s="47"/>
      <c r="M1390" s="47"/>
    </row>
    <row r="1391">
      <c r="A1391" s="47" t="str">
        <f>IFERROR(__xludf.DUMMYFUNCTION("""COMPUTED_VALUE"""),"Virtual Brown")</f>
        <v>Virtual Brown</v>
      </c>
      <c r="B1391" s="47"/>
      <c r="C1391" s="47"/>
      <c r="D1391" s="47"/>
      <c r="E1391" s="47" t="b">
        <f>IFERROR(__xludf.DUMMYFUNCTION("""COMPUTED_VALUE"""),FALSE)</f>
        <v>0</v>
      </c>
      <c r="F1391" s="47"/>
      <c r="G1391" s="47" t="str">
        <f>IFERROR(__xludf.DUMMYFUNCTION("""COMPUTED_VALUE"""),"")</f>
        <v/>
      </c>
      <c r="H1391" s="47"/>
      <c r="I1391" s="47">
        <f>IFERROR(__xludf.DUMMYFUNCTION("""COMPUTED_VALUE"""),0.0)</f>
        <v>0</v>
      </c>
      <c r="J1391" s="47" t="str">
        <f>IFERROR(__xludf.DUMMYFUNCTION("""COMPUTED_VALUE"""),"#VALUE!")</f>
        <v>#VALUE!</v>
      </c>
      <c r="K1391" s="47"/>
      <c r="L1391" s="47"/>
      <c r="M1391" s="47"/>
    </row>
    <row r="1392">
      <c r="A1392" s="47" t="str">
        <f>IFERROR(__xludf.DUMMYFUNCTION("""COMPUTED_VALUE"""),"Virtual Raw Sienna")</f>
        <v>Virtual Raw Sienna</v>
      </c>
      <c r="B1392" s="47"/>
      <c r="C1392" s="47"/>
      <c r="D1392" s="47"/>
      <c r="E1392" s="47" t="b">
        <f>IFERROR(__xludf.DUMMYFUNCTION("""COMPUTED_VALUE"""),FALSE)</f>
        <v>0</v>
      </c>
      <c r="F1392" s="47"/>
      <c r="G1392" s="47" t="str">
        <f>IFERROR(__xludf.DUMMYFUNCTION("""COMPUTED_VALUE"""),"")</f>
        <v/>
      </c>
      <c r="H1392" s="47"/>
      <c r="I1392" s="47">
        <f>IFERROR(__xludf.DUMMYFUNCTION("""COMPUTED_VALUE"""),0.0)</f>
        <v>0</v>
      </c>
      <c r="J1392" s="47" t="str">
        <f>IFERROR(__xludf.DUMMYFUNCTION("""COMPUTED_VALUE"""),"#VALUE!")</f>
        <v>#VALUE!</v>
      </c>
      <c r="K1392" s="47"/>
      <c r="L1392" s="47"/>
      <c r="M1392" s="47"/>
    </row>
    <row r="1393">
      <c r="A1393" s="47" t="str">
        <f>IFERROR(__xludf.DUMMYFUNCTION("""COMPUTED_VALUE"""),"Virtual Brown")</f>
        <v>Virtual Brown</v>
      </c>
      <c r="B1393" s="47" t="str">
        <f>IFERROR(__xludf.DUMMYFUNCTION("""COMPUTED_VALUE"""),"TheFrog")</f>
        <v>TheFrog</v>
      </c>
      <c r="C1393" s="78" t="str">
        <f>IFERROR(__xludf.DUMMYFUNCTION("""COMPUTED_VALUE"""),"https://www.munzee.com/m/TheFrog/5821/")</f>
        <v>https://www.munzee.com/m/TheFrog/5821/</v>
      </c>
      <c r="D1393" s="47"/>
      <c r="E1393" s="47" t="b">
        <f>IFERROR(__xludf.DUMMYFUNCTION("""COMPUTED_VALUE"""),TRUE)</f>
        <v>1</v>
      </c>
      <c r="F1393" s="47" t="str">
        <f>IFERROR(__xludf.DUMMYFUNCTION("""COMPUTED_VALUE"""),"")</f>
        <v/>
      </c>
      <c r="G1393" s="47" t="str">
        <f>IFERROR(__xludf.DUMMYFUNCTION("""COMPUTED_VALUE"""),"")</f>
        <v/>
      </c>
      <c r="H1393" s="47"/>
      <c r="I1393" s="47">
        <f>IFERROR(__xludf.DUMMYFUNCTION("""COMPUTED_VALUE"""),2.0)</f>
        <v>2</v>
      </c>
      <c r="J1393" s="47" t="str">
        <f>IFERROR(__xludf.DUMMYFUNCTION("""COMPUTED_VALUE"""),"https:")</f>
        <v>https:</v>
      </c>
      <c r="K1393" s="78" t="str">
        <f>IFERROR(__xludf.DUMMYFUNCTION("""COMPUTED_VALUE"""),"www.munzee.com")</f>
        <v>www.munzee.com</v>
      </c>
      <c r="L1393" s="47" t="str">
        <f>IFERROR(__xludf.DUMMYFUNCTION("""COMPUTED_VALUE"""),"m")</f>
        <v>m</v>
      </c>
      <c r="M1393" s="47" t="str">
        <f>IFERROR(__xludf.DUMMYFUNCTION("""COMPUTED_VALUE"""),"TheFrog")</f>
        <v>TheFrog</v>
      </c>
    </row>
    <row r="1394">
      <c r="A1394" s="47" t="str">
        <f>IFERROR(__xludf.DUMMYFUNCTION("""COMPUTED_VALUE"""),"Virtual Brown")</f>
        <v>Virtual Brown</v>
      </c>
      <c r="B1394" s="47" t="str">
        <f>IFERROR(__xludf.DUMMYFUNCTION("""COMPUTED_VALUE"""),"123xilef")</f>
        <v>123xilef</v>
      </c>
      <c r="C1394" s="78" t="str">
        <f>IFERROR(__xludf.DUMMYFUNCTION("""COMPUTED_VALUE"""),"https://www.munzee.com/m/123xilef/13720/")</f>
        <v>https://www.munzee.com/m/123xilef/13720/</v>
      </c>
      <c r="D1394" s="47"/>
      <c r="E1394" s="47" t="b">
        <f>IFERROR(__xludf.DUMMYFUNCTION("""COMPUTED_VALUE"""),TRUE)</f>
        <v>1</v>
      </c>
      <c r="F1394" s="47" t="str">
        <f>IFERROR(__xludf.DUMMYFUNCTION("""COMPUTED_VALUE"""),"")</f>
        <v/>
      </c>
      <c r="G1394" s="47" t="str">
        <f>IFERROR(__xludf.DUMMYFUNCTION("""COMPUTED_VALUE"""),"")</f>
        <v/>
      </c>
      <c r="H1394" s="47"/>
      <c r="I1394" s="47">
        <f>IFERROR(__xludf.DUMMYFUNCTION("""COMPUTED_VALUE"""),2.0)</f>
        <v>2</v>
      </c>
      <c r="J1394" s="47" t="str">
        <f>IFERROR(__xludf.DUMMYFUNCTION("""COMPUTED_VALUE"""),"https:")</f>
        <v>https:</v>
      </c>
      <c r="K1394" s="78" t="str">
        <f>IFERROR(__xludf.DUMMYFUNCTION("""COMPUTED_VALUE"""),"www.munzee.com")</f>
        <v>www.munzee.com</v>
      </c>
      <c r="L1394" s="47" t="str">
        <f>IFERROR(__xludf.DUMMYFUNCTION("""COMPUTED_VALUE"""),"m")</f>
        <v>m</v>
      </c>
      <c r="M1394" s="47" t="str">
        <f>IFERROR(__xludf.DUMMYFUNCTION("""COMPUTED_VALUE"""),"123xilef")</f>
        <v>123xilef</v>
      </c>
    </row>
    <row r="1395">
      <c r="A1395" s="47" t="str">
        <f>IFERROR(__xludf.DUMMYFUNCTION("""COMPUTED_VALUE"""),"Virtual Raw Sienna")</f>
        <v>Virtual Raw Sienna</v>
      </c>
      <c r="B1395" s="47" t="str">
        <f>IFERROR(__xludf.DUMMYFUNCTION("""COMPUTED_VALUE"""),"res2100")</f>
        <v>res2100</v>
      </c>
      <c r="C1395" s="78" t="str">
        <f>IFERROR(__xludf.DUMMYFUNCTION("""COMPUTED_VALUE"""),"https://www.munzee.com/m/res2100/760")</f>
        <v>https://www.munzee.com/m/res2100/760</v>
      </c>
      <c r="D1395" s="47"/>
      <c r="E1395" s="47" t="b">
        <f>IFERROR(__xludf.DUMMYFUNCTION("""COMPUTED_VALUE"""),TRUE)</f>
        <v>1</v>
      </c>
      <c r="F1395" s="47" t="str">
        <f>IFERROR(__xludf.DUMMYFUNCTION("""COMPUTED_VALUE"""),"")</f>
        <v/>
      </c>
      <c r="G1395" s="47" t="str">
        <f>IFERROR(__xludf.DUMMYFUNCTION("""COMPUTED_VALUE"""),"")</f>
        <v/>
      </c>
      <c r="H1395" s="47"/>
      <c r="I1395" s="47">
        <f>IFERROR(__xludf.DUMMYFUNCTION("""COMPUTED_VALUE"""),2.0)</f>
        <v>2</v>
      </c>
      <c r="J1395" s="47" t="str">
        <f>IFERROR(__xludf.DUMMYFUNCTION("""COMPUTED_VALUE"""),"https:")</f>
        <v>https:</v>
      </c>
      <c r="K1395" s="78" t="str">
        <f>IFERROR(__xludf.DUMMYFUNCTION("""COMPUTED_VALUE"""),"www.munzee.com")</f>
        <v>www.munzee.com</v>
      </c>
      <c r="L1395" s="47" t="str">
        <f>IFERROR(__xludf.DUMMYFUNCTION("""COMPUTED_VALUE"""),"m")</f>
        <v>m</v>
      </c>
      <c r="M1395" s="47" t="str">
        <f>IFERROR(__xludf.DUMMYFUNCTION("""COMPUTED_VALUE"""),"res2100")</f>
        <v>res2100</v>
      </c>
    </row>
    <row r="1396">
      <c r="A1396" s="47" t="str">
        <f>IFERROR(__xludf.DUMMYFUNCTION("""COMPUTED_VALUE"""),"Virtual Brown")</f>
        <v>Virtual Brown</v>
      </c>
      <c r="B1396" s="47"/>
      <c r="C1396" s="47"/>
      <c r="D1396" s="47"/>
      <c r="E1396" s="47" t="b">
        <f>IFERROR(__xludf.DUMMYFUNCTION("""COMPUTED_VALUE"""),FALSE)</f>
        <v>0</v>
      </c>
      <c r="F1396" s="47"/>
      <c r="G1396" s="47" t="str">
        <f>IFERROR(__xludf.DUMMYFUNCTION("""COMPUTED_VALUE"""),"")</f>
        <v/>
      </c>
      <c r="H1396" s="47"/>
      <c r="I1396" s="47">
        <f>IFERROR(__xludf.DUMMYFUNCTION("""COMPUTED_VALUE"""),0.0)</f>
        <v>0</v>
      </c>
      <c r="J1396" s="47" t="str">
        <f>IFERROR(__xludf.DUMMYFUNCTION("""COMPUTED_VALUE"""),"#VALUE!")</f>
        <v>#VALUE!</v>
      </c>
      <c r="K1396" s="47"/>
      <c r="L1396" s="47"/>
      <c r="M1396" s="47"/>
    </row>
    <row r="1397">
      <c r="A1397" s="47" t="str">
        <f>IFERROR(__xludf.DUMMYFUNCTION("""COMPUTED_VALUE"""),"Virtual Brown")</f>
        <v>Virtual Brown</v>
      </c>
      <c r="B1397" s="47"/>
      <c r="C1397" s="47"/>
      <c r="D1397" s="47"/>
      <c r="E1397" s="47" t="b">
        <f>IFERROR(__xludf.DUMMYFUNCTION("""COMPUTED_VALUE"""),FALSE)</f>
        <v>0</v>
      </c>
      <c r="F1397" s="47"/>
      <c r="G1397" s="47" t="str">
        <f>IFERROR(__xludf.DUMMYFUNCTION("""COMPUTED_VALUE"""),"")</f>
        <v/>
      </c>
      <c r="H1397" s="47"/>
      <c r="I1397" s="47">
        <f>IFERROR(__xludf.DUMMYFUNCTION("""COMPUTED_VALUE"""),0.0)</f>
        <v>0</v>
      </c>
      <c r="J1397" s="47" t="str">
        <f>IFERROR(__xludf.DUMMYFUNCTION("""COMPUTED_VALUE"""),"#VALUE!")</f>
        <v>#VALUE!</v>
      </c>
      <c r="K1397" s="47"/>
      <c r="L1397" s="47"/>
      <c r="M1397" s="47"/>
    </row>
    <row r="1398">
      <c r="A1398" s="47" t="str">
        <f>IFERROR(__xludf.DUMMYFUNCTION("""COMPUTED_VALUE"""),"Virtual Brown")</f>
        <v>Virtual Brown</v>
      </c>
      <c r="B1398" s="47"/>
      <c r="C1398" s="47"/>
      <c r="D1398" s="47"/>
      <c r="E1398" s="47" t="b">
        <f>IFERROR(__xludf.DUMMYFUNCTION("""COMPUTED_VALUE"""),FALSE)</f>
        <v>0</v>
      </c>
      <c r="F1398" s="47"/>
      <c r="G1398" s="47" t="str">
        <f>IFERROR(__xludf.DUMMYFUNCTION("""COMPUTED_VALUE"""),"")</f>
        <v/>
      </c>
      <c r="H1398" s="47"/>
      <c r="I1398" s="47">
        <f>IFERROR(__xludf.DUMMYFUNCTION("""COMPUTED_VALUE"""),0.0)</f>
        <v>0</v>
      </c>
      <c r="J1398" s="47" t="str">
        <f>IFERROR(__xludf.DUMMYFUNCTION("""COMPUTED_VALUE"""),"#VALUE!")</f>
        <v>#VALUE!</v>
      </c>
      <c r="K1398" s="47"/>
      <c r="L1398" s="47"/>
      <c r="M1398" s="47"/>
    </row>
    <row r="1399">
      <c r="A1399" s="47" t="str">
        <f>IFERROR(__xludf.DUMMYFUNCTION("""COMPUTED_VALUE"""),"Virtual Brown")</f>
        <v>Virtual Brown</v>
      </c>
      <c r="B1399" s="47"/>
      <c r="C1399" s="47"/>
      <c r="D1399" s="47"/>
      <c r="E1399" s="47" t="b">
        <f>IFERROR(__xludf.DUMMYFUNCTION("""COMPUTED_VALUE"""),FALSE)</f>
        <v>0</v>
      </c>
      <c r="F1399" s="47"/>
      <c r="G1399" s="47" t="str">
        <f>IFERROR(__xludf.DUMMYFUNCTION("""COMPUTED_VALUE"""),"")</f>
        <v/>
      </c>
      <c r="H1399" s="47"/>
      <c r="I1399" s="47">
        <f>IFERROR(__xludf.DUMMYFUNCTION("""COMPUTED_VALUE"""),0.0)</f>
        <v>0</v>
      </c>
      <c r="J1399" s="47" t="str">
        <f>IFERROR(__xludf.DUMMYFUNCTION("""COMPUTED_VALUE"""),"#VALUE!")</f>
        <v>#VALUE!</v>
      </c>
      <c r="K1399" s="47"/>
      <c r="L1399" s="47"/>
      <c r="M1399" s="47"/>
    </row>
    <row r="1400">
      <c r="A1400" s="47" t="str">
        <f>IFERROR(__xludf.DUMMYFUNCTION("""COMPUTED_VALUE"""),"Virtual Brown")</f>
        <v>Virtual Brown</v>
      </c>
      <c r="B1400" s="47" t="str">
        <f>IFERROR(__xludf.DUMMYFUNCTION("""COMPUTED_VALUE"""),"mortonfox")</f>
        <v>mortonfox</v>
      </c>
      <c r="C1400" s="78" t="str">
        <f>IFERROR(__xludf.DUMMYFUNCTION("""COMPUTED_VALUE"""),"https://www.munzee.com/m/mortonfox/24218/")</f>
        <v>https://www.munzee.com/m/mortonfox/24218/</v>
      </c>
      <c r="D1400" s="47"/>
      <c r="E1400" s="47" t="b">
        <f>IFERROR(__xludf.DUMMYFUNCTION("""COMPUTED_VALUE"""),TRUE)</f>
        <v>1</v>
      </c>
      <c r="F1400" s="47" t="str">
        <f>IFERROR(__xludf.DUMMYFUNCTION("""COMPUTED_VALUE"""),"")</f>
        <v/>
      </c>
      <c r="G1400" s="47" t="str">
        <f>IFERROR(__xludf.DUMMYFUNCTION("""COMPUTED_VALUE"""),"")</f>
        <v/>
      </c>
      <c r="H1400" s="47"/>
      <c r="I1400" s="47">
        <f>IFERROR(__xludf.DUMMYFUNCTION("""COMPUTED_VALUE"""),2.0)</f>
        <v>2</v>
      </c>
      <c r="J1400" s="47" t="str">
        <f>IFERROR(__xludf.DUMMYFUNCTION("""COMPUTED_VALUE"""),"https:")</f>
        <v>https:</v>
      </c>
      <c r="K1400" s="78" t="str">
        <f>IFERROR(__xludf.DUMMYFUNCTION("""COMPUTED_VALUE"""),"www.munzee.com")</f>
        <v>www.munzee.com</v>
      </c>
      <c r="L1400" s="47" t="str">
        <f>IFERROR(__xludf.DUMMYFUNCTION("""COMPUTED_VALUE"""),"m")</f>
        <v>m</v>
      </c>
      <c r="M1400" s="47" t="str">
        <f>IFERROR(__xludf.DUMMYFUNCTION("""COMPUTED_VALUE"""),"mortonfox")</f>
        <v>mortonfox</v>
      </c>
    </row>
    <row r="1401">
      <c r="A1401" s="47" t="str">
        <f>IFERROR(__xludf.DUMMYFUNCTION("""COMPUTED_VALUE"""),"Virtual Brown")</f>
        <v>Virtual Brown</v>
      </c>
      <c r="B1401" s="47"/>
      <c r="C1401" s="47"/>
      <c r="D1401" s="47"/>
      <c r="E1401" s="47" t="b">
        <f>IFERROR(__xludf.DUMMYFUNCTION("""COMPUTED_VALUE"""),FALSE)</f>
        <v>0</v>
      </c>
      <c r="F1401" s="47"/>
      <c r="G1401" s="47" t="str">
        <f>IFERROR(__xludf.DUMMYFUNCTION("""COMPUTED_VALUE"""),"")</f>
        <v/>
      </c>
      <c r="H1401" s="47"/>
      <c r="I1401" s="47">
        <f>IFERROR(__xludf.DUMMYFUNCTION("""COMPUTED_VALUE"""),0.0)</f>
        <v>0</v>
      </c>
      <c r="J1401" s="47" t="str">
        <f>IFERROR(__xludf.DUMMYFUNCTION("""COMPUTED_VALUE"""),"#VALUE!")</f>
        <v>#VALUE!</v>
      </c>
      <c r="K1401" s="47"/>
      <c r="L1401" s="47"/>
      <c r="M1401" s="47"/>
    </row>
    <row r="1402">
      <c r="A1402" s="47" t="str">
        <f>IFERROR(__xludf.DUMMYFUNCTION("""COMPUTED_VALUE"""),"Virtual Raw Sienna")</f>
        <v>Virtual Raw Sienna</v>
      </c>
      <c r="B1402" s="47"/>
      <c r="C1402" s="47"/>
      <c r="D1402" s="47"/>
      <c r="E1402" s="47" t="b">
        <f>IFERROR(__xludf.DUMMYFUNCTION("""COMPUTED_VALUE"""),FALSE)</f>
        <v>0</v>
      </c>
      <c r="F1402" s="47"/>
      <c r="G1402" s="47" t="str">
        <f>IFERROR(__xludf.DUMMYFUNCTION("""COMPUTED_VALUE"""),"")</f>
        <v/>
      </c>
      <c r="H1402" s="47"/>
      <c r="I1402" s="47">
        <f>IFERROR(__xludf.DUMMYFUNCTION("""COMPUTED_VALUE"""),0.0)</f>
        <v>0</v>
      </c>
      <c r="J1402" s="47" t="str">
        <f>IFERROR(__xludf.DUMMYFUNCTION("""COMPUTED_VALUE"""),"#VALUE!")</f>
        <v>#VALUE!</v>
      </c>
      <c r="K1402" s="47"/>
      <c r="L1402" s="47"/>
      <c r="M1402" s="47"/>
    </row>
    <row r="1403">
      <c r="A1403" s="47" t="str">
        <f>IFERROR(__xludf.DUMMYFUNCTION("""COMPUTED_VALUE"""),"Virtual Raw Sienna")</f>
        <v>Virtual Raw Sienna</v>
      </c>
      <c r="B1403" s="47"/>
      <c r="C1403" s="47"/>
      <c r="D1403" s="47"/>
      <c r="E1403" s="47" t="b">
        <f>IFERROR(__xludf.DUMMYFUNCTION("""COMPUTED_VALUE"""),FALSE)</f>
        <v>0</v>
      </c>
      <c r="F1403" s="47"/>
      <c r="G1403" s="47" t="str">
        <f>IFERROR(__xludf.DUMMYFUNCTION("""COMPUTED_VALUE"""),"")</f>
        <v/>
      </c>
      <c r="H1403" s="47"/>
      <c r="I1403" s="47">
        <f>IFERROR(__xludf.DUMMYFUNCTION("""COMPUTED_VALUE"""),0.0)</f>
        <v>0</v>
      </c>
      <c r="J1403" s="47" t="str">
        <f>IFERROR(__xludf.DUMMYFUNCTION("""COMPUTED_VALUE"""),"#VALUE!")</f>
        <v>#VALUE!</v>
      </c>
      <c r="K1403" s="47"/>
      <c r="L1403" s="47"/>
      <c r="M1403" s="47"/>
    </row>
    <row r="1404">
      <c r="A1404" s="47" t="str">
        <f>IFERROR(__xludf.DUMMYFUNCTION("""COMPUTED_VALUE"""),"Virtual Brown")</f>
        <v>Virtual Brown</v>
      </c>
      <c r="B1404" s="47" t="str">
        <f>IFERROR(__xludf.DUMMYFUNCTION("""COMPUTED_VALUE"""),"barefootguru")</f>
        <v>barefootguru</v>
      </c>
      <c r="C1404" s="78" t="str">
        <f>IFERROR(__xludf.DUMMYFUNCTION("""COMPUTED_VALUE"""),"https://www.munzee.com/m/barefootguru/3670/")</f>
        <v>https://www.munzee.com/m/barefootguru/3670/</v>
      </c>
      <c r="D1404" s="47"/>
      <c r="E1404" s="47" t="b">
        <f>IFERROR(__xludf.DUMMYFUNCTION("""COMPUTED_VALUE"""),TRUE)</f>
        <v>1</v>
      </c>
      <c r="F1404" s="47" t="str">
        <f>IFERROR(__xludf.DUMMYFUNCTION("""COMPUTED_VALUE"""),"")</f>
        <v/>
      </c>
      <c r="G1404" s="47" t="str">
        <f>IFERROR(__xludf.DUMMYFUNCTION("""COMPUTED_VALUE"""),"")</f>
        <v/>
      </c>
      <c r="H1404" s="47"/>
      <c r="I1404" s="47">
        <f>IFERROR(__xludf.DUMMYFUNCTION("""COMPUTED_VALUE"""),2.0)</f>
        <v>2</v>
      </c>
      <c r="J1404" s="47" t="str">
        <f>IFERROR(__xludf.DUMMYFUNCTION("""COMPUTED_VALUE"""),"https:")</f>
        <v>https:</v>
      </c>
      <c r="K1404" s="78" t="str">
        <f>IFERROR(__xludf.DUMMYFUNCTION("""COMPUTED_VALUE"""),"www.munzee.com")</f>
        <v>www.munzee.com</v>
      </c>
      <c r="L1404" s="47" t="str">
        <f>IFERROR(__xludf.DUMMYFUNCTION("""COMPUTED_VALUE"""),"m")</f>
        <v>m</v>
      </c>
      <c r="M1404" s="47" t="str">
        <f>IFERROR(__xludf.DUMMYFUNCTION("""COMPUTED_VALUE"""),"barefootguru")</f>
        <v>barefootguru</v>
      </c>
    </row>
    <row r="1405">
      <c r="A1405" s="47" t="str">
        <f>IFERROR(__xludf.DUMMYFUNCTION("""COMPUTED_VALUE"""),"Virtual Brown")</f>
        <v>Virtual Brown</v>
      </c>
      <c r="B1405" s="47" t="str">
        <f>IFERROR(__xludf.DUMMYFUNCTION("""COMPUTED_VALUE"""),"belladivadee")</f>
        <v>belladivadee</v>
      </c>
      <c r="C1405" s="47"/>
      <c r="D1405" s="47"/>
      <c r="E1405" s="47" t="b">
        <f>IFERROR(__xludf.DUMMYFUNCTION("""COMPUTED_VALUE"""),FALSE)</f>
        <v>0</v>
      </c>
      <c r="F1405" s="58">
        <f>IFERROR(__xludf.DUMMYFUNCTION("""COMPUTED_VALUE"""),44357.525639375)</f>
        <v>44357.52564</v>
      </c>
      <c r="G1405" s="47" t="str">
        <f>IFERROR(__xludf.DUMMYFUNCTION("""COMPUTED_VALUE"""),"")</f>
        <v/>
      </c>
      <c r="H1405" s="47"/>
      <c r="I1405" s="47">
        <f>IFERROR(__xludf.DUMMYFUNCTION("""COMPUTED_VALUE"""),0.0)</f>
        <v>0</v>
      </c>
      <c r="J1405" s="47" t="str">
        <f>IFERROR(__xludf.DUMMYFUNCTION("""COMPUTED_VALUE"""),"#VALUE!")</f>
        <v>#VALUE!</v>
      </c>
      <c r="K1405" s="47"/>
      <c r="L1405" s="47"/>
      <c r="M1405" s="47"/>
    </row>
    <row r="1406">
      <c r="A1406" s="47" t="str">
        <f>IFERROR(__xludf.DUMMYFUNCTION("""COMPUTED_VALUE"""),"Virtual Brown")</f>
        <v>Virtual Brown</v>
      </c>
      <c r="B1406" s="47" t="str">
        <f>IFERROR(__xludf.DUMMYFUNCTION("""COMPUTED_VALUE"""),"sverlaan")</f>
        <v>sverlaan</v>
      </c>
      <c r="C1406" s="47"/>
      <c r="D1406" s="47"/>
      <c r="E1406" s="47" t="b">
        <f>IFERROR(__xludf.DUMMYFUNCTION("""COMPUTED_VALUE"""),FALSE)</f>
        <v>0</v>
      </c>
      <c r="F1406" s="58">
        <f>IFERROR(__xludf.DUMMYFUNCTION("""COMPUTED_VALUE"""),44357.525655844904)</f>
        <v>44357.52566</v>
      </c>
      <c r="G1406" s="47" t="str">
        <f>IFERROR(__xludf.DUMMYFUNCTION("""COMPUTED_VALUE"""),"")</f>
        <v/>
      </c>
      <c r="H1406" s="47"/>
      <c r="I1406" s="47">
        <f>IFERROR(__xludf.DUMMYFUNCTION("""COMPUTED_VALUE"""),0.0)</f>
        <v>0</v>
      </c>
      <c r="J1406" s="47" t="str">
        <f>IFERROR(__xludf.DUMMYFUNCTION("""COMPUTED_VALUE"""),"#VALUE!")</f>
        <v>#VALUE!</v>
      </c>
      <c r="K1406" s="47"/>
      <c r="L1406" s="47"/>
      <c r="M1406" s="47"/>
    </row>
    <row r="1407">
      <c r="A1407" s="47" t="str">
        <f>IFERROR(__xludf.DUMMYFUNCTION("""COMPUTED_VALUE"""),"Virtual Raw Sienna")</f>
        <v>Virtual Raw Sienna</v>
      </c>
      <c r="B1407" s="47" t="str">
        <f>IFERROR(__xludf.DUMMYFUNCTION("""COMPUTED_VALUE"""),"pawpatrolthomas")</f>
        <v>pawpatrolthomas</v>
      </c>
      <c r="C1407" s="47"/>
      <c r="D1407" s="47"/>
      <c r="E1407" s="47" t="b">
        <f>IFERROR(__xludf.DUMMYFUNCTION("""COMPUTED_VALUE"""),FALSE)</f>
        <v>0</v>
      </c>
      <c r="F1407" s="58">
        <f>IFERROR(__xludf.DUMMYFUNCTION("""COMPUTED_VALUE"""),44357.52569289352)</f>
        <v>44357.52569</v>
      </c>
      <c r="G1407" s="47" t="str">
        <f>IFERROR(__xludf.DUMMYFUNCTION("""COMPUTED_VALUE"""),"")</f>
        <v/>
      </c>
      <c r="H1407" s="47"/>
      <c r="I1407" s="47">
        <f>IFERROR(__xludf.DUMMYFUNCTION("""COMPUTED_VALUE"""),0.0)</f>
        <v>0</v>
      </c>
      <c r="J1407" s="47" t="str">
        <f>IFERROR(__xludf.DUMMYFUNCTION("""COMPUTED_VALUE"""),"#VALUE!")</f>
        <v>#VALUE!</v>
      </c>
      <c r="K1407" s="47"/>
      <c r="L1407" s="47"/>
      <c r="M1407" s="47"/>
    </row>
    <row r="1408">
      <c r="A1408" s="47" t="str">
        <f>IFERROR(__xludf.DUMMYFUNCTION("""COMPUTED_VALUE"""),"Virtual Raw Sienna")</f>
        <v>Virtual Raw Sienna</v>
      </c>
      <c r="B1408" s="47" t="str">
        <f>IFERROR(__xludf.DUMMYFUNCTION("""COMPUTED_VALUE"""),"emilep68")</f>
        <v>emilep68</v>
      </c>
      <c r="C1408" s="47"/>
      <c r="D1408" s="47"/>
      <c r="E1408" s="47" t="b">
        <f>IFERROR(__xludf.DUMMYFUNCTION("""COMPUTED_VALUE"""),FALSE)</f>
        <v>0</v>
      </c>
      <c r="F1408" s="58">
        <f>IFERROR(__xludf.DUMMYFUNCTION("""COMPUTED_VALUE"""),44357.525719930556)</f>
        <v>44357.52572</v>
      </c>
      <c r="G1408" s="47" t="str">
        <f>IFERROR(__xludf.DUMMYFUNCTION("""COMPUTED_VALUE"""),"")</f>
        <v/>
      </c>
      <c r="H1408" s="47"/>
      <c r="I1408" s="47">
        <f>IFERROR(__xludf.DUMMYFUNCTION("""COMPUTED_VALUE"""),0.0)</f>
        <v>0</v>
      </c>
      <c r="J1408" s="47" t="str">
        <f>IFERROR(__xludf.DUMMYFUNCTION("""COMPUTED_VALUE"""),"#VALUE!")</f>
        <v>#VALUE!</v>
      </c>
      <c r="K1408" s="47"/>
      <c r="L1408" s="47"/>
      <c r="M1408" s="47"/>
    </row>
    <row r="1409">
      <c r="A1409" s="47" t="str">
        <f>IFERROR(__xludf.DUMMYFUNCTION("""COMPUTED_VALUE"""),"Virtual Brown")</f>
        <v>Virtual Brown</v>
      </c>
      <c r="B1409" s="47"/>
      <c r="C1409" s="47"/>
      <c r="D1409" s="47"/>
      <c r="E1409" s="47" t="b">
        <f>IFERROR(__xludf.DUMMYFUNCTION("""COMPUTED_VALUE"""),FALSE)</f>
        <v>0</v>
      </c>
      <c r="F1409" s="47"/>
      <c r="G1409" s="47" t="str">
        <f>IFERROR(__xludf.DUMMYFUNCTION("""COMPUTED_VALUE"""),"")</f>
        <v/>
      </c>
      <c r="H1409" s="47"/>
      <c r="I1409" s="47">
        <f>IFERROR(__xludf.DUMMYFUNCTION("""COMPUTED_VALUE"""),0.0)</f>
        <v>0</v>
      </c>
      <c r="J1409" s="47" t="str">
        <f>IFERROR(__xludf.DUMMYFUNCTION("""COMPUTED_VALUE"""),"#VALUE!")</f>
        <v>#VALUE!</v>
      </c>
      <c r="K1409" s="47"/>
      <c r="L1409" s="47"/>
      <c r="M1409" s="47"/>
    </row>
    <row r="1410">
      <c r="A1410" s="47" t="str">
        <f>IFERROR(__xludf.DUMMYFUNCTION("""COMPUTED_VALUE"""),"Virtual Brown")</f>
        <v>Virtual Brown</v>
      </c>
      <c r="B1410" s="47"/>
      <c r="C1410" s="47"/>
      <c r="D1410" s="47"/>
      <c r="E1410" s="47" t="b">
        <f>IFERROR(__xludf.DUMMYFUNCTION("""COMPUTED_VALUE"""),FALSE)</f>
        <v>0</v>
      </c>
      <c r="F1410" s="47"/>
      <c r="G1410" s="47" t="str">
        <f>IFERROR(__xludf.DUMMYFUNCTION("""COMPUTED_VALUE"""),"")</f>
        <v/>
      </c>
      <c r="H1410" s="47"/>
      <c r="I1410" s="47">
        <f>IFERROR(__xludf.DUMMYFUNCTION("""COMPUTED_VALUE"""),0.0)</f>
        <v>0</v>
      </c>
      <c r="J1410" s="47" t="str">
        <f>IFERROR(__xludf.DUMMYFUNCTION("""COMPUTED_VALUE"""),"#VALUE!")</f>
        <v>#VALUE!</v>
      </c>
      <c r="K1410" s="47"/>
      <c r="L1410" s="47"/>
      <c r="M1410" s="47"/>
    </row>
    <row r="1411">
      <c r="A1411" s="47" t="str">
        <f>IFERROR(__xludf.DUMMYFUNCTION("""COMPUTED_VALUE"""),"Virtual Brown")</f>
        <v>Virtual Brown</v>
      </c>
      <c r="B1411" s="47"/>
      <c r="C1411" s="47"/>
      <c r="D1411" s="47"/>
      <c r="E1411" s="47" t="b">
        <f>IFERROR(__xludf.DUMMYFUNCTION("""COMPUTED_VALUE"""),FALSE)</f>
        <v>0</v>
      </c>
      <c r="F1411" s="47"/>
      <c r="G1411" s="47" t="str">
        <f>IFERROR(__xludf.DUMMYFUNCTION("""COMPUTED_VALUE"""),"")</f>
        <v/>
      </c>
      <c r="H1411" s="47"/>
      <c r="I1411" s="47">
        <f>IFERROR(__xludf.DUMMYFUNCTION("""COMPUTED_VALUE"""),0.0)</f>
        <v>0</v>
      </c>
      <c r="J1411" s="47" t="str">
        <f>IFERROR(__xludf.DUMMYFUNCTION("""COMPUTED_VALUE"""),"#VALUE!")</f>
        <v>#VALUE!</v>
      </c>
      <c r="K1411" s="47"/>
      <c r="L1411" s="47"/>
      <c r="M1411" s="47"/>
    </row>
    <row r="1412">
      <c r="A1412" s="47" t="str">
        <f>IFERROR(__xludf.DUMMYFUNCTION("""COMPUTED_VALUE"""),"Virtual Raw Sienna")</f>
        <v>Virtual Raw Sienna</v>
      </c>
      <c r="B1412" s="47"/>
      <c r="C1412" s="47"/>
      <c r="D1412" s="47"/>
      <c r="E1412" s="47" t="b">
        <f>IFERROR(__xludf.DUMMYFUNCTION("""COMPUTED_VALUE"""),FALSE)</f>
        <v>0</v>
      </c>
      <c r="F1412" s="47"/>
      <c r="G1412" s="47" t="str">
        <f>IFERROR(__xludf.DUMMYFUNCTION("""COMPUTED_VALUE"""),"")</f>
        <v/>
      </c>
      <c r="H1412" s="47"/>
      <c r="I1412" s="47">
        <f>IFERROR(__xludf.DUMMYFUNCTION("""COMPUTED_VALUE"""),0.0)</f>
        <v>0</v>
      </c>
      <c r="J1412" s="47" t="str">
        <f>IFERROR(__xludf.DUMMYFUNCTION("""COMPUTED_VALUE"""),"#VALUE!")</f>
        <v>#VALUE!</v>
      </c>
      <c r="K1412" s="47"/>
      <c r="L1412" s="47"/>
      <c r="M1412" s="47"/>
    </row>
    <row r="1413">
      <c r="A1413" s="47" t="str">
        <f>IFERROR(__xludf.DUMMYFUNCTION("""COMPUTED_VALUE"""),"Virtual Brown")</f>
        <v>Virtual Brown</v>
      </c>
      <c r="B1413" s="47"/>
      <c r="C1413" s="47"/>
      <c r="D1413" s="47"/>
      <c r="E1413" s="47" t="b">
        <f>IFERROR(__xludf.DUMMYFUNCTION("""COMPUTED_VALUE"""),FALSE)</f>
        <v>0</v>
      </c>
      <c r="F1413" s="47"/>
      <c r="G1413" s="47" t="str">
        <f>IFERROR(__xludf.DUMMYFUNCTION("""COMPUTED_VALUE"""),"")</f>
        <v/>
      </c>
      <c r="H1413" s="47"/>
      <c r="I1413" s="47">
        <f>IFERROR(__xludf.DUMMYFUNCTION("""COMPUTED_VALUE"""),0.0)</f>
        <v>0</v>
      </c>
      <c r="J1413" s="47" t="str">
        <f>IFERROR(__xludf.DUMMYFUNCTION("""COMPUTED_VALUE"""),"#VALUE!")</f>
        <v>#VALUE!</v>
      </c>
      <c r="K1413" s="47"/>
      <c r="L1413" s="47"/>
      <c r="M1413" s="47"/>
    </row>
    <row r="1414">
      <c r="A1414" s="47" t="str">
        <f>IFERROR(__xludf.DUMMYFUNCTION("""COMPUTED_VALUE"""),"Virtual Brown")</f>
        <v>Virtual Brown</v>
      </c>
      <c r="B1414" s="47"/>
      <c r="C1414" s="47"/>
      <c r="D1414" s="47"/>
      <c r="E1414" s="47" t="b">
        <f>IFERROR(__xludf.DUMMYFUNCTION("""COMPUTED_VALUE"""),FALSE)</f>
        <v>0</v>
      </c>
      <c r="F1414" s="47"/>
      <c r="G1414" s="47" t="str">
        <f>IFERROR(__xludf.DUMMYFUNCTION("""COMPUTED_VALUE"""),"")</f>
        <v/>
      </c>
      <c r="H1414" s="47"/>
      <c r="I1414" s="47">
        <f>IFERROR(__xludf.DUMMYFUNCTION("""COMPUTED_VALUE"""),0.0)</f>
        <v>0</v>
      </c>
      <c r="J1414" s="47" t="str">
        <f>IFERROR(__xludf.DUMMYFUNCTION("""COMPUTED_VALUE"""),"#VALUE!")</f>
        <v>#VALUE!</v>
      </c>
      <c r="K1414" s="47"/>
      <c r="L1414" s="47"/>
      <c r="M1414" s="47"/>
    </row>
    <row r="1415">
      <c r="A1415" s="47" t="str">
        <f>IFERROR(__xludf.DUMMYFUNCTION("""COMPUTED_VALUE"""),"Virtual Brown")</f>
        <v>Virtual Brown</v>
      </c>
      <c r="B1415" s="47" t="str">
        <f>IFERROR(__xludf.DUMMYFUNCTION("""COMPUTED_VALUE"""),"5star")</f>
        <v>5star</v>
      </c>
      <c r="C1415" s="47"/>
      <c r="D1415" s="47"/>
      <c r="E1415" s="47" t="b">
        <f>IFERROR(__xludf.DUMMYFUNCTION("""COMPUTED_VALUE"""),FALSE)</f>
        <v>0</v>
      </c>
      <c r="F1415" s="58">
        <f>IFERROR(__xludf.DUMMYFUNCTION("""COMPUTED_VALUE"""),44357.52576142361)</f>
        <v>44357.52576</v>
      </c>
      <c r="G1415" s="47" t="str">
        <f>IFERROR(__xludf.DUMMYFUNCTION("""COMPUTED_VALUE"""),"")</f>
        <v/>
      </c>
      <c r="H1415" s="47"/>
      <c r="I1415" s="47">
        <f>IFERROR(__xludf.DUMMYFUNCTION("""COMPUTED_VALUE"""),0.0)</f>
        <v>0</v>
      </c>
      <c r="J1415" s="47" t="str">
        <f>IFERROR(__xludf.DUMMYFUNCTION("""COMPUTED_VALUE"""),"#VALUE!")</f>
        <v>#VALUE!</v>
      </c>
      <c r="K1415" s="47"/>
      <c r="L1415" s="47"/>
      <c r="M1415" s="47"/>
    </row>
    <row r="1416">
      <c r="A1416" s="47" t="str">
        <f>IFERROR(__xludf.DUMMYFUNCTION("""COMPUTED_VALUE"""),"Virtual Brown")</f>
        <v>Virtual Brown</v>
      </c>
      <c r="B1416" s="47"/>
      <c r="C1416" s="47"/>
      <c r="D1416" s="47"/>
      <c r="E1416" s="47" t="b">
        <f>IFERROR(__xludf.DUMMYFUNCTION("""COMPUTED_VALUE"""),FALSE)</f>
        <v>0</v>
      </c>
      <c r="F1416" s="47"/>
      <c r="G1416" s="47" t="str">
        <f>IFERROR(__xludf.DUMMYFUNCTION("""COMPUTED_VALUE"""),"")</f>
        <v/>
      </c>
      <c r="H1416" s="47"/>
      <c r="I1416" s="47">
        <f>IFERROR(__xludf.DUMMYFUNCTION("""COMPUTED_VALUE"""),0.0)</f>
        <v>0</v>
      </c>
      <c r="J1416" s="47" t="str">
        <f>IFERROR(__xludf.DUMMYFUNCTION("""COMPUTED_VALUE"""),"#VALUE!")</f>
        <v>#VALUE!</v>
      </c>
      <c r="K1416" s="47"/>
      <c r="L1416" s="47"/>
      <c r="M1416" s="47"/>
    </row>
    <row r="1417">
      <c r="A1417" s="47" t="str">
        <f>IFERROR(__xludf.DUMMYFUNCTION("""COMPUTED_VALUE"""),"Virtual Brown")</f>
        <v>Virtual Brown</v>
      </c>
      <c r="B1417" s="47"/>
      <c r="C1417" s="47"/>
      <c r="D1417" s="47"/>
      <c r="E1417" s="47" t="b">
        <f>IFERROR(__xludf.DUMMYFUNCTION("""COMPUTED_VALUE"""),FALSE)</f>
        <v>0</v>
      </c>
      <c r="F1417" s="47"/>
      <c r="G1417" s="47" t="str">
        <f>IFERROR(__xludf.DUMMYFUNCTION("""COMPUTED_VALUE"""),"")</f>
        <v/>
      </c>
      <c r="H1417" s="47"/>
      <c r="I1417" s="47">
        <f>IFERROR(__xludf.DUMMYFUNCTION("""COMPUTED_VALUE"""),0.0)</f>
        <v>0</v>
      </c>
      <c r="J1417" s="47" t="str">
        <f>IFERROR(__xludf.DUMMYFUNCTION("""COMPUTED_VALUE"""),"#VALUE!")</f>
        <v>#VALUE!</v>
      </c>
      <c r="K1417" s="47"/>
      <c r="L1417" s="47"/>
      <c r="M1417" s="47"/>
    </row>
    <row r="1418">
      <c r="A1418" s="47" t="str">
        <f>IFERROR(__xludf.DUMMYFUNCTION("""COMPUTED_VALUE"""),"Virtual Brown")</f>
        <v>Virtual Brown</v>
      </c>
      <c r="B1418" s="47"/>
      <c r="C1418" s="47"/>
      <c r="D1418" s="47"/>
      <c r="E1418" s="47" t="b">
        <f>IFERROR(__xludf.DUMMYFUNCTION("""COMPUTED_VALUE"""),FALSE)</f>
        <v>0</v>
      </c>
      <c r="F1418" s="47"/>
      <c r="G1418" s="47" t="str">
        <f>IFERROR(__xludf.DUMMYFUNCTION("""COMPUTED_VALUE"""),"")</f>
        <v/>
      </c>
      <c r="H1418" s="47"/>
      <c r="I1418" s="47">
        <f>IFERROR(__xludf.DUMMYFUNCTION("""COMPUTED_VALUE"""),0.0)</f>
        <v>0</v>
      </c>
      <c r="J1418" s="47" t="str">
        <f>IFERROR(__xludf.DUMMYFUNCTION("""COMPUTED_VALUE"""),"#VALUE!")</f>
        <v>#VALUE!</v>
      </c>
      <c r="K1418" s="47"/>
      <c r="L1418" s="47"/>
      <c r="M1418" s="47"/>
    </row>
    <row r="1419">
      <c r="A1419" s="47" t="str">
        <f>IFERROR(__xludf.DUMMYFUNCTION("""COMPUTED_VALUE"""),"Virtual Brown")</f>
        <v>Virtual Brown</v>
      </c>
      <c r="B1419" s="47"/>
      <c r="C1419" s="47"/>
      <c r="D1419" s="47"/>
      <c r="E1419" s="47" t="b">
        <f>IFERROR(__xludf.DUMMYFUNCTION("""COMPUTED_VALUE"""),FALSE)</f>
        <v>0</v>
      </c>
      <c r="F1419" s="47"/>
      <c r="G1419" s="47" t="str">
        <f>IFERROR(__xludf.DUMMYFUNCTION("""COMPUTED_VALUE"""),"")</f>
        <v/>
      </c>
      <c r="H1419" s="47"/>
      <c r="I1419" s="47">
        <f>IFERROR(__xludf.DUMMYFUNCTION("""COMPUTED_VALUE"""),0.0)</f>
        <v>0</v>
      </c>
      <c r="J1419" s="47" t="str">
        <f>IFERROR(__xludf.DUMMYFUNCTION("""COMPUTED_VALUE"""),"#VALUE!")</f>
        <v>#VALUE!</v>
      </c>
      <c r="K1419" s="47"/>
      <c r="L1419" s="47"/>
      <c r="M1419" s="47"/>
    </row>
    <row r="1420">
      <c r="A1420" s="47" t="str">
        <f>IFERROR(__xludf.DUMMYFUNCTION("""COMPUTED_VALUE"""),"Virtual Brown")</f>
        <v>Virtual Brown</v>
      </c>
      <c r="B1420" s="47"/>
      <c r="C1420" s="47"/>
      <c r="D1420" s="47"/>
      <c r="E1420" s="47" t="b">
        <f>IFERROR(__xludf.DUMMYFUNCTION("""COMPUTED_VALUE"""),FALSE)</f>
        <v>0</v>
      </c>
      <c r="F1420" s="47"/>
      <c r="G1420" s="47" t="str">
        <f>IFERROR(__xludf.DUMMYFUNCTION("""COMPUTED_VALUE"""),"")</f>
        <v/>
      </c>
      <c r="H1420" s="47"/>
      <c r="I1420" s="47">
        <f>IFERROR(__xludf.DUMMYFUNCTION("""COMPUTED_VALUE"""),0.0)</f>
        <v>0</v>
      </c>
      <c r="J1420" s="47" t="str">
        <f>IFERROR(__xludf.DUMMYFUNCTION("""COMPUTED_VALUE"""),"#VALUE!")</f>
        <v>#VALUE!</v>
      </c>
      <c r="K1420" s="47"/>
      <c r="L1420" s="47"/>
      <c r="M1420" s="47"/>
    </row>
    <row r="1421">
      <c r="A1421" s="47" t="str">
        <f>IFERROR(__xludf.DUMMYFUNCTION("""COMPUTED_VALUE"""),"Virtual Brown")</f>
        <v>Virtual Brown</v>
      </c>
      <c r="B1421" s="47"/>
      <c r="C1421" s="47"/>
      <c r="D1421" s="47"/>
      <c r="E1421" s="47" t="b">
        <f>IFERROR(__xludf.DUMMYFUNCTION("""COMPUTED_VALUE"""),FALSE)</f>
        <v>0</v>
      </c>
      <c r="F1421" s="47"/>
      <c r="G1421" s="47" t="str">
        <f>IFERROR(__xludf.DUMMYFUNCTION("""COMPUTED_VALUE"""),"")</f>
        <v/>
      </c>
      <c r="H1421" s="47"/>
      <c r="I1421" s="47">
        <f>IFERROR(__xludf.DUMMYFUNCTION("""COMPUTED_VALUE"""),0.0)</f>
        <v>0</v>
      </c>
      <c r="J1421" s="47" t="str">
        <f>IFERROR(__xludf.DUMMYFUNCTION("""COMPUTED_VALUE"""),"#VALUE!")</f>
        <v>#VALUE!</v>
      </c>
      <c r="K1421" s="47"/>
      <c r="L1421" s="47"/>
      <c r="M1421" s="47"/>
    </row>
    <row r="1422">
      <c r="A1422" s="47" t="str">
        <f>IFERROR(__xludf.DUMMYFUNCTION("""COMPUTED_VALUE"""),"Virtual Brown")</f>
        <v>Virtual Brown</v>
      </c>
      <c r="B1422" s="47"/>
      <c r="C1422" s="47"/>
      <c r="D1422" s="47"/>
      <c r="E1422" s="47" t="b">
        <f>IFERROR(__xludf.DUMMYFUNCTION("""COMPUTED_VALUE"""),FALSE)</f>
        <v>0</v>
      </c>
      <c r="F1422" s="47"/>
      <c r="G1422" s="47" t="str">
        <f>IFERROR(__xludf.DUMMYFUNCTION("""COMPUTED_VALUE"""),"")</f>
        <v/>
      </c>
      <c r="H1422" s="47"/>
      <c r="I1422" s="47">
        <f>IFERROR(__xludf.DUMMYFUNCTION("""COMPUTED_VALUE"""),0.0)</f>
        <v>0</v>
      </c>
      <c r="J1422" s="47" t="str">
        <f>IFERROR(__xludf.DUMMYFUNCTION("""COMPUTED_VALUE"""),"#VALUE!")</f>
        <v>#VALUE!</v>
      </c>
      <c r="K1422" s="47"/>
      <c r="L1422" s="47"/>
      <c r="M1422" s="47"/>
    </row>
    <row r="1423">
      <c r="A1423" s="47" t="str">
        <f>IFERROR(__xludf.DUMMYFUNCTION("""COMPUTED_VALUE"""),"Virtual Brown")</f>
        <v>Virtual Brown</v>
      </c>
      <c r="B1423" s="47"/>
      <c r="C1423" s="47"/>
      <c r="D1423" s="47"/>
      <c r="E1423" s="47" t="b">
        <f>IFERROR(__xludf.DUMMYFUNCTION("""COMPUTED_VALUE"""),FALSE)</f>
        <v>0</v>
      </c>
      <c r="F1423" s="47"/>
      <c r="G1423" s="47" t="str">
        <f>IFERROR(__xludf.DUMMYFUNCTION("""COMPUTED_VALUE"""),"")</f>
        <v/>
      </c>
      <c r="H1423" s="47"/>
      <c r="I1423" s="47">
        <f>IFERROR(__xludf.DUMMYFUNCTION("""COMPUTED_VALUE"""),0.0)</f>
        <v>0</v>
      </c>
      <c r="J1423" s="47" t="str">
        <f>IFERROR(__xludf.DUMMYFUNCTION("""COMPUTED_VALUE"""),"#VALUE!")</f>
        <v>#VALUE!</v>
      </c>
      <c r="K1423" s="47"/>
      <c r="L1423" s="47"/>
      <c r="M1423" s="47"/>
    </row>
    <row r="1424">
      <c r="A1424" s="47" t="str">
        <f>IFERROR(__xludf.DUMMYFUNCTION("""COMPUTED_VALUE"""),"Virtual Raw Sienna")</f>
        <v>Virtual Raw Sienna</v>
      </c>
      <c r="B1424" s="47"/>
      <c r="C1424" s="47"/>
      <c r="D1424" s="47"/>
      <c r="E1424" s="47" t="b">
        <f>IFERROR(__xludf.DUMMYFUNCTION("""COMPUTED_VALUE"""),FALSE)</f>
        <v>0</v>
      </c>
      <c r="F1424" s="47"/>
      <c r="G1424" s="47" t="str">
        <f>IFERROR(__xludf.DUMMYFUNCTION("""COMPUTED_VALUE"""),"")</f>
        <v/>
      </c>
      <c r="H1424" s="47"/>
      <c r="I1424" s="47">
        <f>IFERROR(__xludf.DUMMYFUNCTION("""COMPUTED_VALUE"""),0.0)</f>
        <v>0</v>
      </c>
      <c r="J1424" s="47" t="str">
        <f>IFERROR(__xludf.DUMMYFUNCTION("""COMPUTED_VALUE"""),"#VALUE!")</f>
        <v>#VALUE!</v>
      </c>
      <c r="K1424" s="47"/>
      <c r="L1424" s="47"/>
      <c r="M1424" s="47"/>
    </row>
    <row r="1425">
      <c r="A1425" s="47" t="str">
        <f>IFERROR(__xludf.DUMMYFUNCTION("""COMPUTED_VALUE"""),"Virtual Brown")</f>
        <v>Virtual Brown</v>
      </c>
      <c r="B1425" s="47"/>
      <c r="C1425" s="47"/>
      <c r="D1425" s="47"/>
      <c r="E1425" s="47" t="b">
        <f>IFERROR(__xludf.DUMMYFUNCTION("""COMPUTED_VALUE"""),FALSE)</f>
        <v>0</v>
      </c>
      <c r="F1425" s="47"/>
      <c r="G1425" s="47" t="str">
        <f>IFERROR(__xludf.DUMMYFUNCTION("""COMPUTED_VALUE"""),"")</f>
        <v/>
      </c>
      <c r="H1425" s="47"/>
      <c r="I1425" s="47">
        <f>IFERROR(__xludf.DUMMYFUNCTION("""COMPUTED_VALUE"""),0.0)</f>
        <v>0</v>
      </c>
      <c r="J1425" s="47" t="str">
        <f>IFERROR(__xludf.DUMMYFUNCTION("""COMPUTED_VALUE"""),"#VALUE!")</f>
        <v>#VALUE!</v>
      </c>
      <c r="K1425" s="47"/>
      <c r="L1425" s="47"/>
      <c r="M1425" s="47"/>
    </row>
    <row r="1426">
      <c r="A1426" s="47" t="str">
        <f>IFERROR(__xludf.DUMMYFUNCTION("""COMPUTED_VALUE"""),"Virtual Brown")</f>
        <v>Virtual Brown</v>
      </c>
      <c r="B1426" s="47"/>
      <c r="C1426" s="47"/>
      <c r="D1426" s="47"/>
      <c r="E1426" s="47" t="b">
        <f>IFERROR(__xludf.DUMMYFUNCTION("""COMPUTED_VALUE"""),FALSE)</f>
        <v>0</v>
      </c>
      <c r="F1426" s="47"/>
      <c r="G1426" s="47" t="str">
        <f>IFERROR(__xludf.DUMMYFUNCTION("""COMPUTED_VALUE"""),"")</f>
        <v/>
      </c>
      <c r="H1426" s="47"/>
      <c r="I1426" s="47">
        <f>IFERROR(__xludf.DUMMYFUNCTION("""COMPUTED_VALUE"""),0.0)</f>
        <v>0</v>
      </c>
      <c r="J1426" s="47" t="str">
        <f>IFERROR(__xludf.DUMMYFUNCTION("""COMPUTED_VALUE"""),"#VALUE!")</f>
        <v>#VALUE!</v>
      </c>
      <c r="K1426" s="47"/>
      <c r="L1426" s="47"/>
      <c r="M1426" s="47"/>
    </row>
    <row r="1427">
      <c r="A1427" s="47" t="str">
        <f>IFERROR(__xludf.DUMMYFUNCTION("""COMPUTED_VALUE"""),"Virtual Brown")</f>
        <v>Virtual Brown</v>
      </c>
      <c r="B1427" s="47"/>
      <c r="C1427" s="47"/>
      <c r="D1427" s="47"/>
      <c r="E1427" s="47" t="b">
        <f>IFERROR(__xludf.DUMMYFUNCTION("""COMPUTED_VALUE"""),FALSE)</f>
        <v>0</v>
      </c>
      <c r="F1427" s="47"/>
      <c r="G1427" s="47" t="str">
        <f>IFERROR(__xludf.DUMMYFUNCTION("""COMPUTED_VALUE"""),"")</f>
        <v/>
      </c>
      <c r="H1427" s="47"/>
      <c r="I1427" s="47">
        <f>IFERROR(__xludf.DUMMYFUNCTION("""COMPUTED_VALUE"""),0.0)</f>
        <v>0</v>
      </c>
      <c r="J1427" s="47" t="str">
        <f>IFERROR(__xludf.DUMMYFUNCTION("""COMPUTED_VALUE"""),"#VALUE!")</f>
        <v>#VALUE!</v>
      </c>
      <c r="K1427" s="47"/>
      <c r="L1427" s="47"/>
      <c r="M1427" s="47"/>
    </row>
    <row r="1428">
      <c r="A1428" s="47" t="str">
        <f>IFERROR(__xludf.DUMMYFUNCTION("""COMPUTED_VALUE"""),"Virtual Raw Sienna")</f>
        <v>Virtual Raw Sienna</v>
      </c>
      <c r="B1428" s="47"/>
      <c r="C1428" s="47"/>
      <c r="D1428" s="47"/>
      <c r="E1428" s="47" t="b">
        <f>IFERROR(__xludf.DUMMYFUNCTION("""COMPUTED_VALUE"""),FALSE)</f>
        <v>0</v>
      </c>
      <c r="F1428" s="47"/>
      <c r="G1428" s="47" t="str">
        <f>IFERROR(__xludf.DUMMYFUNCTION("""COMPUTED_VALUE"""),"")</f>
        <v/>
      </c>
      <c r="H1428" s="47"/>
      <c r="I1428" s="47">
        <f>IFERROR(__xludf.DUMMYFUNCTION("""COMPUTED_VALUE"""),0.0)</f>
        <v>0</v>
      </c>
      <c r="J1428" s="47" t="str">
        <f>IFERROR(__xludf.DUMMYFUNCTION("""COMPUTED_VALUE"""),"#VALUE!")</f>
        <v>#VALUE!</v>
      </c>
      <c r="K1428" s="47"/>
      <c r="L1428" s="47"/>
      <c r="M1428" s="47"/>
    </row>
    <row r="1429">
      <c r="A1429" s="47" t="str">
        <f>IFERROR(__xludf.DUMMYFUNCTION("""COMPUTED_VALUE"""),"Virtual Brown")</f>
        <v>Virtual Brown</v>
      </c>
      <c r="B1429" s="47"/>
      <c r="C1429" s="47"/>
      <c r="D1429" s="47"/>
      <c r="E1429" s="47" t="b">
        <f>IFERROR(__xludf.DUMMYFUNCTION("""COMPUTED_VALUE"""),FALSE)</f>
        <v>0</v>
      </c>
      <c r="F1429" s="47"/>
      <c r="G1429" s="47" t="str">
        <f>IFERROR(__xludf.DUMMYFUNCTION("""COMPUTED_VALUE"""),"")</f>
        <v/>
      </c>
      <c r="H1429" s="47"/>
      <c r="I1429" s="47">
        <f>IFERROR(__xludf.DUMMYFUNCTION("""COMPUTED_VALUE"""),0.0)</f>
        <v>0</v>
      </c>
      <c r="J1429" s="47" t="str">
        <f>IFERROR(__xludf.DUMMYFUNCTION("""COMPUTED_VALUE"""),"#VALUE!")</f>
        <v>#VALUE!</v>
      </c>
      <c r="K1429" s="47"/>
      <c r="L1429" s="47"/>
      <c r="M1429" s="47"/>
    </row>
    <row r="1430">
      <c r="A1430" s="47" t="str">
        <f>IFERROR(__xludf.DUMMYFUNCTION("""COMPUTED_VALUE"""),"Virtual Brown")</f>
        <v>Virtual Brown</v>
      </c>
      <c r="B1430" s="47"/>
      <c r="C1430" s="47"/>
      <c r="D1430" s="47"/>
      <c r="E1430" s="47" t="b">
        <f>IFERROR(__xludf.DUMMYFUNCTION("""COMPUTED_VALUE"""),FALSE)</f>
        <v>0</v>
      </c>
      <c r="F1430" s="47"/>
      <c r="G1430" s="47" t="str">
        <f>IFERROR(__xludf.DUMMYFUNCTION("""COMPUTED_VALUE"""),"")</f>
        <v/>
      </c>
      <c r="H1430" s="47"/>
      <c r="I1430" s="47">
        <f>IFERROR(__xludf.DUMMYFUNCTION("""COMPUTED_VALUE"""),0.0)</f>
        <v>0</v>
      </c>
      <c r="J1430" s="47" t="str">
        <f>IFERROR(__xludf.DUMMYFUNCTION("""COMPUTED_VALUE"""),"#VALUE!")</f>
        <v>#VALUE!</v>
      </c>
      <c r="K1430" s="47"/>
      <c r="L1430" s="47"/>
      <c r="M1430" s="47"/>
    </row>
    <row r="1431">
      <c r="A1431" s="47" t="str">
        <f>IFERROR(__xludf.DUMMYFUNCTION("""COMPUTED_VALUE"""),"Virtual Raw Sienna")</f>
        <v>Virtual Raw Sienna</v>
      </c>
      <c r="B1431" s="47"/>
      <c r="C1431" s="47"/>
      <c r="D1431" s="47"/>
      <c r="E1431" s="47" t="b">
        <f>IFERROR(__xludf.DUMMYFUNCTION("""COMPUTED_VALUE"""),FALSE)</f>
        <v>0</v>
      </c>
      <c r="F1431" s="47"/>
      <c r="G1431" s="47" t="str">
        <f>IFERROR(__xludf.DUMMYFUNCTION("""COMPUTED_VALUE"""),"")</f>
        <v/>
      </c>
      <c r="H1431" s="47"/>
      <c r="I1431" s="47">
        <f>IFERROR(__xludf.DUMMYFUNCTION("""COMPUTED_VALUE"""),0.0)</f>
        <v>0</v>
      </c>
      <c r="J1431" s="47" t="str">
        <f>IFERROR(__xludf.DUMMYFUNCTION("""COMPUTED_VALUE"""),"#VALUE!")</f>
        <v>#VALUE!</v>
      </c>
      <c r="K1431" s="47"/>
      <c r="L1431" s="47"/>
      <c r="M1431" s="47"/>
    </row>
    <row r="1432">
      <c r="A1432" s="47" t="str">
        <f>IFERROR(__xludf.DUMMYFUNCTION("""COMPUTED_VALUE"""),"Virtual Brown")</f>
        <v>Virtual Brown</v>
      </c>
      <c r="B1432" s="47"/>
      <c r="C1432" s="47"/>
      <c r="D1432" s="47"/>
      <c r="E1432" s="47" t="b">
        <f>IFERROR(__xludf.DUMMYFUNCTION("""COMPUTED_VALUE"""),FALSE)</f>
        <v>0</v>
      </c>
      <c r="F1432" s="47"/>
      <c r="G1432" s="47" t="str">
        <f>IFERROR(__xludf.DUMMYFUNCTION("""COMPUTED_VALUE"""),"")</f>
        <v/>
      </c>
      <c r="H1432" s="47"/>
      <c r="I1432" s="47">
        <f>IFERROR(__xludf.DUMMYFUNCTION("""COMPUTED_VALUE"""),0.0)</f>
        <v>0</v>
      </c>
      <c r="J1432" s="47" t="str">
        <f>IFERROR(__xludf.DUMMYFUNCTION("""COMPUTED_VALUE"""),"#VALUE!")</f>
        <v>#VALUE!</v>
      </c>
      <c r="K1432" s="47"/>
      <c r="L1432" s="47"/>
      <c r="M1432" s="47"/>
    </row>
    <row r="1433">
      <c r="A1433" s="47" t="str">
        <f>IFERROR(__xludf.DUMMYFUNCTION("""COMPUTED_VALUE"""),"Virtual Raw Sienna")</f>
        <v>Virtual Raw Sienna</v>
      </c>
      <c r="B1433" s="47"/>
      <c r="C1433" s="47"/>
      <c r="D1433" s="47"/>
      <c r="E1433" s="47" t="b">
        <f>IFERROR(__xludf.DUMMYFUNCTION("""COMPUTED_VALUE"""),FALSE)</f>
        <v>0</v>
      </c>
      <c r="F1433" s="47"/>
      <c r="G1433" s="47" t="str">
        <f>IFERROR(__xludf.DUMMYFUNCTION("""COMPUTED_VALUE"""),"")</f>
        <v/>
      </c>
      <c r="H1433" s="47"/>
      <c r="I1433" s="47">
        <f>IFERROR(__xludf.DUMMYFUNCTION("""COMPUTED_VALUE"""),0.0)</f>
        <v>0</v>
      </c>
      <c r="J1433" s="47" t="str">
        <f>IFERROR(__xludf.DUMMYFUNCTION("""COMPUTED_VALUE"""),"#VALUE!")</f>
        <v>#VALUE!</v>
      </c>
      <c r="K1433" s="47"/>
      <c r="L1433" s="47"/>
      <c r="M1433" s="47"/>
    </row>
    <row r="1434">
      <c r="A1434" s="47" t="str">
        <f>IFERROR(__xludf.DUMMYFUNCTION("""COMPUTED_VALUE"""),"Virtual Brown")</f>
        <v>Virtual Brown</v>
      </c>
      <c r="B1434" s="47"/>
      <c r="C1434" s="47"/>
      <c r="D1434" s="47"/>
      <c r="E1434" s="47" t="b">
        <f>IFERROR(__xludf.DUMMYFUNCTION("""COMPUTED_VALUE"""),FALSE)</f>
        <v>0</v>
      </c>
      <c r="F1434" s="47"/>
      <c r="G1434" s="47" t="str">
        <f>IFERROR(__xludf.DUMMYFUNCTION("""COMPUTED_VALUE"""),"")</f>
        <v/>
      </c>
      <c r="H1434" s="47"/>
      <c r="I1434" s="47">
        <f>IFERROR(__xludf.DUMMYFUNCTION("""COMPUTED_VALUE"""),0.0)</f>
        <v>0</v>
      </c>
      <c r="J1434" s="47" t="str">
        <f>IFERROR(__xludf.DUMMYFUNCTION("""COMPUTED_VALUE"""),"#VALUE!")</f>
        <v>#VALUE!</v>
      </c>
      <c r="K1434" s="47"/>
      <c r="L1434" s="47"/>
      <c r="M1434" s="47"/>
    </row>
    <row r="1435">
      <c r="A1435" s="47" t="str">
        <f>IFERROR(__xludf.DUMMYFUNCTION("""COMPUTED_VALUE"""),"Virtual Brown")</f>
        <v>Virtual Brown</v>
      </c>
      <c r="B1435" s="47"/>
      <c r="C1435" s="47"/>
      <c r="D1435" s="47"/>
      <c r="E1435" s="47" t="b">
        <f>IFERROR(__xludf.DUMMYFUNCTION("""COMPUTED_VALUE"""),FALSE)</f>
        <v>0</v>
      </c>
      <c r="F1435" s="47"/>
      <c r="G1435" s="47" t="str">
        <f>IFERROR(__xludf.DUMMYFUNCTION("""COMPUTED_VALUE"""),"")</f>
        <v/>
      </c>
      <c r="H1435" s="47"/>
      <c r="I1435" s="47">
        <f>IFERROR(__xludf.DUMMYFUNCTION("""COMPUTED_VALUE"""),0.0)</f>
        <v>0</v>
      </c>
      <c r="J1435" s="47" t="str">
        <f>IFERROR(__xludf.DUMMYFUNCTION("""COMPUTED_VALUE"""),"#VALUE!")</f>
        <v>#VALUE!</v>
      </c>
      <c r="K1435" s="47"/>
      <c r="L1435" s="47"/>
      <c r="M1435" s="47"/>
    </row>
    <row r="1436">
      <c r="A1436" s="47" t="str">
        <f>IFERROR(__xludf.DUMMYFUNCTION("""COMPUTED_VALUE"""),"Virtual Brown")</f>
        <v>Virtual Brown</v>
      </c>
      <c r="B1436" s="47"/>
      <c r="C1436" s="47"/>
      <c r="D1436" s="47"/>
      <c r="E1436" s="47" t="b">
        <f>IFERROR(__xludf.DUMMYFUNCTION("""COMPUTED_VALUE"""),FALSE)</f>
        <v>0</v>
      </c>
      <c r="F1436" s="47"/>
      <c r="G1436" s="47" t="str">
        <f>IFERROR(__xludf.DUMMYFUNCTION("""COMPUTED_VALUE"""),"")</f>
        <v/>
      </c>
      <c r="H1436" s="47"/>
      <c r="I1436" s="47">
        <f>IFERROR(__xludf.DUMMYFUNCTION("""COMPUTED_VALUE"""),0.0)</f>
        <v>0</v>
      </c>
      <c r="J1436" s="47" t="str">
        <f>IFERROR(__xludf.DUMMYFUNCTION("""COMPUTED_VALUE"""),"#VALUE!")</f>
        <v>#VALUE!</v>
      </c>
      <c r="K1436" s="47"/>
      <c r="L1436" s="47"/>
      <c r="M1436" s="47"/>
    </row>
    <row r="1437">
      <c r="A1437" s="47" t="str">
        <f>IFERROR(__xludf.DUMMYFUNCTION("""COMPUTED_VALUE"""),"Virtual Brown")</f>
        <v>Virtual Brown</v>
      </c>
      <c r="B1437" s="47"/>
      <c r="C1437" s="47"/>
      <c r="D1437" s="47"/>
      <c r="E1437" s="47" t="b">
        <f>IFERROR(__xludf.DUMMYFUNCTION("""COMPUTED_VALUE"""),FALSE)</f>
        <v>0</v>
      </c>
      <c r="F1437" s="47"/>
      <c r="G1437" s="47" t="str">
        <f>IFERROR(__xludf.DUMMYFUNCTION("""COMPUTED_VALUE"""),"")</f>
        <v/>
      </c>
      <c r="H1437" s="47"/>
      <c r="I1437" s="47">
        <f>IFERROR(__xludf.DUMMYFUNCTION("""COMPUTED_VALUE"""),0.0)</f>
        <v>0</v>
      </c>
      <c r="J1437" s="47" t="str">
        <f>IFERROR(__xludf.DUMMYFUNCTION("""COMPUTED_VALUE"""),"#VALUE!")</f>
        <v>#VALUE!</v>
      </c>
      <c r="K1437" s="47"/>
      <c r="L1437" s="47"/>
      <c r="M1437" s="47"/>
    </row>
    <row r="1438">
      <c r="A1438" s="47" t="str">
        <f>IFERROR(__xludf.DUMMYFUNCTION("""COMPUTED_VALUE"""),"Virtual Brown")</f>
        <v>Virtual Brown</v>
      </c>
      <c r="B1438" s="47"/>
      <c r="C1438" s="47"/>
      <c r="D1438" s="47"/>
      <c r="E1438" s="47" t="b">
        <f>IFERROR(__xludf.DUMMYFUNCTION("""COMPUTED_VALUE"""),FALSE)</f>
        <v>0</v>
      </c>
      <c r="F1438" s="47"/>
      <c r="G1438" s="47" t="str">
        <f>IFERROR(__xludf.DUMMYFUNCTION("""COMPUTED_VALUE"""),"")</f>
        <v/>
      </c>
      <c r="H1438" s="47"/>
      <c r="I1438" s="47">
        <f>IFERROR(__xludf.DUMMYFUNCTION("""COMPUTED_VALUE"""),0.0)</f>
        <v>0</v>
      </c>
      <c r="J1438" s="47" t="str">
        <f>IFERROR(__xludf.DUMMYFUNCTION("""COMPUTED_VALUE"""),"#VALUE!")</f>
        <v>#VALUE!</v>
      </c>
      <c r="K1438" s="47"/>
      <c r="L1438" s="47"/>
      <c r="M1438" s="47"/>
    </row>
    <row r="1439">
      <c r="A1439" s="47" t="str">
        <f>IFERROR(__xludf.DUMMYFUNCTION("""COMPUTED_VALUE"""),"Virtual Brown")</f>
        <v>Virtual Brown</v>
      </c>
      <c r="B1439" s="47"/>
      <c r="C1439" s="47"/>
      <c r="D1439" s="47"/>
      <c r="E1439" s="47" t="b">
        <f>IFERROR(__xludf.DUMMYFUNCTION("""COMPUTED_VALUE"""),FALSE)</f>
        <v>0</v>
      </c>
      <c r="F1439" s="47"/>
      <c r="G1439" s="47" t="str">
        <f>IFERROR(__xludf.DUMMYFUNCTION("""COMPUTED_VALUE"""),"")</f>
        <v/>
      </c>
      <c r="H1439" s="47"/>
      <c r="I1439" s="47">
        <f>IFERROR(__xludf.DUMMYFUNCTION("""COMPUTED_VALUE"""),0.0)</f>
        <v>0</v>
      </c>
      <c r="J1439" s="47" t="str">
        <f>IFERROR(__xludf.DUMMYFUNCTION("""COMPUTED_VALUE"""),"#VALUE!")</f>
        <v>#VALUE!</v>
      </c>
      <c r="K1439" s="47"/>
      <c r="L1439" s="47"/>
      <c r="M1439" s="47"/>
    </row>
    <row r="1440">
      <c r="A1440" s="47" t="str">
        <f>IFERROR(__xludf.DUMMYFUNCTION("""COMPUTED_VALUE"""),"Virtual Brown")</f>
        <v>Virtual Brown</v>
      </c>
      <c r="B1440" s="47"/>
      <c r="C1440" s="47"/>
      <c r="D1440" s="47"/>
      <c r="E1440" s="47" t="b">
        <f>IFERROR(__xludf.DUMMYFUNCTION("""COMPUTED_VALUE"""),FALSE)</f>
        <v>0</v>
      </c>
      <c r="F1440" s="47"/>
      <c r="G1440" s="47" t="str">
        <f>IFERROR(__xludf.DUMMYFUNCTION("""COMPUTED_VALUE"""),"")</f>
        <v/>
      </c>
      <c r="H1440" s="47"/>
      <c r="I1440" s="47">
        <f>IFERROR(__xludf.DUMMYFUNCTION("""COMPUTED_VALUE"""),0.0)</f>
        <v>0</v>
      </c>
      <c r="J1440" s="47" t="str">
        <f>IFERROR(__xludf.DUMMYFUNCTION("""COMPUTED_VALUE"""),"#VALUE!")</f>
        <v>#VALUE!</v>
      </c>
      <c r="K1440" s="47"/>
      <c r="L1440" s="47"/>
      <c r="M1440" s="47"/>
    </row>
    <row r="1441">
      <c r="A1441" s="47" t="str">
        <f>IFERROR(__xludf.DUMMYFUNCTION("""COMPUTED_VALUE"""),"Virtual Raw Sienna")</f>
        <v>Virtual Raw Sienna</v>
      </c>
      <c r="B1441" s="47"/>
      <c r="C1441" s="47"/>
      <c r="D1441" s="47"/>
      <c r="E1441" s="47" t="b">
        <f>IFERROR(__xludf.DUMMYFUNCTION("""COMPUTED_VALUE"""),FALSE)</f>
        <v>0</v>
      </c>
      <c r="F1441" s="47"/>
      <c r="G1441" s="47" t="str">
        <f>IFERROR(__xludf.DUMMYFUNCTION("""COMPUTED_VALUE"""),"")</f>
        <v/>
      </c>
      <c r="H1441" s="47"/>
      <c r="I1441" s="47">
        <f>IFERROR(__xludf.DUMMYFUNCTION("""COMPUTED_VALUE"""),0.0)</f>
        <v>0</v>
      </c>
      <c r="J1441" s="47" t="str">
        <f>IFERROR(__xludf.DUMMYFUNCTION("""COMPUTED_VALUE"""),"#VALUE!")</f>
        <v>#VALUE!</v>
      </c>
      <c r="K1441" s="47"/>
      <c r="L1441" s="47"/>
      <c r="M1441" s="47"/>
    </row>
    <row r="1442">
      <c r="A1442" s="47" t="str">
        <f>IFERROR(__xludf.DUMMYFUNCTION("""COMPUTED_VALUE"""),"Virtual Brown")</f>
        <v>Virtual Brown</v>
      </c>
      <c r="B1442" s="47"/>
      <c r="C1442" s="47"/>
      <c r="D1442" s="47"/>
      <c r="E1442" s="47" t="b">
        <f>IFERROR(__xludf.DUMMYFUNCTION("""COMPUTED_VALUE"""),FALSE)</f>
        <v>0</v>
      </c>
      <c r="F1442" s="47"/>
      <c r="G1442" s="47" t="str">
        <f>IFERROR(__xludf.DUMMYFUNCTION("""COMPUTED_VALUE"""),"")</f>
        <v/>
      </c>
      <c r="H1442" s="47"/>
      <c r="I1442" s="47">
        <f>IFERROR(__xludf.DUMMYFUNCTION("""COMPUTED_VALUE"""),0.0)</f>
        <v>0</v>
      </c>
      <c r="J1442" s="47" t="str">
        <f>IFERROR(__xludf.DUMMYFUNCTION("""COMPUTED_VALUE"""),"#VALUE!")</f>
        <v>#VALUE!</v>
      </c>
      <c r="K1442" s="47"/>
      <c r="L1442" s="47"/>
      <c r="M1442" s="47"/>
    </row>
    <row r="1443">
      <c r="A1443" s="47" t="str">
        <f>IFERROR(__xludf.DUMMYFUNCTION("""COMPUTED_VALUE"""),"Virtual Brown")</f>
        <v>Virtual Brown</v>
      </c>
      <c r="B1443" s="47"/>
      <c r="C1443" s="47"/>
      <c r="D1443" s="47"/>
      <c r="E1443" s="47" t="b">
        <f>IFERROR(__xludf.DUMMYFUNCTION("""COMPUTED_VALUE"""),FALSE)</f>
        <v>0</v>
      </c>
      <c r="F1443" s="47"/>
      <c r="G1443" s="47" t="str">
        <f>IFERROR(__xludf.DUMMYFUNCTION("""COMPUTED_VALUE"""),"")</f>
        <v/>
      </c>
      <c r="H1443" s="47"/>
      <c r="I1443" s="47">
        <f>IFERROR(__xludf.DUMMYFUNCTION("""COMPUTED_VALUE"""),0.0)</f>
        <v>0</v>
      </c>
      <c r="J1443" s="47" t="str">
        <f>IFERROR(__xludf.DUMMYFUNCTION("""COMPUTED_VALUE"""),"#VALUE!")</f>
        <v>#VALUE!</v>
      </c>
      <c r="K1443" s="47"/>
      <c r="L1443" s="47"/>
      <c r="M1443" s="47"/>
    </row>
    <row r="1444">
      <c r="A1444" s="47" t="str">
        <f>IFERROR(__xludf.DUMMYFUNCTION("""COMPUTED_VALUE"""),"Virtual Raw Sienna")</f>
        <v>Virtual Raw Sienna</v>
      </c>
      <c r="B1444" s="47"/>
      <c r="C1444" s="47"/>
      <c r="D1444" s="47"/>
      <c r="E1444" s="47" t="b">
        <f>IFERROR(__xludf.DUMMYFUNCTION("""COMPUTED_VALUE"""),FALSE)</f>
        <v>0</v>
      </c>
      <c r="F1444" s="47"/>
      <c r="G1444" s="47" t="str">
        <f>IFERROR(__xludf.DUMMYFUNCTION("""COMPUTED_VALUE"""),"")</f>
        <v/>
      </c>
      <c r="H1444" s="47"/>
      <c r="I1444" s="47">
        <f>IFERROR(__xludf.DUMMYFUNCTION("""COMPUTED_VALUE"""),0.0)</f>
        <v>0</v>
      </c>
      <c r="J1444" s="47" t="str">
        <f>IFERROR(__xludf.DUMMYFUNCTION("""COMPUTED_VALUE"""),"#VALUE!")</f>
        <v>#VALUE!</v>
      </c>
      <c r="K1444" s="47"/>
      <c r="L1444" s="47"/>
      <c r="M1444" s="47"/>
    </row>
    <row r="1445">
      <c r="A1445" s="47" t="str">
        <f>IFERROR(__xludf.DUMMYFUNCTION("""COMPUTED_VALUE"""),"Virtual Brown")</f>
        <v>Virtual Brown</v>
      </c>
      <c r="B1445" s="47" t="str">
        <f>IFERROR(__xludf.DUMMYFUNCTION("""COMPUTED_VALUE"""),"thefrog")</f>
        <v>thefrog</v>
      </c>
      <c r="C1445" s="47"/>
      <c r="D1445" s="47"/>
      <c r="E1445" s="47" t="b">
        <f>IFERROR(__xludf.DUMMYFUNCTION("""COMPUTED_VALUE"""),FALSE)</f>
        <v>0</v>
      </c>
      <c r="F1445" s="58">
        <f>IFERROR(__xludf.DUMMYFUNCTION("""COMPUTED_VALUE"""),44357.52584553241)</f>
        <v>44357.52585</v>
      </c>
      <c r="G1445" s="47" t="str">
        <f>IFERROR(__xludf.DUMMYFUNCTION("""COMPUTED_VALUE"""),"")</f>
        <v/>
      </c>
      <c r="H1445" s="47"/>
      <c r="I1445" s="47">
        <f>IFERROR(__xludf.DUMMYFUNCTION("""COMPUTED_VALUE"""),0.0)</f>
        <v>0</v>
      </c>
      <c r="J1445" s="47" t="str">
        <f>IFERROR(__xludf.DUMMYFUNCTION("""COMPUTED_VALUE"""),"#VALUE!")</f>
        <v>#VALUE!</v>
      </c>
      <c r="K1445" s="47"/>
      <c r="L1445" s="47"/>
      <c r="M1445" s="47"/>
    </row>
    <row r="1446">
      <c r="A1446" s="47" t="str">
        <f>IFERROR(__xludf.DUMMYFUNCTION("""COMPUTED_VALUE"""),"Virtual Brown")</f>
        <v>Virtual Brown</v>
      </c>
      <c r="B1446" s="47" t="str">
        <f>IFERROR(__xludf.DUMMYFUNCTION("""COMPUTED_VALUE"""),"123xilef")</f>
        <v>123xilef</v>
      </c>
      <c r="C1446" s="47"/>
      <c r="D1446" s="47"/>
      <c r="E1446" s="47" t="b">
        <f>IFERROR(__xludf.DUMMYFUNCTION("""COMPUTED_VALUE"""),FALSE)</f>
        <v>0</v>
      </c>
      <c r="F1446" s="58">
        <f>IFERROR(__xludf.DUMMYFUNCTION("""COMPUTED_VALUE"""),44357.5258938426)</f>
        <v>44357.52589</v>
      </c>
      <c r="G1446" s="47" t="str">
        <f>IFERROR(__xludf.DUMMYFUNCTION("""COMPUTED_VALUE"""),"")</f>
        <v/>
      </c>
      <c r="H1446" s="47"/>
      <c r="I1446" s="47">
        <f>IFERROR(__xludf.DUMMYFUNCTION("""COMPUTED_VALUE"""),0.0)</f>
        <v>0</v>
      </c>
      <c r="J1446" s="47" t="str">
        <f>IFERROR(__xludf.DUMMYFUNCTION("""COMPUTED_VALUE"""),"#VALUE!")</f>
        <v>#VALUE!</v>
      </c>
      <c r="K1446" s="47"/>
      <c r="L1446" s="47"/>
      <c r="M1446" s="47"/>
    </row>
    <row r="1447">
      <c r="A1447" s="47" t="str">
        <f>IFERROR(__xludf.DUMMYFUNCTION("""COMPUTED_VALUE"""),"Virtual Raw Sienna")</f>
        <v>Virtual Raw Sienna</v>
      </c>
      <c r="B1447" s="47"/>
      <c r="C1447" s="47"/>
      <c r="D1447" s="47"/>
      <c r="E1447" s="47" t="b">
        <f>IFERROR(__xludf.DUMMYFUNCTION("""COMPUTED_VALUE"""),FALSE)</f>
        <v>0</v>
      </c>
      <c r="F1447" s="47"/>
      <c r="G1447" s="47" t="str">
        <f>IFERROR(__xludf.DUMMYFUNCTION("""COMPUTED_VALUE"""),"")</f>
        <v/>
      </c>
      <c r="H1447" s="47"/>
      <c r="I1447" s="47">
        <f>IFERROR(__xludf.DUMMYFUNCTION("""COMPUTED_VALUE"""),0.0)</f>
        <v>0</v>
      </c>
      <c r="J1447" s="47" t="str">
        <f>IFERROR(__xludf.DUMMYFUNCTION("""COMPUTED_VALUE"""),"#VALUE!")</f>
        <v>#VALUE!</v>
      </c>
      <c r="K1447" s="47"/>
      <c r="L1447" s="47"/>
      <c r="M1447" s="47"/>
    </row>
    <row r="1448">
      <c r="A1448" s="47" t="str">
        <f>IFERROR(__xludf.DUMMYFUNCTION("""COMPUTED_VALUE"""),"Virtual Brown")</f>
        <v>Virtual Brown</v>
      </c>
      <c r="B1448" s="47"/>
      <c r="C1448" s="47"/>
      <c r="D1448" s="47"/>
      <c r="E1448" s="47" t="b">
        <f>IFERROR(__xludf.DUMMYFUNCTION("""COMPUTED_VALUE"""),FALSE)</f>
        <v>0</v>
      </c>
      <c r="F1448" s="47"/>
      <c r="G1448" s="47" t="str">
        <f>IFERROR(__xludf.DUMMYFUNCTION("""COMPUTED_VALUE"""),"")</f>
        <v/>
      </c>
      <c r="H1448" s="47"/>
      <c r="I1448" s="47">
        <f>IFERROR(__xludf.DUMMYFUNCTION("""COMPUTED_VALUE"""),0.0)</f>
        <v>0</v>
      </c>
      <c r="J1448" s="47" t="str">
        <f>IFERROR(__xludf.DUMMYFUNCTION("""COMPUTED_VALUE"""),"#VALUE!")</f>
        <v>#VALUE!</v>
      </c>
      <c r="K1448" s="47"/>
      <c r="L1448" s="47"/>
      <c r="M1448" s="47"/>
    </row>
    <row r="1449">
      <c r="A1449" s="47" t="str">
        <f>IFERROR(__xludf.DUMMYFUNCTION("""COMPUTED_VALUE"""),"Virtual Brown")</f>
        <v>Virtual Brown</v>
      </c>
      <c r="B1449" s="47"/>
      <c r="C1449" s="47"/>
      <c r="D1449" s="47"/>
      <c r="E1449" s="47" t="b">
        <f>IFERROR(__xludf.DUMMYFUNCTION("""COMPUTED_VALUE"""),FALSE)</f>
        <v>0</v>
      </c>
      <c r="F1449" s="47"/>
      <c r="G1449" s="47" t="str">
        <f>IFERROR(__xludf.DUMMYFUNCTION("""COMPUTED_VALUE"""),"")</f>
        <v/>
      </c>
      <c r="H1449" s="47"/>
      <c r="I1449" s="47">
        <f>IFERROR(__xludf.DUMMYFUNCTION("""COMPUTED_VALUE"""),0.0)</f>
        <v>0</v>
      </c>
      <c r="J1449" s="47" t="str">
        <f>IFERROR(__xludf.DUMMYFUNCTION("""COMPUTED_VALUE"""),"#VALUE!")</f>
        <v>#VALUE!</v>
      </c>
      <c r="K1449" s="47"/>
      <c r="L1449" s="47"/>
      <c r="M1449" s="47"/>
    </row>
    <row r="1450">
      <c r="A1450" s="47" t="str">
        <f>IFERROR(__xludf.DUMMYFUNCTION("""COMPUTED_VALUE"""),"Virtual Brown")</f>
        <v>Virtual Brown</v>
      </c>
      <c r="B1450" s="47"/>
      <c r="C1450" s="47"/>
      <c r="D1450" s="47"/>
      <c r="E1450" s="47" t="b">
        <f>IFERROR(__xludf.DUMMYFUNCTION("""COMPUTED_VALUE"""),FALSE)</f>
        <v>0</v>
      </c>
      <c r="F1450" s="47"/>
      <c r="G1450" s="47" t="str">
        <f>IFERROR(__xludf.DUMMYFUNCTION("""COMPUTED_VALUE"""),"")</f>
        <v/>
      </c>
      <c r="H1450" s="47"/>
      <c r="I1450" s="47">
        <f>IFERROR(__xludf.DUMMYFUNCTION("""COMPUTED_VALUE"""),0.0)</f>
        <v>0</v>
      </c>
      <c r="J1450" s="47" t="str">
        <f>IFERROR(__xludf.DUMMYFUNCTION("""COMPUTED_VALUE"""),"#VALUE!")</f>
        <v>#VALUE!</v>
      </c>
      <c r="K1450" s="47"/>
      <c r="L1450" s="47"/>
      <c r="M1450" s="47"/>
    </row>
    <row r="1451">
      <c r="A1451" s="47" t="str">
        <f>IFERROR(__xludf.DUMMYFUNCTION("""COMPUTED_VALUE"""),"Virtual Brown")</f>
        <v>Virtual Brown</v>
      </c>
      <c r="B1451" s="47"/>
      <c r="C1451" s="47"/>
      <c r="D1451" s="47"/>
      <c r="E1451" s="47" t="b">
        <f>IFERROR(__xludf.DUMMYFUNCTION("""COMPUTED_VALUE"""),FALSE)</f>
        <v>0</v>
      </c>
      <c r="F1451" s="47"/>
      <c r="G1451" s="47" t="str">
        <f>IFERROR(__xludf.DUMMYFUNCTION("""COMPUTED_VALUE"""),"")</f>
        <v/>
      </c>
      <c r="H1451" s="47"/>
      <c r="I1451" s="47">
        <f>IFERROR(__xludf.DUMMYFUNCTION("""COMPUTED_VALUE"""),0.0)</f>
        <v>0</v>
      </c>
      <c r="J1451" s="47" t="str">
        <f>IFERROR(__xludf.DUMMYFUNCTION("""COMPUTED_VALUE"""),"#VALUE!")</f>
        <v>#VALUE!</v>
      </c>
      <c r="K1451" s="47"/>
      <c r="L1451" s="47"/>
      <c r="M1451" s="47"/>
    </row>
    <row r="1452">
      <c r="A1452" s="47" t="str">
        <f>IFERROR(__xludf.DUMMYFUNCTION("""COMPUTED_VALUE"""),"Virtual Brown")</f>
        <v>Virtual Brown</v>
      </c>
      <c r="B1452" s="47"/>
      <c r="C1452" s="47"/>
      <c r="D1452" s="47"/>
      <c r="E1452" s="47" t="b">
        <f>IFERROR(__xludf.DUMMYFUNCTION("""COMPUTED_VALUE"""),FALSE)</f>
        <v>0</v>
      </c>
      <c r="F1452" s="47"/>
      <c r="G1452" s="47" t="str">
        <f>IFERROR(__xludf.DUMMYFUNCTION("""COMPUTED_VALUE"""),"")</f>
        <v/>
      </c>
      <c r="H1452" s="47"/>
      <c r="I1452" s="47">
        <f>IFERROR(__xludf.DUMMYFUNCTION("""COMPUTED_VALUE"""),0.0)</f>
        <v>0</v>
      </c>
      <c r="J1452" s="47" t="str">
        <f>IFERROR(__xludf.DUMMYFUNCTION("""COMPUTED_VALUE"""),"#VALUE!")</f>
        <v>#VALUE!</v>
      </c>
      <c r="K1452" s="47"/>
      <c r="L1452" s="47"/>
      <c r="M1452" s="47"/>
    </row>
    <row r="1453">
      <c r="A1453" s="47" t="str">
        <f>IFERROR(__xludf.DUMMYFUNCTION("""COMPUTED_VALUE"""),"Virtual Brown")</f>
        <v>Virtual Brown</v>
      </c>
      <c r="B1453" s="47"/>
      <c r="C1453" s="47"/>
      <c r="D1453" s="47"/>
      <c r="E1453" s="47" t="b">
        <f>IFERROR(__xludf.DUMMYFUNCTION("""COMPUTED_VALUE"""),FALSE)</f>
        <v>0</v>
      </c>
      <c r="F1453" s="47"/>
      <c r="G1453" s="47" t="str">
        <f>IFERROR(__xludf.DUMMYFUNCTION("""COMPUTED_VALUE"""),"")</f>
        <v/>
      </c>
      <c r="H1453" s="47"/>
      <c r="I1453" s="47">
        <f>IFERROR(__xludf.DUMMYFUNCTION("""COMPUTED_VALUE"""),0.0)</f>
        <v>0</v>
      </c>
      <c r="J1453" s="47" t="str">
        <f>IFERROR(__xludf.DUMMYFUNCTION("""COMPUTED_VALUE"""),"#VALUE!")</f>
        <v>#VALUE!</v>
      </c>
      <c r="K1453" s="47"/>
      <c r="L1453" s="47"/>
      <c r="M1453" s="47"/>
    </row>
    <row r="1454">
      <c r="A1454" s="47" t="str">
        <f>IFERROR(__xludf.DUMMYFUNCTION("""COMPUTED_VALUE"""),"Virtual Raw Sienna")</f>
        <v>Virtual Raw Sienna</v>
      </c>
      <c r="B1454" s="47"/>
      <c r="C1454" s="47"/>
      <c r="D1454" s="47"/>
      <c r="E1454" s="47" t="b">
        <f>IFERROR(__xludf.DUMMYFUNCTION("""COMPUTED_VALUE"""),FALSE)</f>
        <v>0</v>
      </c>
      <c r="F1454" s="47"/>
      <c r="G1454" s="47" t="str">
        <f>IFERROR(__xludf.DUMMYFUNCTION("""COMPUTED_VALUE"""),"")</f>
        <v/>
      </c>
      <c r="H1454" s="47"/>
      <c r="I1454" s="47">
        <f>IFERROR(__xludf.DUMMYFUNCTION("""COMPUTED_VALUE"""),0.0)</f>
        <v>0</v>
      </c>
      <c r="J1454" s="47" t="str">
        <f>IFERROR(__xludf.DUMMYFUNCTION("""COMPUTED_VALUE"""),"#VALUE!")</f>
        <v>#VALUE!</v>
      </c>
      <c r="K1454" s="47"/>
      <c r="L1454" s="47"/>
      <c r="M1454" s="47"/>
    </row>
    <row r="1455">
      <c r="A1455" s="47" t="str">
        <f>IFERROR(__xludf.DUMMYFUNCTION("""COMPUTED_VALUE"""),"Virtual Raw Sienna")</f>
        <v>Virtual Raw Sienna</v>
      </c>
      <c r="B1455" s="47"/>
      <c r="C1455" s="47"/>
      <c r="D1455" s="47"/>
      <c r="E1455" s="47" t="b">
        <f>IFERROR(__xludf.DUMMYFUNCTION("""COMPUTED_VALUE"""),FALSE)</f>
        <v>0</v>
      </c>
      <c r="F1455" s="47"/>
      <c r="G1455" s="47" t="str">
        <f>IFERROR(__xludf.DUMMYFUNCTION("""COMPUTED_VALUE"""),"")</f>
        <v/>
      </c>
      <c r="H1455" s="47"/>
      <c r="I1455" s="47">
        <f>IFERROR(__xludf.DUMMYFUNCTION("""COMPUTED_VALUE"""),0.0)</f>
        <v>0</v>
      </c>
      <c r="J1455" s="47" t="str">
        <f>IFERROR(__xludf.DUMMYFUNCTION("""COMPUTED_VALUE"""),"#VALUE!")</f>
        <v>#VALUE!</v>
      </c>
      <c r="K1455" s="47"/>
      <c r="L1455" s="47"/>
      <c r="M1455" s="47"/>
    </row>
    <row r="1456">
      <c r="A1456" s="47" t="str">
        <f>IFERROR(__xludf.DUMMYFUNCTION("""COMPUTED_VALUE"""),"Virtual Brown")</f>
        <v>Virtual Brown</v>
      </c>
      <c r="B1456" s="47"/>
      <c r="C1456" s="47"/>
      <c r="D1456" s="47"/>
      <c r="E1456" s="47" t="b">
        <f>IFERROR(__xludf.DUMMYFUNCTION("""COMPUTED_VALUE"""),FALSE)</f>
        <v>0</v>
      </c>
      <c r="F1456" s="47"/>
      <c r="G1456" s="47" t="str">
        <f>IFERROR(__xludf.DUMMYFUNCTION("""COMPUTED_VALUE"""),"")</f>
        <v/>
      </c>
      <c r="H1456" s="47"/>
      <c r="I1456" s="47">
        <f>IFERROR(__xludf.DUMMYFUNCTION("""COMPUTED_VALUE"""),0.0)</f>
        <v>0</v>
      </c>
      <c r="J1456" s="47" t="str">
        <f>IFERROR(__xludf.DUMMYFUNCTION("""COMPUTED_VALUE"""),"#VALUE!")</f>
        <v>#VALUE!</v>
      </c>
      <c r="K1456" s="47"/>
      <c r="L1456" s="47"/>
      <c r="M1456" s="47"/>
    </row>
    <row r="1457">
      <c r="A1457" s="47" t="str">
        <f>IFERROR(__xludf.DUMMYFUNCTION("""COMPUTED_VALUE"""),"Virtual Brown")</f>
        <v>Virtual Brown</v>
      </c>
      <c r="B1457" s="47" t="str">
        <f>IFERROR(__xludf.DUMMYFUNCTION("""COMPUTED_VALUE"""),"raunas")</f>
        <v>raunas</v>
      </c>
      <c r="C1457" s="78" t="str">
        <f>IFERROR(__xludf.DUMMYFUNCTION("""COMPUTED_VALUE"""),"https://www.munzee.com/m/raunas/12272")</f>
        <v>https://www.munzee.com/m/raunas/12272</v>
      </c>
      <c r="D1457" s="47"/>
      <c r="E1457" s="47" t="b">
        <f>IFERROR(__xludf.DUMMYFUNCTION("""COMPUTED_VALUE"""),TRUE)</f>
        <v>1</v>
      </c>
      <c r="F1457" s="47"/>
      <c r="G1457" s="47" t="str">
        <f>IFERROR(__xludf.DUMMYFUNCTION("""COMPUTED_VALUE"""),"")</f>
        <v/>
      </c>
      <c r="H1457" s="47"/>
      <c r="I1457" s="47">
        <f>IFERROR(__xludf.DUMMYFUNCTION("""COMPUTED_VALUE"""),2.0)</f>
        <v>2</v>
      </c>
      <c r="J1457" s="47" t="str">
        <f>IFERROR(__xludf.DUMMYFUNCTION("""COMPUTED_VALUE"""),"https:")</f>
        <v>https:</v>
      </c>
      <c r="K1457" s="78" t="str">
        <f>IFERROR(__xludf.DUMMYFUNCTION("""COMPUTED_VALUE"""),"www.munzee.com")</f>
        <v>www.munzee.com</v>
      </c>
      <c r="L1457" s="47" t="str">
        <f>IFERROR(__xludf.DUMMYFUNCTION("""COMPUTED_VALUE"""),"m")</f>
        <v>m</v>
      </c>
      <c r="M1457" s="47" t="str">
        <f>IFERROR(__xludf.DUMMYFUNCTION("""COMPUTED_VALUE"""),"raunas")</f>
        <v>raunas</v>
      </c>
    </row>
    <row r="1458">
      <c r="A1458" s="47" t="str">
        <f>IFERROR(__xludf.DUMMYFUNCTION("""COMPUTED_VALUE"""),"Virtual Brown")</f>
        <v>Virtual Brown</v>
      </c>
      <c r="B1458" s="47" t="str">
        <f>IFERROR(__xludf.DUMMYFUNCTION("""COMPUTED_VALUE"""),"sverlaan")</f>
        <v>sverlaan</v>
      </c>
      <c r="C1458" s="78" t="str">
        <f>IFERROR(__xludf.DUMMYFUNCTION("""COMPUTED_VALUE"""),"https://www.munzee.com/m/sverlaan/6174/")</f>
        <v>https://www.munzee.com/m/sverlaan/6174/</v>
      </c>
      <c r="D1458" s="47"/>
      <c r="E1458" s="47" t="b">
        <f>IFERROR(__xludf.DUMMYFUNCTION("""COMPUTED_VALUE"""),TRUE)</f>
        <v>1</v>
      </c>
      <c r="F1458" s="47" t="str">
        <f>IFERROR(__xludf.DUMMYFUNCTION("""COMPUTED_VALUE"""),"")</f>
        <v/>
      </c>
      <c r="G1458" s="47" t="str">
        <f>IFERROR(__xludf.DUMMYFUNCTION("""COMPUTED_VALUE"""),"")</f>
        <v/>
      </c>
      <c r="H1458" s="47"/>
      <c r="I1458" s="47">
        <f>IFERROR(__xludf.DUMMYFUNCTION("""COMPUTED_VALUE"""),2.0)</f>
        <v>2</v>
      </c>
      <c r="J1458" s="47" t="str">
        <f>IFERROR(__xludf.DUMMYFUNCTION("""COMPUTED_VALUE"""),"https:")</f>
        <v>https:</v>
      </c>
      <c r="K1458" s="78" t="str">
        <f>IFERROR(__xludf.DUMMYFUNCTION("""COMPUTED_VALUE"""),"www.munzee.com")</f>
        <v>www.munzee.com</v>
      </c>
      <c r="L1458" s="47" t="str">
        <f>IFERROR(__xludf.DUMMYFUNCTION("""COMPUTED_VALUE"""),"m")</f>
        <v>m</v>
      </c>
      <c r="M1458" s="47" t="str">
        <f>IFERROR(__xludf.DUMMYFUNCTION("""COMPUTED_VALUE"""),"sverlaan")</f>
        <v>sverlaan</v>
      </c>
    </row>
    <row r="1459">
      <c r="A1459" s="47" t="str">
        <f>IFERROR(__xludf.DUMMYFUNCTION("""COMPUTED_VALUE"""),"Virtual Raw Sienna")</f>
        <v>Virtual Raw Sienna</v>
      </c>
      <c r="B1459" s="47" t="str">
        <f>IFERROR(__xludf.DUMMYFUNCTION("""COMPUTED_VALUE"""),"pawpatrolthomas")</f>
        <v>pawpatrolthomas</v>
      </c>
      <c r="C1459" s="78" t="str">
        <f>IFERROR(__xludf.DUMMYFUNCTION("""COMPUTED_VALUE"""),"https://www.munzee.com/m/PawPatrolThomas/4172/")</f>
        <v>https://www.munzee.com/m/PawPatrolThomas/4172/</v>
      </c>
      <c r="D1459" s="47"/>
      <c r="E1459" s="47" t="b">
        <f>IFERROR(__xludf.DUMMYFUNCTION("""COMPUTED_VALUE"""),TRUE)</f>
        <v>1</v>
      </c>
      <c r="F1459" s="47" t="str">
        <f>IFERROR(__xludf.DUMMYFUNCTION("""COMPUTED_VALUE"""),"")</f>
        <v/>
      </c>
      <c r="G1459" s="47" t="str">
        <f>IFERROR(__xludf.DUMMYFUNCTION("""COMPUTED_VALUE"""),"")</f>
        <v/>
      </c>
      <c r="H1459" s="47"/>
      <c r="I1459" s="47">
        <f>IFERROR(__xludf.DUMMYFUNCTION("""COMPUTED_VALUE"""),2.0)</f>
        <v>2</v>
      </c>
      <c r="J1459" s="47" t="str">
        <f>IFERROR(__xludf.DUMMYFUNCTION("""COMPUTED_VALUE"""),"https:")</f>
        <v>https:</v>
      </c>
      <c r="K1459" s="78" t="str">
        <f>IFERROR(__xludf.DUMMYFUNCTION("""COMPUTED_VALUE"""),"www.munzee.com")</f>
        <v>www.munzee.com</v>
      </c>
      <c r="L1459" s="47" t="str">
        <f>IFERROR(__xludf.DUMMYFUNCTION("""COMPUTED_VALUE"""),"m")</f>
        <v>m</v>
      </c>
      <c r="M1459" s="47" t="str">
        <f>IFERROR(__xludf.DUMMYFUNCTION("""COMPUTED_VALUE"""),"PawPatrolThomas")</f>
        <v>PawPatrolThomas</v>
      </c>
    </row>
    <row r="1460">
      <c r="A1460" s="47" t="str">
        <f>IFERROR(__xludf.DUMMYFUNCTION("""COMPUTED_VALUE"""),"Virtual Raw Sienna")</f>
        <v>Virtual Raw Sienna</v>
      </c>
      <c r="B1460" s="47" t="str">
        <f>IFERROR(__xludf.DUMMYFUNCTION("""COMPUTED_VALUE"""),"emilep68")</f>
        <v>emilep68</v>
      </c>
      <c r="C1460" s="78" t="str">
        <f>IFERROR(__xludf.DUMMYFUNCTION("""COMPUTED_VALUE"""),"https://www.munzee.com/m/EmileP68/4929/")</f>
        <v>https://www.munzee.com/m/EmileP68/4929/</v>
      </c>
      <c r="D1460" s="47"/>
      <c r="E1460" s="47" t="b">
        <f>IFERROR(__xludf.DUMMYFUNCTION("""COMPUTED_VALUE"""),TRUE)</f>
        <v>1</v>
      </c>
      <c r="F1460" s="47" t="str">
        <f>IFERROR(__xludf.DUMMYFUNCTION("""COMPUTED_VALUE"""),"")</f>
        <v/>
      </c>
      <c r="G1460" s="47" t="str">
        <f>IFERROR(__xludf.DUMMYFUNCTION("""COMPUTED_VALUE"""),"")</f>
        <v/>
      </c>
      <c r="H1460" s="47"/>
      <c r="I1460" s="47">
        <f>IFERROR(__xludf.DUMMYFUNCTION("""COMPUTED_VALUE"""),2.0)</f>
        <v>2</v>
      </c>
      <c r="J1460" s="47" t="str">
        <f>IFERROR(__xludf.DUMMYFUNCTION("""COMPUTED_VALUE"""),"https:")</f>
        <v>https:</v>
      </c>
      <c r="K1460" s="78" t="str">
        <f>IFERROR(__xludf.DUMMYFUNCTION("""COMPUTED_VALUE"""),"www.munzee.com")</f>
        <v>www.munzee.com</v>
      </c>
      <c r="L1460" s="47" t="str">
        <f>IFERROR(__xludf.DUMMYFUNCTION("""COMPUTED_VALUE"""),"m")</f>
        <v>m</v>
      </c>
      <c r="M1460" s="47" t="str">
        <f>IFERROR(__xludf.DUMMYFUNCTION("""COMPUTED_VALUE"""),"EmileP68")</f>
        <v>EmileP68</v>
      </c>
    </row>
    <row r="1461">
      <c r="A1461" s="47" t="str">
        <f>IFERROR(__xludf.DUMMYFUNCTION("""COMPUTED_VALUE"""),"Virtual Brown")</f>
        <v>Virtual Brown</v>
      </c>
      <c r="B1461" s="47" t="str">
        <f>IFERROR(__xludf.DUMMYFUNCTION("""COMPUTED_VALUE"""),"BrotherWilliam")</f>
        <v>BrotherWilliam</v>
      </c>
      <c r="C1461" s="78" t="str">
        <f>IFERROR(__xludf.DUMMYFUNCTION("""COMPUTED_VALUE"""),"https://www.munzee.com/m/BrotherWilliam/5439/")</f>
        <v>https://www.munzee.com/m/BrotherWilliam/5439/</v>
      </c>
      <c r="D1461" s="47"/>
      <c r="E1461" s="47" t="b">
        <f>IFERROR(__xludf.DUMMYFUNCTION("""COMPUTED_VALUE"""),TRUE)</f>
        <v>1</v>
      </c>
      <c r="F1461" s="47" t="str">
        <f>IFERROR(__xludf.DUMMYFUNCTION("""COMPUTED_VALUE"""),"")</f>
        <v/>
      </c>
      <c r="G1461" s="47" t="str">
        <f>IFERROR(__xludf.DUMMYFUNCTION("""COMPUTED_VALUE"""),"")</f>
        <v/>
      </c>
      <c r="H1461" s="47"/>
      <c r="I1461" s="47">
        <f>IFERROR(__xludf.DUMMYFUNCTION("""COMPUTED_VALUE"""),2.0)</f>
        <v>2</v>
      </c>
      <c r="J1461" s="47" t="str">
        <f>IFERROR(__xludf.DUMMYFUNCTION("""COMPUTED_VALUE"""),"https:")</f>
        <v>https:</v>
      </c>
      <c r="K1461" s="78" t="str">
        <f>IFERROR(__xludf.DUMMYFUNCTION("""COMPUTED_VALUE"""),"www.munzee.com")</f>
        <v>www.munzee.com</v>
      </c>
      <c r="L1461" s="47" t="str">
        <f>IFERROR(__xludf.DUMMYFUNCTION("""COMPUTED_VALUE"""),"m")</f>
        <v>m</v>
      </c>
      <c r="M1461" s="47" t="str">
        <f>IFERROR(__xludf.DUMMYFUNCTION("""COMPUTED_VALUE"""),"BrotherWilliam")</f>
        <v>BrotherWilliam</v>
      </c>
    </row>
    <row r="1462">
      <c r="A1462" s="47" t="str">
        <f>IFERROR(__xludf.DUMMYFUNCTION("""COMPUTED_VALUE"""),"Virtual Brown")</f>
        <v>Virtual Brown</v>
      </c>
      <c r="B1462" s="47" t="str">
        <f>IFERROR(__xludf.DUMMYFUNCTION("""COMPUTED_VALUE"""),"ArtofEco")</f>
        <v>ArtofEco</v>
      </c>
      <c r="C1462" s="78" t="str">
        <f>IFERROR(__xludf.DUMMYFUNCTION("""COMPUTED_VALUE"""),"https://www.munzee.com/m/ArtofEco/3661/")</f>
        <v>https://www.munzee.com/m/ArtofEco/3661/</v>
      </c>
      <c r="D1462" s="47"/>
      <c r="E1462" s="47" t="b">
        <f>IFERROR(__xludf.DUMMYFUNCTION("""COMPUTED_VALUE"""),TRUE)</f>
        <v>1</v>
      </c>
      <c r="F1462" s="47" t="str">
        <f>IFERROR(__xludf.DUMMYFUNCTION("""COMPUTED_VALUE"""),"")</f>
        <v/>
      </c>
      <c r="G1462" s="47" t="str">
        <f>IFERROR(__xludf.DUMMYFUNCTION("""COMPUTED_VALUE"""),"")</f>
        <v/>
      </c>
      <c r="H1462" s="47"/>
      <c r="I1462" s="47">
        <f>IFERROR(__xludf.DUMMYFUNCTION("""COMPUTED_VALUE"""),2.0)</f>
        <v>2</v>
      </c>
      <c r="J1462" s="47" t="str">
        <f>IFERROR(__xludf.DUMMYFUNCTION("""COMPUTED_VALUE"""),"https:")</f>
        <v>https:</v>
      </c>
      <c r="K1462" s="78" t="str">
        <f>IFERROR(__xludf.DUMMYFUNCTION("""COMPUTED_VALUE"""),"www.munzee.com")</f>
        <v>www.munzee.com</v>
      </c>
      <c r="L1462" s="47" t="str">
        <f>IFERROR(__xludf.DUMMYFUNCTION("""COMPUTED_VALUE"""),"m")</f>
        <v>m</v>
      </c>
      <c r="M1462" s="47" t="str">
        <f>IFERROR(__xludf.DUMMYFUNCTION("""COMPUTED_VALUE"""),"ArtofEco")</f>
        <v>ArtofEco</v>
      </c>
    </row>
    <row r="1463">
      <c r="A1463" s="47" t="str">
        <f>IFERROR(__xludf.DUMMYFUNCTION("""COMPUTED_VALUE"""),"Virtual Brown")</f>
        <v>Virtual Brown</v>
      </c>
      <c r="B1463" s="47" t="str">
        <f>IFERROR(__xludf.DUMMYFUNCTION("""COMPUTED_VALUE"""),"J1Huisman")</f>
        <v>J1Huisman</v>
      </c>
      <c r="C1463" s="78" t="str">
        <f>IFERROR(__xludf.DUMMYFUNCTION("""COMPUTED_VALUE"""),"https://www.munzee.com/m/J1Huisman/13461/")</f>
        <v>https://www.munzee.com/m/J1Huisman/13461/</v>
      </c>
      <c r="D1463" s="47"/>
      <c r="E1463" s="47" t="b">
        <f>IFERROR(__xludf.DUMMYFUNCTION("""COMPUTED_VALUE"""),TRUE)</f>
        <v>1</v>
      </c>
      <c r="F1463" s="47" t="str">
        <f>IFERROR(__xludf.DUMMYFUNCTION("""COMPUTED_VALUE"""),"")</f>
        <v/>
      </c>
      <c r="G1463" s="47" t="str">
        <f>IFERROR(__xludf.DUMMYFUNCTION("""COMPUTED_VALUE"""),"")</f>
        <v/>
      </c>
      <c r="H1463" s="47"/>
      <c r="I1463" s="47">
        <f>IFERROR(__xludf.DUMMYFUNCTION("""COMPUTED_VALUE"""),2.0)</f>
        <v>2</v>
      </c>
      <c r="J1463" s="47" t="str">
        <f>IFERROR(__xludf.DUMMYFUNCTION("""COMPUTED_VALUE"""),"https:")</f>
        <v>https:</v>
      </c>
      <c r="K1463" s="78" t="str">
        <f>IFERROR(__xludf.DUMMYFUNCTION("""COMPUTED_VALUE"""),"www.munzee.com")</f>
        <v>www.munzee.com</v>
      </c>
      <c r="L1463" s="47" t="str">
        <f>IFERROR(__xludf.DUMMYFUNCTION("""COMPUTED_VALUE"""),"m")</f>
        <v>m</v>
      </c>
      <c r="M1463" s="47" t="str">
        <f>IFERROR(__xludf.DUMMYFUNCTION("""COMPUTED_VALUE"""),"J1Huisman")</f>
        <v>J1Huisman</v>
      </c>
    </row>
    <row r="1464">
      <c r="A1464" s="47" t="str">
        <f>IFERROR(__xludf.DUMMYFUNCTION("""COMPUTED_VALUE"""),"Virtual Raw Sienna")</f>
        <v>Virtual Raw Sienna</v>
      </c>
      <c r="B1464" s="47" t="str">
        <f>IFERROR(__xludf.DUMMYFUNCTION("""COMPUTED_VALUE"""),"fsafranek")</f>
        <v>fsafranek</v>
      </c>
      <c r="C1464" s="78" t="str">
        <f>IFERROR(__xludf.DUMMYFUNCTION("""COMPUTED_VALUE"""),"https://www.munzee.com/m/fsafranek/5475/")</f>
        <v>https://www.munzee.com/m/fsafranek/5475/</v>
      </c>
      <c r="D1464" s="47"/>
      <c r="E1464" s="47" t="b">
        <f>IFERROR(__xludf.DUMMYFUNCTION("""COMPUTED_VALUE"""),TRUE)</f>
        <v>1</v>
      </c>
      <c r="F1464" s="47" t="str">
        <f>IFERROR(__xludf.DUMMYFUNCTION("""COMPUTED_VALUE"""),"")</f>
        <v/>
      </c>
      <c r="G1464" s="47" t="str">
        <f>IFERROR(__xludf.DUMMYFUNCTION("""COMPUTED_VALUE"""),"")</f>
        <v/>
      </c>
      <c r="H1464" s="47"/>
      <c r="I1464" s="47">
        <f>IFERROR(__xludf.DUMMYFUNCTION("""COMPUTED_VALUE"""),2.0)</f>
        <v>2</v>
      </c>
      <c r="J1464" s="47" t="str">
        <f>IFERROR(__xludf.DUMMYFUNCTION("""COMPUTED_VALUE"""),"https:")</f>
        <v>https:</v>
      </c>
      <c r="K1464" s="78" t="str">
        <f>IFERROR(__xludf.DUMMYFUNCTION("""COMPUTED_VALUE"""),"www.munzee.com")</f>
        <v>www.munzee.com</v>
      </c>
      <c r="L1464" s="47" t="str">
        <f>IFERROR(__xludf.DUMMYFUNCTION("""COMPUTED_VALUE"""),"m")</f>
        <v>m</v>
      </c>
      <c r="M1464" s="47" t="str">
        <f>IFERROR(__xludf.DUMMYFUNCTION("""COMPUTED_VALUE"""),"fsafranek")</f>
        <v>fsafranek</v>
      </c>
    </row>
    <row r="1465">
      <c r="A1465" s="47" t="str">
        <f>IFERROR(__xludf.DUMMYFUNCTION("""COMPUTED_VALUE"""),"Virtual Brown")</f>
        <v>Virtual Brown</v>
      </c>
      <c r="B1465" s="47" t="str">
        <f>IFERROR(__xludf.DUMMYFUNCTION("""COMPUTED_VALUE"""),"rita85gto")</f>
        <v>rita85gto</v>
      </c>
      <c r="C1465" s="78" t="str">
        <f>IFERROR(__xludf.DUMMYFUNCTION("""COMPUTED_VALUE"""),"https://www.munzee.com/m/rita85gto/3824/")</f>
        <v>https://www.munzee.com/m/rita85gto/3824/</v>
      </c>
      <c r="D1465" s="47"/>
      <c r="E1465" s="47" t="b">
        <f>IFERROR(__xludf.DUMMYFUNCTION("""COMPUTED_VALUE"""),TRUE)</f>
        <v>1</v>
      </c>
      <c r="F1465" s="47" t="str">
        <f>IFERROR(__xludf.DUMMYFUNCTION("""COMPUTED_VALUE"""),"")</f>
        <v/>
      </c>
      <c r="G1465" s="47" t="str">
        <f>IFERROR(__xludf.DUMMYFUNCTION("""COMPUTED_VALUE"""),"")</f>
        <v/>
      </c>
      <c r="H1465" s="47"/>
      <c r="I1465" s="47">
        <f>IFERROR(__xludf.DUMMYFUNCTION("""COMPUTED_VALUE"""),2.0)</f>
        <v>2</v>
      </c>
      <c r="J1465" s="47" t="str">
        <f>IFERROR(__xludf.DUMMYFUNCTION("""COMPUTED_VALUE"""),"https:")</f>
        <v>https:</v>
      </c>
      <c r="K1465" s="78" t="str">
        <f>IFERROR(__xludf.DUMMYFUNCTION("""COMPUTED_VALUE"""),"www.munzee.com")</f>
        <v>www.munzee.com</v>
      </c>
      <c r="L1465" s="47" t="str">
        <f>IFERROR(__xludf.DUMMYFUNCTION("""COMPUTED_VALUE"""),"m")</f>
        <v>m</v>
      </c>
      <c r="M1465" s="47" t="str">
        <f>IFERROR(__xludf.DUMMYFUNCTION("""COMPUTED_VALUE"""),"rita85gto")</f>
        <v>rita85gto</v>
      </c>
    </row>
    <row r="1466">
      <c r="A1466" s="47" t="str">
        <f>IFERROR(__xludf.DUMMYFUNCTION("""COMPUTED_VALUE"""),"Virtual Brown")</f>
        <v>Virtual Brown</v>
      </c>
      <c r="B1466" s="47" t="str">
        <f>IFERROR(__xludf.DUMMYFUNCTION("""COMPUTED_VALUE"""),"xrayneex")</f>
        <v>xrayneex</v>
      </c>
      <c r="C1466" s="78" t="str">
        <f>IFERROR(__xludf.DUMMYFUNCTION("""COMPUTED_VALUE"""),"https://www.munzee.com/m/xrayneex/2517/")</f>
        <v>https://www.munzee.com/m/xrayneex/2517/</v>
      </c>
      <c r="D1466" s="47"/>
      <c r="E1466" s="47" t="b">
        <f>IFERROR(__xludf.DUMMYFUNCTION("""COMPUTED_VALUE"""),TRUE)</f>
        <v>1</v>
      </c>
      <c r="F1466" s="47" t="str">
        <f>IFERROR(__xludf.DUMMYFUNCTION("""COMPUTED_VALUE"""),"")</f>
        <v/>
      </c>
      <c r="G1466" s="47" t="str">
        <f>IFERROR(__xludf.DUMMYFUNCTION("""COMPUTED_VALUE"""),"")</f>
        <v/>
      </c>
      <c r="H1466" s="47"/>
      <c r="I1466" s="47">
        <f>IFERROR(__xludf.DUMMYFUNCTION("""COMPUTED_VALUE"""),2.0)</f>
        <v>2</v>
      </c>
      <c r="J1466" s="47" t="str">
        <f>IFERROR(__xludf.DUMMYFUNCTION("""COMPUTED_VALUE"""),"https:")</f>
        <v>https:</v>
      </c>
      <c r="K1466" s="78" t="str">
        <f>IFERROR(__xludf.DUMMYFUNCTION("""COMPUTED_VALUE"""),"www.munzee.com")</f>
        <v>www.munzee.com</v>
      </c>
      <c r="L1466" s="47" t="str">
        <f>IFERROR(__xludf.DUMMYFUNCTION("""COMPUTED_VALUE"""),"m")</f>
        <v>m</v>
      </c>
      <c r="M1466" s="47" t="str">
        <f>IFERROR(__xludf.DUMMYFUNCTION("""COMPUTED_VALUE"""),"xrayneex")</f>
        <v>xrayneex</v>
      </c>
    </row>
    <row r="1467">
      <c r="A1467" s="47" t="str">
        <f>IFERROR(__xludf.DUMMYFUNCTION("""COMPUTED_VALUE"""),"Virtual Brown")</f>
        <v>Virtual Brown</v>
      </c>
      <c r="B1467" s="47" t="str">
        <f>IFERROR(__xludf.DUMMYFUNCTION("""COMPUTED_VALUE"""),"Bungle")</f>
        <v>Bungle</v>
      </c>
      <c r="C1467" s="78" t="str">
        <f>IFERROR(__xludf.DUMMYFUNCTION("""COMPUTED_VALUE"""),"https://www.munzee.com/m/Bungle/11161")</f>
        <v>https://www.munzee.com/m/Bungle/11161</v>
      </c>
      <c r="D1467" s="47"/>
      <c r="E1467" s="47" t="b">
        <f>IFERROR(__xludf.DUMMYFUNCTION("""COMPUTED_VALUE"""),TRUE)</f>
        <v>1</v>
      </c>
      <c r="F1467" s="47"/>
      <c r="G1467" s="47" t="str">
        <f>IFERROR(__xludf.DUMMYFUNCTION("""COMPUTED_VALUE"""),"")</f>
        <v/>
      </c>
      <c r="H1467" s="47"/>
      <c r="I1467" s="47">
        <f>IFERROR(__xludf.DUMMYFUNCTION("""COMPUTED_VALUE"""),2.0)</f>
        <v>2</v>
      </c>
      <c r="J1467" s="47" t="str">
        <f>IFERROR(__xludf.DUMMYFUNCTION("""COMPUTED_VALUE"""),"https:")</f>
        <v>https:</v>
      </c>
      <c r="K1467" s="78" t="str">
        <f>IFERROR(__xludf.DUMMYFUNCTION("""COMPUTED_VALUE"""),"www.munzee.com")</f>
        <v>www.munzee.com</v>
      </c>
      <c r="L1467" s="47" t="str">
        <f>IFERROR(__xludf.DUMMYFUNCTION("""COMPUTED_VALUE"""),"m")</f>
        <v>m</v>
      </c>
      <c r="M1467" s="47" t="str">
        <f>IFERROR(__xludf.DUMMYFUNCTION("""COMPUTED_VALUE"""),"Bungle")</f>
        <v>Bungle</v>
      </c>
    </row>
    <row r="1468">
      <c r="A1468" s="47" t="str">
        <f>IFERROR(__xludf.DUMMYFUNCTION("""COMPUTED_VALUE"""),"Virtual Brown")</f>
        <v>Virtual Brown</v>
      </c>
      <c r="B1468" s="47" t="str">
        <f>IFERROR(__xludf.DUMMYFUNCTION("""COMPUTED_VALUE"""),"res2100")</f>
        <v>res2100</v>
      </c>
      <c r="C1468" s="78" t="str">
        <f>IFERROR(__xludf.DUMMYFUNCTION("""COMPUTED_VALUE"""),"https://www.munzee.com/m/res2100/763")</f>
        <v>https://www.munzee.com/m/res2100/763</v>
      </c>
      <c r="D1468" s="47"/>
      <c r="E1468" s="47" t="b">
        <f>IFERROR(__xludf.DUMMYFUNCTION("""COMPUTED_VALUE"""),TRUE)</f>
        <v>1</v>
      </c>
      <c r="F1468" s="47" t="str">
        <f>IFERROR(__xludf.DUMMYFUNCTION("""COMPUTED_VALUE"""),"")</f>
        <v/>
      </c>
      <c r="G1468" s="47" t="str">
        <f>IFERROR(__xludf.DUMMYFUNCTION("""COMPUTED_VALUE"""),"")</f>
        <v/>
      </c>
      <c r="H1468" s="47"/>
      <c r="I1468" s="47">
        <f>IFERROR(__xludf.DUMMYFUNCTION("""COMPUTED_VALUE"""),2.0)</f>
        <v>2</v>
      </c>
      <c r="J1468" s="47" t="str">
        <f>IFERROR(__xludf.DUMMYFUNCTION("""COMPUTED_VALUE"""),"https:")</f>
        <v>https:</v>
      </c>
      <c r="K1468" s="78" t="str">
        <f>IFERROR(__xludf.DUMMYFUNCTION("""COMPUTED_VALUE"""),"www.munzee.com")</f>
        <v>www.munzee.com</v>
      </c>
      <c r="L1468" s="47" t="str">
        <f>IFERROR(__xludf.DUMMYFUNCTION("""COMPUTED_VALUE"""),"m")</f>
        <v>m</v>
      </c>
      <c r="M1468" s="47" t="str">
        <f>IFERROR(__xludf.DUMMYFUNCTION("""COMPUTED_VALUE"""),"res2100")</f>
        <v>res2100</v>
      </c>
    </row>
    <row r="1469">
      <c r="A1469" s="47" t="str">
        <f>IFERROR(__xludf.DUMMYFUNCTION("""COMPUTED_VALUE"""),"Virtual Brown")</f>
        <v>Virtual Brown</v>
      </c>
      <c r="B1469" s="47" t="str">
        <f>IFERROR(__xludf.DUMMYFUNCTION("""COMPUTED_VALUE"""),"Drazoria")</f>
        <v>Drazoria</v>
      </c>
      <c r="C1469" s="78" t="str">
        <f>IFERROR(__xludf.DUMMYFUNCTION("""COMPUTED_VALUE"""),"https://www.munzee.com/m/Drazoria/1650/")</f>
        <v>https://www.munzee.com/m/Drazoria/1650/</v>
      </c>
      <c r="D1469" s="47"/>
      <c r="E1469" s="47" t="b">
        <f>IFERROR(__xludf.DUMMYFUNCTION("""COMPUTED_VALUE"""),TRUE)</f>
        <v>1</v>
      </c>
      <c r="F1469" s="47"/>
      <c r="G1469" s="47" t="str">
        <f>IFERROR(__xludf.DUMMYFUNCTION("""COMPUTED_VALUE"""),"")</f>
        <v/>
      </c>
      <c r="H1469" s="47"/>
      <c r="I1469" s="47">
        <f>IFERROR(__xludf.DUMMYFUNCTION("""COMPUTED_VALUE"""),2.0)</f>
        <v>2</v>
      </c>
      <c r="J1469" s="47" t="str">
        <f>IFERROR(__xludf.DUMMYFUNCTION("""COMPUTED_VALUE"""),"https:")</f>
        <v>https:</v>
      </c>
      <c r="K1469" s="78" t="str">
        <f>IFERROR(__xludf.DUMMYFUNCTION("""COMPUTED_VALUE"""),"www.munzee.com")</f>
        <v>www.munzee.com</v>
      </c>
      <c r="L1469" s="47" t="str">
        <f>IFERROR(__xludf.DUMMYFUNCTION("""COMPUTED_VALUE"""),"m")</f>
        <v>m</v>
      </c>
      <c r="M1469" s="47" t="str">
        <f>IFERROR(__xludf.DUMMYFUNCTION("""COMPUTED_VALUE"""),"Drazoria")</f>
        <v>Drazoria</v>
      </c>
    </row>
    <row r="1470">
      <c r="A1470" s="47" t="str">
        <f>IFERROR(__xludf.DUMMYFUNCTION("""COMPUTED_VALUE"""),"Virtual Brown")</f>
        <v>Virtual Brown</v>
      </c>
      <c r="B1470" s="47" t="str">
        <f>IFERROR(__xludf.DUMMYFUNCTION("""COMPUTED_VALUE"""),"Tinake1309")</f>
        <v>Tinake1309</v>
      </c>
      <c r="C1470" s="78" t="str">
        <f>IFERROR(__xludf.DUMMYFUNCTION("""COMPUTED_VALUE"""),"https://www.munzee.com/m/Tinake1309/1688/")</f>
        <v>https://www.munzee.com/m/Tinake1309/1688/</v>
      </c>
      <c r="D1470" s="47"/>
      <c r="E1470" s="47" t="b">
        <f>IFERROR(__xludf.DUMMYFUNCTION("""COMPUTED_VALUE"""),TRUE)</f>
        <v>1</v>
      </c>
      <c r="F1470" s="47" t="str">
        <f>IFERROR(__xludf.DUMMYFUNCTION("""COMPUTED_VALUE"""),"")</f>
        <v/>
      </c>
      <c r="G1470" s="47" t="str">
        <f>IFERROR(__xludf.DUMMYFUNCTION("""COMPUTED_VALUE"""),"")</f>
        <v/>
      </c>
      <c r="H1470" s="47"/>
      <c r="I1470" s="47">
        <f>IFERROR(__xludf.DUMMYFUNCTION("""COMPUTED_VALUE"""),2.0)</f>
        <v>2</v>
      </c>
      <c r="J1470" s="47" t="str">
        <f>IFERROR(__xludf.DUMMYFUNCTION("""COMPUTED_VALUE"""),"https:")</f>
        <v>https:</v>
      </c>
      <c r="K1470" s="78" t="str">
        <f>IFERROR(__xludf.DUMMYFUNCTION("""COMPUTED_VALUE"""),"www.munzee.com")</f>
        <v>www.munzee.com</v>
      </c>
      <c r="L1470" s="47" t="str">
        <f>IFERROR(__xludf.DUMMYFUNCTION("""COMPUTED_VALUE"""),"m")</f>
        <v>m</v>
      </c>
      <c r="M1470" s="47" t="str">
        <f>IFERROR(__xludf.DUMMYFUNCTION("""COMPUTED_VALUE"""),"Tinake1309")</f>
        <v>Tinake1309</v>
      </c>
    </row>
    <row r="1471">
      <c r="A1471" s="47" t="str">
        <f>IFERROR(__xludf.DUMMYFUNCTION("""COMPUTED_VALUE"""),"Virtual Brown")</f>
        <v>Virtual Brown</v>
      </c>
      <c r="B1471" s="47" t="str">
        <f>IFERROR(__xludf.DUMMYFUNCTION("""COMPUTED_VALUE"""),"Berg14")</f>
        <v>Berg14</v>
      </c>
      <c r="C1471" s="78" t="str">
        <f>IFERROR(__xludf.DUMMYFUNCTION("""COMPUTED_VALUE"""),"https://www.munzee.com/m/Berg14/1582/")</f>
        <v>https://www.munzee.com/m/Berg14/1582/</v>
      </c>
      <c r="D1471" s="47"/>
      <c r="E1471" s="47" t="b">
        <f>IFERROR(__xludf.DUMMYFUNCTION("""COMPUTED_VALUE"""),TRUE)</f>
        <v>1</v>
      </c>
      <c r="F1471" s="47" t="str">
        <f>IFERROR(__xludf.DUMMYFUNCTION("""COMPUTED_VALUE"""),"")</f>
        <v/>
      </c>
      <c r="G1471" s="47" t="str">
        <f>IFERROR(__xludf.DUMMYFUNCTION("""COMPUTED_VALUE"""),"")</f>
        <v/>
      </c>
      <c r="H1471" s="47"/>
      <c r="I1471" s="47">
        <f>IFERROR(__xludf.DUMMYFUNCTION("""COMPUTED_VALUE"""),2.0)</f>
        <v>2</v>
      </c>
      <c r="J1471" s="47" t="str">
        <f>IFERROR(__xludf.DUMMYFUNCTION("""COMPUTED_VALUE"""),"https:")</f>
        <v>https:</v>
      </c>
      <c r="K1471" s="78" t="str">
        <f>IFERROR(__xludf.DUMMYFUNCTION("""COMPUTED_VALUE"""),"www.munzee.com")</f>
        <v>www.munzee.com</v>
      </c>
      <c r="L1471" s="47" t="str">
        <f>IFERROR(__xludf.DUMMYFUNCTION("""COMPUTED_VALUE"""),"m")</f>
        <v>m</v>
      </c>
      <c r="M1471" s="47" t="str">
        <f>IFERROR(__xludf.DUMMYFUNCTION("""COMPUTED_VALUE"""),"Berg14")</f>
        <v>Berg14</v>
      </c>
    </row>
    <row r="1472">
      <c r="A1472" s="47" t="str">
        <f>IFERROR(__xludf.DUMMYFUNCTION("""COMPUTED_VALUE"""),"Virtual Brown")</f>
        <v>Virtual Brown</v>
      </c>
      <c r="B1472" s="47" t="str">
        <f>IFERROR(__xludf.DUMMYFUNCTION("""COMPUTED_VALUE"""),"Niks13")</f>
        <v>Niks13</v>
      </c>
      <c r="C1472" s="78" t="str">
        <f>IFERROR(__xludf.DUMMYFUNCTION("""COMPUTED_VALUE"""),"https://www.munzee.com/m/Niks13/1570/")</f>
        <v>https://www.munzee.com/m/Niks13/1570/</v>
      </c>
      <c r="D1472" s="47"/>
      <c r="E1472" s="47" t="b">
        <f>IFERROR(__xludf.DUMMYFUNCTION("""COMPUTED_VALUE"""),TRUE)</f>
        <v>1</v>
      </c>
      <c r="F1472" s="47" t="str">
        <f>IFERROR(__xludf.DUMMYFUNCTION("""COMPUTED_VALUE"""),"")</f>
        <v/>
      </c>
      <c r="G1472" s="47" t="str">
        <f>IFERROR(__xludf.DUMMYFUNCTION("""COMPUTED_VALUE"""),"")</f>
        <v/>
      </c>
      <c r="H1472" s="47"/>
      <c r="I1472" s="47">
        <f>IFERROR(__xludf.DUMMYFUNCTION("""COMPUTED_VALUE"""),2.0)</f>
        <v>2</v>
      </c>
      <c r="J1472" s="47" t="str">
        <f>IFERROR(__xludf.DUMMYFUNCTION("""COMPUTED_VALUE"""),"https:")</f>
        <v>https:</v>
      </c>
      <c r="K1472" s="78" t="str">
        <f>IFERROR(__xludf.DUMMYFUNCTION("""COMPUTED_VALUE"""),"www.munzee.com")</f>
        <v>www.munzee.com</v>
      </c>
      <c r="L1472" s="47" t="str">
        <f>IFERROR(__xludf.DUMMYFUNCTION("""COMPUTED_VALUE"""),"m")</f>
        <v>m</v>
      </c>
      <c r="M1472" s="47" t="str">
        <f>IFERROR(__xludf.DUMMYFUNCTION("""COMPUTED_VALUE"""),"Niks13")</f>
        <v>Niks13</v>
      </c>
    </row>
    <row r="1473">
      <c r="A1473" s="47" t="str">
        <f>IFERROR(__xludf.DUMMYFUNCTION("""COMPUTED_VALUE"""),"Virtual Brown")</f>
        <v>Virtual Brown</v>
      </c>
      <c r="B1473" s="47" t="str">
        <f>IFERROR(__xludf.DUMMYFUNCTION("""COMPUTED_VALUE"""),"Ellesche")</f>
        <v>Ellesche</v>
      </c>
      <c r="C1473" s="78" t="str">
        <f>IFERROR(__xludf.DUMMYFUNCTION("""COMPUTED_VALUE"""),"https://www.munzee.com/m/Ellesche/840")</f>
        <v>https://www.munzee.com/m/Ellesche/840</v>
      </c>
      <c r="D1473" s="47"/>
      <c r="E1473" s="47" t="b">
        <f>IFERROR(__xludf.DUMMYFUNCTION("""COMPUTED_VALUE"""),TRUE)</f>
        <v>1</v>
      </c>
      <c r="F1473" s="47" t="str">
        <f>IFERROR(__xludf.DUMMYFUNCTION("""COMPUTED_VALUE"""),"")</f>
        <v/>
      </c>
      <c r="G1473" s="47" t="str">
        <f>IFERROR(__xludf.DUMMYFUNCTION("""COMPUTED_VALUE"""),"")</f>
        <v/>
      </c>
      <c r="H1473" s="47"/>
      <c r="I1473" s="47">
        <f>IFERROR(__xludf.DUMMYFUNCTION("""COMPUTED_VALUE"""),2.0)</f>
        <v>2</v>
      </c>
      <c r="J1473" s="47" t="str">
        <f>IFERROR(__xludf.DUMMYFUNCTION("""COMPUTED_VALUE"""),"https:")</f>
        <v>https:</v>
      </c>
      <c r="K1473" s="78" t="str">
        <f>IFERROR(__xludf.DUMMYFUNCTION("""COMPUTED_VALUE"""),"www.munzee.com")</f>
        <v>www.munzee.com</v>
      </c>
      <c r="L1473" s="47" t="str">
        <f>IFERROR(__xludf.DUMMYFUNCTION("""COMPUTED_VALUE"""),"m")</f>
        <v>m</v>
      </c>
      <c r="M1473" s="47" t="str">
        <f>IFERROR(__xludf.DUMMYFUNCTION("""COMPUTED_VALUE"""),"Ellesche")</f>
        <v>Ellesche</v>
      </c>
    </row>
    <row r="1474">
      <c r="A1474" s="47" t="str">
        <f>IFERROR(__xludf.DUMMYFUNCTION("""COMPUTED_VALUE"""),"Virtual Brown")</f>
        <v>Virtual Brown</v>
      </c>
      <c r="B1474" s="47" t="str">
        <f>IFERROR(__xludf.DUMMYFUNCTION("""COMPUTED_VALUE"""),"lupo6")</f>
        <v>lupo6</v>
      </c>
      <c r="C1474" s="78" t="str">
        <f>IFERROR(__xludf.DUMMYFUNCTION("""COMPUTED_VALUE"""),"https://www.munzee.com/m/lupo6/6805")</f>
        <v>https://www.munzee.com/m/lupo6/6805</v>
      </c>
      <c r="D1474" s="47"/>
      <c r="E1474" s="47" t="b">
        <f>IFERROR(__xludf.DUMMYFUNCTION("""COMPUTED_VALUE"""),TRUE)</f>
        <v>1</v>
      </c>
      <c r="F1474" s="47" t="str">
        <f>IFERROR(__xludf.DUMMYFUNCTION("""COMPUTED_VALUE"""),"")</f>
        <v/>
      </c>
      <c r="G1474" s="47" t="str">
        <f>IFERROR(__xludf.DUMMYFUNCTION("""COMPUTED_VALUE"""),"")</f>
        <v/>
      </c>
      <c r="H1474" s="47"/>
      <c r="I1474" s="47">
        <f>IFERROR(__xludf.DUMMYFUNCTION("""COMPUTED_VALUE"""),2.0)</f>
        <v>2</v>
      </c>
      <c r="J1474" s="47" t="str">
        <f>IFERROR(__xludf.DUMMYFUNCTION("""COMPUTED_VALUE"""),"https:")</f>
        <v>https:</v>
      </c>
      <c r="K1474" s="78" t="str">
        <f>IFERROR(__xludf.DUMMYFUNCTION("""COMPUTED_VALUE"""),"www.munzee.com")</f>
        <v>www.munzee.com</v>
      </c>
      <c r="L1474" s="47" t="str">
        <f>IFERROR(__xludf.DUMMYFUNCTION("""COMPUTED_VALUE"""),"m")</f>
        <v>m</v>
      </c>
      <c r="M1474" s="47" t="str">
        <f>IFERROR(__xludf.DUMMYFUNCTION("""COMPUTED_VALUE"""),"lupo6")</f>
        <v>lupo6</v>
      </c>
    </row>
    <row r="1475">
      <c r="A1475" s="47" t="str">
        <f>IFERROR(__xludf.DUMMYFUNCTION("""COMPUTED_VALUE"""),"Virtual Brown")</f>
        <v>Virtual Brown</v>
      </c>
      <c r="B1475" s="47" t="str">
        <f>IFERROR(__xludf.DUMMYFUNCTION("""COMPUTED_VALUE"""),"crscousins")</f>
        <v>crscousins</v>
      </c>
      <c r="C1475" s="78" t="str">
        <f>IFERROR(__xludf.DUMMYFUNCTION("""COMPUTED_VALUE"""),"https://www.munzee.com/m/crscousins/4101/")</f>
        <v>https://www.munzee.com/m/crscousins/4101/</v>
      </c>
      <c r="D1475" s="47"/>
      <c r="E1475" s="47" t="b">
        <f>IFERROR(__xludf.DUMMYFUNCTION("""COMPUTED_VALUE"""),TRUE)</f>
        <v>1</v>
      </c>
      <c r="F1475" s="47" t="str">
        <f>IFERROR(__xludf.DUMMYFUNCTION("""COMPUTED_VALUE"""),"")</f>
        <v/>
      </c>
      <c r="G1475" s="47" t="str">
        <f>IFERROR(__xludf.DUMMYFUNCTION("""COMPUTED_VALUE"""),"")</f>
        <v/>
      </c>
      <c r="H1475" s="47"/>
      <c r="I1475" s="47">
        <f>IFERROR(__xludf.DUMMYFUNCTION("""COMPUTED_VALUE"""),2.0)</f>
        <v>2</v>
      </c>
      <c r="J1475" s="47" t="str">
        <f>IFERROR(__xludf.DUMMYFUNCTION("""COMPUTED_VALUE"""),"https:")</f>
        <v>https:</v>
      </c>
      <c r="K1475" s="78" t="str">
        <f>IFERROR(__xludf.DUMMYFUNCTION("""COMPUTED_VALUE"""),"www.munzee.com")</f>
        <v>www.munzee.com</v>
      </c>
      <c r="L1475" s="47" t="str">
        <f>IFERROR(__xludf.DUMMYFUNCTION("""COMPUTED_VALUE"""),"m")</f>
        <v>m</v>
      </c>
      <c r="M1475" s="47" t="str">
        <f>IFERROR(__xludf.DUMMYFUNCTION("""COMPUTED_VALUE"""),"crscousins")</f>
        <v>crscousins</v>
      </c>
    </row>
    <row r="1476">
      <c r="A1476" s="47" t="str">
        <f>IFERROR(__xludf.DUMMYFUNCTION("""COMPUTED_VALUE"""),"Virtual Raw Sienna")</f>
        <v>Virtual Raw Sienna</v>
      </c>
      <c r="B1476" s="47"/>
      <c r="C1476" s="47"/>
      <c r="D1476" s="47"/>
      <c r="E1476" s="47" t="b">
        <f>IFERROR(__xludf.DUMMYFUNCTION("""COMPUTED_VALUE"""),FALSE)</f>
        <v>0</v>
      </c>
      <c r="F1476" s="47"/>
      <c r="G1476" s="47" t="str">
        <f>IFERROR(__xludf.DUMMYFUNCTION("""COMPUTED_VALUE"""),"")</f>
        <v/>
      </c>
      <c r="H1476" s="47"/>
      <c r="I1476" s="47">
        <f>IFERROR(__xludf.DUMMYFUNCTION("""COMPUTED_VALUE"""),0.0)</f>
        <v>0</v>
      </c>
      <c r="J1476" s="47" t="str">
        <f>IFERROR(__xludf.DUMMYFUNCTION("""COMPUTED_VALUE"""),"#VALUE!")</f>
        <v>#VALUE!</v>
      </c>
      <c r="K1476" s="47"/>
      <c r="L1476" s="47"/>
      <c r="M1476" s="47"/>
    </row>
    <row r="1477">
      <c r="A1477" s="47" t="str">
        <f>IFERROR(__xludf.DUMMYFUNCTION("""COMPUTED_VALUE"""),"Virtual Brown")</f>
        <v>Virtual Brown</v>
      </c>
      <c r="B1477" s="47" t="str">
        <f>IFERROR(__xludf.DUMMYFUNCTION("""COMPUTED_VALUE"""),"GroteSufferd")</f>
        <v>GroteSufferd</v>
      </c>
      <c r="C1477" s="78" t="str">
        <f>IFERROR(__xludf.DUMMYFUNCTION("""COMPUTED_VALUE"""),"https://www.munzee.com/m/GroteSufferd/758/")</f>
        <v>https://www.munzee.com/m/GroteSufferd/758/</v>
      </c>
      <c r="D1477" s="47"/>
      <c r="E1477" s="47" t="b">
        <f>IFERROR(__xludf.DUMMYFUNCTION("""COMPUTED_VALUE"""),TRUE)</f>
        <v>1</v>
      </c>
      <c r="F1477" s="47" t="str">
        <f>IFERROR(__xludf.DUMMYFUNCTION("""COMPUTED_VALUE"""),"")</f>
        <v/>
      </c>
      <c r="G1477" s="47" t="str">
        <f>IFERROR(__xludf.DUMMYFUNCTION("""COMPUTED_VALUE"""),"")</f>
        <v/>
      </c>
      <c r="H1477" s="47"/>
      <c r="I1477" s="47">
        <f>IFERROR(__xludf.DUMMYFUNCTION("""COMPUTED_VALUE"""),2.0)</f>
        <v>2</v>
      </c>
      <c r="J1477" s="47" t="str">
        <f>IFERROR(__xludf.DUMMYFUNCTION("""COMPUTED_VALUE"""),"https:")</f>
        <v>https:</v>
      </c>
      <c r="K1477" s="78" t="str">
        <f>IFERROR(__xludf.DUMMYFUNCTION("""COMPUTED_VALUE"""),"www.munzee.com")</f>
        <v>www.munzee.com</v>
      </c>
      <c r="L1477" s="47" t="str">
        <f>IFERROR(__xludf.DUMMYFUNCTION("""COMPUTED_VALUE"""),"m")</f>
        <v>m</v>
      </c>
      <c r="M1477" s="47" t="str">
        <f>IFERROR(__xludf.DUMMYFUNCTION("""COMPUTED_VALUE"""),"GroteSufferd")</f>
        <v>GroteSufferd</v>
      </c>
    </row>
    <row r="1478">
      <c r="A1478" s="47" t="str">
        <f>IFERROR(__xludf.DUMMYFUNCTION("""COMPUTED_VALUE"""),"Virtual Brown")</f>
        <v>Virtual Brown</v>
      </c>
      <c r="B1478" s="47" t="str">
        <f>IFERROR(__xludf.DUMMYFUNCTION("""COMPUTED_VALUE"""),"Anetzet ")</f>
        <v>Anetzet </v>
      </c>
      <c r="C1478" s="78" t="str">
        <f>IFERROR(__xludf.DUMMYFUNCTION("""COMPUTED_VALUE"""),"https://www.munzee.com/m/Anetzet/4521/")</f>
        <v>https://www.munzee.com/m/Anetzet/4521/</v>
      </c>
      <c r="D1478" s="47"/>
      <c r="E1478" s="47" t="b">
        <f>IFERROR(__xludf.DUMMYFUNCTION("""COMPUTED_VALUE"""),TRUE)</f>
        <v>1</v>
      </c>
      <c r="F1478" s="47" t="str">
        <f>IFERROR(__xludf.DUMMYFUNCTION("""COMPUTED_VALUE"""),"")</f>
        <v/>
      </c>
      <c r="G1478" s="47" t="str">
        <f>IFERROR(__xludf.DUMMYFUNCTION("""COMPUTED_VALUE"""),"")</f>
        <v/>
      </c>
      <c r="H1478" s="47"/>
      <c r="I1478" s="47">
        <f>IFERROR(__xludf.DUMMYFUNCTION("""COMPUTED_VALUE"""),2.0)</f>
        <v>2</v>
      </c>
      <c r="J1478" s="47" t="str">
        <f>IFERROR(__xludf.DUMMYFUNCTION("""COMPUTED_VALUE"""),"https:")</f>
        <v>https:</v>
      </c>
      <c r="K1478" s="78" t="str">
        <f>IFERROR(__xludf.DUMMYFUNCTION("""COMPUTED_VALUE"""),"www.munzee.com")</f>
        <v>www.munzee.com</v>
      </c>
      <c r="L1478" s="47" t="str">
        <f>IFERROR(__xludf.DUMMYFUNCTION("""COMPUTED_VALUE"""),"m")</f>
        <v>m</v>
      </c>
      <c r="M1478" s="47" t="str">
        <f>IFERROR(__xludf.DUMMYFUNCTION("""COMPUTED_VALUE"""),"Anetzet")</f>
        <v>Anetzet</v>
      </c>
    </row>
    <row r="1479">
      <c r="A1479" s="47" t="str">
        <f>IFERROR(__xludf.DUMMYFUNCTION("""COMPUTED_VALUE"""),"Virtual Brown")</f>
        <v>Virtual Brown</v>
      </c>
      <c r="B1479" s="47" t="str">
        <f>IFERROR(__xludf.DUMMYFUNCTION("""COMPUTED_VALUE"""),"BrotherWilliam")</f>
        <v>BrotherWilliam</v>
      </c>
      <c r="C1479" s="78" t="str">
        <f>IFERROR(__xludf.DUMMYFUNCTION("""COMPUTED_VALUE"""),"https://www.munzee.com/m/BrotherWilliam/5489/")</f>
        <v>https://www.munzee.com/m/BrotherWilliam/5489/</v>
      </c>
      <c r="D1479" s="47"/>
      <c r="E1479" s="47" t="b">
        <f>IFERROR(__xludf.DUMMYFUNCTION("""COMPUTED_VALUE"""),TRUE)</f>
        <v>1</v>
      </c>
      <c r="F1479" s="47" t="str">
        <f>IFERROR(__xludf.DUMMYFUNCTION("""COMPUTED_VALUE"""),"")</f>
        <v/>
      </c>
      <c r="G1479" s="47" t="str">
        <f>IFERROR(__xludf.DUMMYFUNCTION("""COMPUTED_VALUE"""),"")</f>
        <v/>
      </c>
      <c r="H1479" s="47"/>
      <c r="I1479" s="47">
        <f>IFERROR(__xludf.DUMMYFUNCTION("""COMPUTED_VALUE"""),2.0)</f>
        <v>2</v>
      </c>
      <c r="J1479" s="47" t="str">
        <f>IFERROR(__xludf.DUMMYFUNCTION("""COMPUTED_VALUE"""),"https:")</f>
        <v>https:</v>
      </c>
      <c r="K1479" s="78" t="str">
        <f>IFERROR(__xludf.DUMMYFUNCTION("""COMPUTED_VALUE"""),"www.munzee.com")</f>
        <v>www.munzee.com</v>
      </c>
      <c r="L1479" s="47" t="str">
        <f>IFERROR(__xludf.DUMMYFUNCTION("""COMPUTED_VALUE"""),"m")</f>
        <v>m</v>
      </c>
      <c r="M1479" s="47" t="str">
        <f>IFERROR(__xludf.DUMMYFUNCTION("""COMPUTED_VALUE"""),"BrotherWilliam")</f>
        <v>BrotherWilliam</v>
      </c>
    </row>
    <row r="1480">
      <c r="A1480" s="47" t="str">
        <f>IFERROR(__xludf.DUMMYFUNCTION("""COMPUTED_VALUE"""),"Virtual Raw Sienna")</f>
        <v>Virtual Raw Sienna</v>
      </c>
      <c r="B1480" s="47" t="str">
        <f>IFERROR(__xludf.DUMMYFUNCTION("""COMPUTED_VALUE"""),"crscousins")</f>
        <v>crscousins</v>
      </c>
      <c r="C1480" s="78" t="str">
        <f>IFERROR(__xludf.DUMMYFUNCTION("""COMPUTED_VALUE"""),"https://www.munzee.com/m/crscousins/4100/")</f>
        <v>https://www.munzee.com/m/crscousins/4100/</v>
      </c>
      <c r="D1480" s="47"/>
      <c r="E1480" s="47" t="b">
        <f>IFERROR(__xludf.DUMMYFUNCTION("""COMPUTED_VALUE"""),TRUE)</f>
        <v>1</v>
      </c>
      <c r="F1480" s="47" t="str">
        <f>IFERROR(__xludf.DUMMYFUNCTION("""COMPUTED_VALUE"""),"")</f>
        <v/>
      </c>
      <c r="G1480" s="47" t="str">
        <f>IFERROR(__xludf.DUMMYFUNCTION("""COMPUTED_VALUE"""),"")</f>
        <v/>
      </c>
      <c r="H1480" s="47"/>
      <c r="I1480" s="47">
        <f>IFERROR(__xludf.DUMMYFUNCTION("""COMPUTED_VALUE"""),2.0)</f>
        <v>2</v>
      </c>
      <c r="J1480" s="47" t="str">
        <f>IFERROR(__xludf.DUMMYFUNCTION("""COMPUTED_VALUE"""),"https:")</f>
        <v>https:</v>
      </c>
      <c r="K1480" s="78" t="str">
        <f>IFERROR(__xludf.DUMMYFUNCTION("""COMPUTED_VALUE"""),"www.munzee.com")</f>
        <v>www.munzee.com</v>
      </c>
      <c r="L1480" s="47" t="str">
        <f>IFERROR(__xludf.DUMMYFUNCTION("""COMPUTED_VALUE"""),"m")</f>
        <v>m</v>
      </c>
      <c r="M1480" s="47" t="str">
        <f>IFERROR(__xludf.DUMMYFUNCTION("""COMPUTED_VALUE"""),"crscousins")</f>
        <v>crscousins</v>
      </c>
    </row>
    <row r="1481">
      <c r="A1481" s="47" t="str">
        <f>IFERROR(__xludf.DUMMYFUNCTION("""COMPUTED_VALUE"""),"Virtual Brown")</f>
        <v>Virtual Brown</v>
      </c>
      <c r="B1481" s="47" t="str">
        <f>IFERROR(__xludf.DUMMYFUNCTION("""COMPUTED_VALUE"""),"girlteddy5")</f>
        <v>girlteddy5</v>
      </c>
      <c r="C1481" s="78" t="str">
        <f>IFERROR(__xludf.DUMMYFUNCTION("""COMPUTED_VALUE"""),"https://www.munzee.com/m/Girlteddy5/83/")</f>
        <v>https://www.munzee.com/m/Girlteddy5/83/</v>
      </c>
      <c r="D1481" s="47"/>
      <c r="E1481" s="47" t="b">
        <f>IFERROR(__xludf.DUMMYFUNCTION("""COMPUTED_VALUE"""),TRUE)</f>
        <v>1</v>
      </c>
      <c r="F1481" s="47" t="str">
        <f>IFERROR(__xludf.DUMMYFUNCTION("""COMPUTED_VALUE"""),"")</f>
        <v/>
      </c>
      <c r="G1481" s="47" t="str">
        <f>IFERROR(__xludf.DUMMYFUNCTION("""COMPUTED_VALUE"""),"")</f>
        <v/>
      </c>
      <c r="H1481" s="47"/>
      <c r="I1481" s="47">
        <f>IFERROR(__xludf.DUMMYFUNCTION("""COMPUTED_VALUE"""),2.0)</f>
        <v>2</v>
      </c>
      <c r="J1481" s="47" t="str">
        <f>IFERROR(__xludf.DUMMYFUNCTION("""COMPUTED_VALUE"""),"https:")</f>
        <v>https:</v>
      </c>
      <c r="K1481" s="78" t="str">
        <f>IFERROR(__xludf.DUMMYFUNCTION("""COMPUTED_VALUE"""),"www.munzee.com")</f>
        <v>www.munzee.com</v>
      </c>
      <c r="L1481" s="47" t="str">
        <f>IFERROR(__xludf.DUMMYFUNCTION("""COMPUTED_VALUE"""),"m")</f>
        <v>m</v>
      </c>
      <c r="M1481" s="47" t="str">
        <f>IFERROR(__xludf.DUMMYFUNCTION("""COMPUTED_VALUE"""),"Girlteddy5")</f>
        <v>Girlteddy5</v>
      </c>
    </row>
    <row r="1482">
      <c r="A1482" s="47" t="str">
        <f>IFERROR(__xludf.DUMMYFUNCTION("""COMPUTED_VALUE"""),"Virtual Brown")</f>
        <v>Virtual Brown</v>
      </c>
      <c r="B1482" s="47" t="str">
        <f>IFERROR(__xludf.DUMMYFUNCTION("""COMPUTED_VALUE"""),"OdinsFiRe")</f>
        <v>OdinsFiRe</v>
      </c>
      <c r="C1482" s="78" t="str">
        <f>IFERROR(__xludf.DUMMYFUNCTION("""COMPUTED_VALUE"""),"https://www.munzee.com/m/OdinsFiRe/2077/")</f>
        <v>https://www.munzee.com/m/OdinsFiRe/2077/</v>
      </c>
      <c r="D1482" s="47"/>
      <c r="E1482" s="47" t="b">
        <f>IFERROR(__xludf.DUMMYFUNCTION("""COMPUTED_VALUE"""),TRUE)</f>
        <v>1</v>
      </c>
      <c r="F1482" s="47" t="str">
        <f>IFERROR(__xludf.DUMMYFUNCTION("""COMPUTED_VALUE"""),"")</f>
        <v/>
      </c>
      <c r="G1482" s="47" t="str">
        <f>IFERROR(__xludf.DUMMYFUNCTION("""COMPUTED_VALUE"""),"")</f>
        <v/>
      </c>
      <c r="H1482" s="47"/>
      <c r="I1482" s="47">
        <f>IFERROR(__xludf.DUMMYFUNCTION("""COMPUTED_VALUE"""),2.0)</f>
        <v>2</v>
      </c>
      <c r="J1482" s="47" t="str">
        <f>IFERROR(__xludf.DUMMYFUNCTION("""COMPUTED_VALUE"""),"https:")</f>
        <v>https:</v>
      </c>
      <c r="K1482" s="78" t="str">
        <f>IFERROR(__xludf.DUMMYFUNCTION("""COMPUTED_VALUE"""),"www.munzee.com")</f>
        <v>www.munzee.com</v>
      </c>
      <c r="L1482" s="47" t="str">
        <f>IFERROR(__xludf.DUMMYFUNCTION("""COMPUTED_VALUE"""),"m")</f>
        <v>m</v>
      </c>
      <c r="M1482" s="47" t="str">
        <f>IFERROR(__xludf.DUMMYFUNCTION("""COMPUTED_VALUE"""),"OdinsFiRe")</f>
        <v>OdinsFiRe</v>
      </c>
    </row>
    <row r="1483">
      <c r="A1483" s="47" t="str">
        <f>IFERROR(__xludf.DUMMYFUNCTION("""COMPUTED_VALUE"""),"Virtual Raw Sienna")</f>
        <v>Virtual Raw Sienna</v>
      </c>
      <c r="B1483" s="47"/>
      <c r="C1483" s="47"/>
      <c r="D1483" s="47"/>
      <c r="E1483" s="47" t="b">
        <f>IFERROR(__xludf.DUMMYFUNCTION("""COMPUTED_VALUE"""),FALSE)</f>
        <v>0</v>
      </c>
      <c r="F1483" s="47"/>
      <c r="G1483" s="47" t="str">
        <f>IFERROR(__xludf.DUMMYFUNCTION("""COMPUTED_VALUE"""),"")</f>
        <v/>
      </c>
      <c r="H1483" s="47"/>
      <c r="I1483" s="47">
        <f>IFERROR(__xludf.DUMMYFUNCTION("""COMPUTED_VALUE"""),0.0)</f>
        <v>0</v>
      </c>
      <c r="J1483" s="47" t="str">
        <f>IFERROR(__xludf.DUMMYFUNCTION("""COMPUTED_VALUE"""),"#VALUE!")</f>
        <v>#VALUE!</v>
      </c>
      <c r="K1483" s="47"/>
      <c r="L1483" s="47"/>
      <c r="M1483" s="47"/>
    </row>
    <row r="1484">
      <c r="A1484" s="47" t="str">
        <f>IFERROR(__xludf.DUMMYFUNCTION("""COMPUTED_VALUE"""),"Virtual Brown")</f>
        <v>Virtual Brown</v>
      </c>
      <c r="B1484" s="47" t="str">
        <f>IFERROR(__xludf.DUMMYFUNCTION("""COMPUTED_VALUE"""),"cbf600")</f>
        <v>cbf600</v>
      </c>
      <c r="C1484" s="78" t="str">
        <f>IFERROR(__xludf.DUMMYFUNCTION("""COMPUTED_VALUE"""),"https://www.munzee.com/m/cbf600/3779/")</f>
        <v>https://www.munzee.com/m/cbf600/3779/</v>
      </c>
      <c r="D1484" s="47"/>
      <c r="E1484" s="47" t="b">
        <f>IFERROR(__xludf.DUMMYFUNCTION("""COMPUTED_VALUE"""),TRUE)</f>
        <v>1</v>
      </c>
      <c r="F1484" s="47" t="str">
        <f>IFERROR(__xludf.DUMMYFUNCTION("""COMPUTED_VALUE"""),"")</f>
        <v/>
      </c>
      <c r="G1484" s="47" t="str">
        <f>IFERROR(__xludf.DUMMYFUNCTION("""COMPUTED_VALUE"""),"")</f>
        <v/>
      </c>
      <c r="H1484" s="47"/>
      <c r="I1484" s="47">
        <f>IFERROR(__xludf.DUMMYFUNCTION("""COMPUTED_VALUE"""),2.0)</f>
        <v>2</v>
      </c>
      <c r="J1484" s="47" t="str">
        <f>IFERROR(__xludf.DUMMYFUNCTION("""COMPUTED_VALUE"""),"https:")</f>
        <v>https:</v>
      </c>
      <c r="K1484" s="78" t="str">
        <f>IFERROR(__xludf.DUMMYFUNCTION("""COMPUTED_VALUE"""),"www.munzee.com")</f>
        <v>www.munzee.com</v>
      </c>
      <c r="L1484" s="47" t="str">
        <f>IFERROR(__xludf.DUMMYFUNCTION("""COMPUTED_VALUE"""),"m")</f>
        <v>m</v>
      </c>
      <c r="M1484" s="47" t="str">
        <f>IFERROR(__xludf.DUMMYFUNCTION("""COMPUTED_VALUE"""),"cbf600")</f>
        <v>cbf600</v>
      </c>
    </row>
    <row r="1485">
      <c r="A1485" s="47" t="str">
        <f>IFERROR(__xludf.DUMMYFUNCTION("""COMPUTED_VALUE"""),"Virtual Raw Sienna")</f>
        <v>Virtual Raw Sienna</v>
      </c>
      <c r="B1485" s="47"/>
      <c r="C1485" s="47"/>
      <c r="D1485" s="47"/>
      <c r="E1485" s="47" t="b">
        <f>IFERROR(__xludf.DUMMYFUNCTION("""COMPUTED_VALUE"""),FALSE)</f>
        <v>0</v>
      </c>
      <c r="F1485" s="47"/>
      <c r="G1485" s="47" t="str">
        <f>IFERROR(__xludf.DUMMYFUNCTION("""COMPUTED_VALUE"""),"")</f>
        <v/>
      </c>
      <c r="H1485" s="47"/>
      <c r="I1485" s="47">
        <f>IFERROR(__xludf.DUMMYFUNCTION("""COMPUTED_VALUE"""),0.0)</f>
        <v>0</v>
      </c>
      <c r="J1485" s="47" t="str">
        <f>IFERROR(__xludf.DUMMYFUNCTION("""COMPUTED_VALUE"""),"#VALUE!")</f>
        <v>#VALUE!</v>
      </c>
      <c r="K1485" s="47"/>
      <c r="L1485" s="47"/>
      <c r="M1485" s="47"/>
    </row>
    <row r="1486">
      <c r="A1486" s="47" t="str">
        <f>IFERROR(__xludf.DUMMYFUNCTION("""COMPUTED_VALUE"""),"Virtual Brown")</f>
        <v>Virtual Brown</v>
      </c>
      <c r="B1486" s="47"/>
      <c r="C1486" s="47"/>
      <c r="D1486" s="47"/>
      <c r="E1486" s="47" t="b">
        <f>IFERROR(__xludf.DUMMYFUNCTION("""COMPUTED_VALUE"""),FALSE)</f>
        <v>0</v>
      </c>
      <c r="F1486" s="47"/>
      <c r="G1486" s="47" t="str">
        <f>IFERROR(__xludf.DUMMYFUNCTION("""COMPUTED_VALUE"""),"")</f>
        <v/>
      </c>
      <c r="H1486" s="47"/>
      <c r="I1486" s="47">
        <f>IFERROR(__xludf.DUMMYFUNCTION("""COMPUTED_VALUE"""),0.0)</f>
        <v>0</v>
      </c>
      <c r="J1486" s="47" t="str">
        <f>IFERROR(__xludf.DUMMYFUNCTION("""COMPUTED_VALUE"""),"#VALUE!")</f>
        <v>#VALUE!</v>
      </c>
      <c r="K1486" s="47"/>
      <c r="L1486" s="47"/>
      <c r="M1486" s="47"/>
    </row>
    <row r="1487">
      <c r="A1487" s="47" t="str">
        <f>IFERROR(__xludf.DUMMYFUNCTION("""COMPUTED_VALUE"""),"Virtual Brown")</f>
        <v>Virtual Brown</v>
      </c>
      <c r="B1487" s="47"/>
      <c r="C1487" s="47"/>
      <c r="D1487" s="47"/>
      <c r="E1487" s="47" t="b">
        <f>IFERROR(__xludf.DUMMYFUNCTION("""COMPUTED_VALUE"""),FALSE)</f>
        <v>0</v>
      </c>
      <c r="F1487" s="47"/>
      <c r="G1487" s="47" t="str">
        <f>IFERROR(__xludf.DUMMYFUNCTION("""COMPUTED_VALUE"""),"")</f>
        <v/>
      </c>
      <c r="H1487" s="47"/>
      <c r="I1487" s="47">
        <f>IFERROR(__xludf.DUMMYFUNCTION("""COMPUTED_VALUE"""),0.0)</f>
        <v>0</v>
      </c>
      <c r="J1487" s="47" t="str">
        <f>IFERROR(__xludf.DUMMYFUNCTION("""COMPUTED_VALUE"""),"#VALUE!")</f>
        <v>#VALUE!</v>
      </c>
      <c r="K1487" s="47"/>
      <c r="L1487" s="47"/>
      <c r="M1487" s="47"/>
    </row>
    <row r="1488">
      <c r="A1488" s="47" t="str">
        <f>IFERROR(__xludf.DUMMYFUNCTION("""COMPUTED_VALUE"""),"Virtual Brown")</f>
        <v>Virtual Brown</v>
      </c>
      <c r="B1488" s="47"/>
      <c r="C1488" s="47"/>
      <c r="D1488" s="47"/>
      <c r="E1488" s="47" t="b">
        <f>IFERROR(__xludf.DUMMYFUNCTION("""COMPUTED_VALUE"""),FALSE)</f>
        <v>0</v>
      </c>
      <c r="F1488" s="47"/>
      <c r="G1488" s="47" t="str">
        <f>IFERROR(__xludf.DUMMYFUNCTION("""COMPUTED_VALUE"""),"")</f>
        <v/>
      </c>
      <c r="H1488" s="47"/>
      <c r="I1488" s="47">
        <f>IFERROR(__xludf.DUMMYFUNCTION("""COMPUTED_VALUE"""),0.0)</f>
        <v>0</v>
      </c>
      <c r="J1488" s="47" t="str">
        <f>IFERROR(__xludf.DUMMYFUNCTION("""COMPUTED_VALUE"""),"#VALUE!")</f>
        <v>#VALUE!</v>
      </c>
      <c r="K1488" s="47"/>
      <c r="L1488" s="47"/>
      <c r="M1488" s="47"/>
    </row>
    <row r="1489">
      <c r="A1489" s="47" t="str">
        <f>IFERROR(__xludf.DUMMYFUNCTION("""COMPUTED_VALUE"""),"Virtual Brown")</f>
        <v>Virtual Brown</v>
      </c>
      <c r="B1489" s="47"/>
      <c r="C1489" s="47"/>
      <c r="D1489" s="47"/>
      <c r="E1489" s="47" t="b">
        <f>IFERROR(__xludf.DUMMYFUNCTION("""COMPUTED_VALUE"""),FALSE)</f>
        <v>0</v>
      </c>
      <c r="F1489" s="47"/>
      <c r="G1489" s="47" t="str">
        <f>IFERROR(__xludf.DUMMYFUNCTION("""COMPUTED_VALUE"""),"")</f>
        <v/>
      </c>
      <c r="H1489" s="47"/>
      <c r="I1489" s="47">
        <f>IFERROR(__xludf.DUMMYFUNCTION("""COMPUTED_VALUE"""),0.0)</f>
        <v>0</v>
      </c>
      <c r="J1489" s="47" t="str">
        <f>IFERROR(__xludf.DUMMYFUNCTION("""COMPUTED_VALUE"""),"#VALUE!")</f>
        <v>#VALUE!</v>
      </c>
      <c r="K1489" s="47"/>
      <c r="L1489" s="47"/>
      <c r="M1489" s="47"/>
    </row>
    <row r="1490">
      <c r="A1490" s="47" t="str">
        <f>IFERROR(__xludf.DUMMYFUNCTION("""COMPUTED_VALUE"""),"Virtual Brown")</f>
        <v>Virtual Brown</v>
      </c>
      <c r="B1490" s="47"/>
      <c r="C1490" s="47"/>
      <c r="D1490" s="47"/>
      <c r="E1490" s="47" t="b">
        <f>IFERROR(__xludf.DUMMYFUNCTION("""COMPUTED_VALUE"""),FALSE)</f>
        <v>0</v>
      </c>
      <c r="F1490" s="47"/>
      <c r="G1490" s="47" t="str">
        <f>IFERROR(__xludf.DUMMYFUNCTION("""COMPUTED_VALUE"""),"")</f>
        <v/>
      </c>
      <c r="H1490" s="47"/>
      <c r="I1490" s="47">
        <f>IFERROR(__xludf.DUMMYFUNCTION("""COMPUTED_VALUE"""),0.0)</f>
        <v>0</v>
      </c>
      <c r="J1490" s="47" t="str">
        <f>IFERROR(__xludf.DUMMYFUNCTION("""COMPUTED_VALUE"""),"#VALUE!")</f>
        <v>#VALUE!</v>
      </c>
      <c r="K1490" s="47"/>
      <c r="L1490" s="47"/>
      <c r="M1490" s="47"/>
    </row>
    <row r="1491">
      <c r="A1491" s="47" t="str">
        <f>IFERROR(__xludf.DUMMYFUNCTION("""COMPUTED_VALUE"""),"Virtual Brown")</f>
        <v>Virtual Brown</v>
      </c>
      <c r="B1491" s="47" t="str">
        <f>IFERROR(__xludf.DUMMYFUNCTION("""COMPUTED_VALUE"""),"Bisquick2")</f>
        <v>Bisquick2</v>
      </c>
      <c r="C1491" s="78" t="str">
        <f>IFERROR(__xludf.DUMMYFUNCTION("""COMPUTED_VALUE"""),"https://www.munzee.com/m/Bisquick2/7271/")</f>
        <v>https://www.munzee.com/m/Bisquick2/7271/</v>
      </c>
      <c r="D1491" s="47"/>
      <c r="E1491" s="47" t="b">
        <f>IFERROR(__xludf.DUMMYFUNCTION("""COMPUTED_VALUE"""),TRUE)</f>
        <v>1</v>
      </c>
      <c r="F1491" s="47" t="str">
        <f>IFERROR(__xludf.DUMMYFUNCTION("""COMPUTED_VALUE"""),"")</f>
        <v/>
      </c>
      <c r="G1491" s="47" t="str">
        <f>IFERROR(__xludf.DUMMYFUNCTION("""COMPUTED_VALUE"""),"")</f>
        <v/>
      </c>
      <c r="H1491" s="47"/>
      <c r="I1491" s="47">
        <f>IFERROR(__xludf.DUMMYFUNCTION("""COMPUTED_VALUE"""),2.0)</f>
        <v>2</v>
      </c>
      <c r="J1491" s="47" t="str">
        <f>IFERROR(__xludf.DUMMYFUNCTION("""COMPUTED_VALUE"""),"https:")</f>
        <v>https:</v>
      </c>
      <c r="K1491" s="78" t="str">
        <f>IFERROR(__xludf.DUMMYFUNCTION("""COMPUTED_VALUE"""),"www.munzee.com")</f>
        <v>www.munzee.com</v>
      </c>
      <c r="L1491" s="47" t="str">
        <f>IFERROR(__xludf.DUMMYFUNCTION("""COMPUTED_VALUE"""),"m")</f>
        <v>m</v>
      </c>
      <c r="M1491" s="47" t="str">
        <f>IFERROR(__xludf.DUMMYFUNCTION("""COMPUTED_VALUE"""),"Bisquick2")</f>
        <v>Bisquick2</v>
      </c>
    </row>
    <row r="1492">
      <c r="A1492" s="47" t="str">
        <f>IFERROR(__xludf.DUMMYFUNCTION("""COMPUTED_VALUE"""),"Virtual Brown")</f>
        <v>Virtual Brown</v>
      </c>
      <c r="B1492" s="47"/>
      <c r="C1492" s="47"/>
      <c r="D1492" s="47"/>
      <c r="E1492" s="47" t="b">
        <f>IFERROR(__xludf.DUMMYFUNCTION("""COMPUTED_VALUE"""),FALSE)</f>
        <v>0</v>
      </c>
      <c r="F1492" s="47"/>
      <c r="G1492" s="47" t="str">
        <f>IFERROR(__xludf.DUMMYFUNCTION("""COMPUTED_VALUE"""),"")</f>
        <v/>
      </c>
      <c r="H1492" s="47"/>
      <c r="I1492" s="47">
        <f>IFERROR(__xludf.DUMMYFUNCTION("""COMPUTED_VALUE"""),0.0)</f>
        <v>0</v>
      </c>
      <c r="J1492" s="47" t="str">
        <f>IFERROR(__xludf.DUMMYFUNCTION("""COMPUTED_VALUE"""),"#VALUE!")</f>
        <v>#VALUE!</v>
      </c>
      <c r="K1492" s="47"/>
      <c r="L1492" s="47"/>
      <c r="M1492" s="47"/>
    </row>
    <row r="1493">
      <c r="A1493" s="47" t="str">
        <f>IFERROR(__xludf.DUMMYFUNCTION("""COMPUTED_VALUE"""),"Virtual Raw Sienna")</f>
        <v>Virtual Raw Sienna</v>
      </c>
      <c r="B1493" s="47"/>
      <c r="C1493" s="47"/>
      <c r="D1493" s="47"/>
      <c r="E1493" s="47" t="b">
        <f>IFERROR(__xludf.DUMMYFUNCTION("""COMPUTED_VALUE"""),FALSE)</f>
        <v>0</v>
      </c>
      <c r="F1493" s="47"/>
      <c r="G1493" s="47" t="str">
        <f>IFERROR(__xludf.DUMMYFUNCTION("""COMPUTED_VALUE"""),"")</f>
        <v/>
      </c>
      <c r="H1493" s="47"/>
      <c r="I1493" s="47">
        <f>IFERROR(__xludf.DUMMYFUNCTION("""COMPUTED_VALUE"""),0.0)</f>
        <v>0</v>
      </c>
      <c r="J1493" s="47" t="str">
        <f>IFERROR(__xludf.DUMMYFUNCTION("""COMPUTED_VALUE"""),"#VALUE!")</f>
        <v>#VALUE!</v>
      </c>
      <c r="K1493" s="47"/>
      <c r="L1493" s="47"/>
      <c r="M1493" s="47"/>
    </row>
    <row r="1494">
      <c r="A1494" s="47" t="str">
        <f>IFERROR(__xludf.DUMMYFUNCTION("""COMPUTED_VALUE"""),"Virtual Brown")</f>
        <v>Virtual Brown</v>
      </c>
      <c r="B1494" s="47"/>
      <c r="C1494" s="47"/>
      <c r="D1494" s="47"/>
      <c r="E1494" s="47" t="b">
        <f>IFERROR(__xludf.DUMMYFUNCTION("""COMPUTED_VALUE"""),FALSE)</f>
        <v>0</v>
      </c>
      <c r="F1494" s="47"/>
      <c r="G1494" s="47" t="str">
        <f>IFERROR(__xludf.DUMMYFUNCTION("""COMPUTED_VALUE"""),"")</f>
        <v/>
      </c>
      <c r="H1494" s="47"/>
      <c r="I1494" s="47">
        <f>IFERROR(__xludf.DUMMYFUNCTION("""COMPUTED_VALUE"""),0.0)</f>
        <v>0</v>
      </c>
      <c r="J1494" s="47" t="str">
        <f>IFERROR(__xludf.DUMMYFUNCTION("""COMPUTED_VALUE"""),"#VALUE!")</f>
        <v>#VALUE!</v>
      </c>
      <c r="K1494" s="47"/>
      <c r="L1494" s="47"/>
      <c r="M1494" s="47"/>
    </row>
    <row r="1495">
      <c r="A1495" s="47" t="str">
        <f>IFERROR(__xludf.DUMMYFUNCTION("""COMPUTED_VALUE"""),"Virtual Brown")</f>
        <v>Virtual Brown</v>
      </c>
      <c r="B1495" s="47"/>
      <c r="C1495" s="47"/>
      <c r="D1495" s="47"/>
      <c r="E1495" s="47" t="b">
        <f>IFERROR(__xludf.DUMMYFUNCTION("""COMPUTED_VALUE"""),FALSE)</f>
        <v>0</v>
      </c>
      <c r="F1495" s="47"/>
      <c r="G1495" s="47" t="str">
        <f>IFERROR(__xludf.DUMMYFUNCTION("""COMPUTED_VALUE"""),"")</f>
        <v/>
      </c>
      <c r="H1495" s="47"/>
      <c r="I1495" s="47">
        <f>IFERROR(__xludf.DUMMYFUNCTION("""COMPUTED_VALUE"""),0.0)</f>
        <v>0</v>
      </c>
      <c r="J1495" s="47" t="str">
        <f>IFERROR(__xludf.DUMMYFUNCTION("""COMPUTED_VALUE"""),"#VALUE!")</f>
        <v>#VALUE!</v>
      </c>
      <c r="K1495" s="47"/>
      <c r="L1495" s="47"/>
      <c r="M1495" s="47"/>
    </row>
    <row r="1496">
      <c r="A1496" s="47" t="str">
        <f>IFERROR(__xludf.DUMMYFUNCTION("""COMPUTED_VALUE"""),"Virtual Raw Sienna")</f>
        <v>Virtual Raw Sienna</v>
      </c>
      <c r="B1496" s="47"/>
      <c r="C1496" s="47"/>
      <c r="D1496" s="47"/>
      <c r="E1496" s="47" t="b">
        <f>IFERROR(__xludf.DUMMYFUNCTION("""COMPUTED_VALUE"""),FALSE)</f>
        <v>0</v>
      </c>
      <c r="F1496" s="47"/>
      <c r="G1496" s="47" t="str">
        <f>IFERROR(__xludf.DUMMYFUNCTION("""COMPUTED_VALUE"""),"")</f>
        <v/>
      </c>
      <c r="H1496" s="47"/>
      <c r="I1496" s="47">
        <f>IFERROR(__xludf.DUMMYFUNCTION("""COMPUTED_VALUE"""),0.0)</f>
        <v>0</v>
      </c>
      <c r="J1496" s="47" t="str">
        <f>IFERROR(__xludf.DUMMYFUNCTION("""COMPUTED_VALUE"""),"#VALUE!")</f>
        <v>#VALUE!</v>
      </c>
      <c r="K1496" s="47"/>
      <c r="L1496" s="47"/>
      <c r="M1496" s="47"/>
    </row>
    <row r="1497">
      <c r="A1497" s="47" t="str">
        <f>IFERROR(__xludf.DUMMYFUNCTION("""COMPUTED_VALUE"""),"Virtual Brown")</f>
        <v>Virtual Brown</v>
      </c>
      <c r="B1497" s="47" t="str">
        <f>IFERROR(__xludf.DUMMYFUNCTION("""COMPUTED_VALUE"""),"TheFrog")</f>
        <v>TheFrog</v>
      </c>
      <c r="C1497" s="78" t="str">
        <f>IFERROR(__xludf.DUMMYFUNCTION("""COMPUTED_VALUE"""),"https://www.munzee.com/m/TheFrog/6343/")</f>
        <v>https://www.munzee.com/m/TheFrog/6343/</v>
      </c>
      <c r="D1497" s="47"/>
      <c r="E1497" s="47" t="b">
        <f>IFERROR(__xludf.DUMMYFUNCTION("""COMPUTED_VALUE"""),TRUE)</f>
        <v>1</v>
      </c>
      <c r="F1497" s="47" t="str">
        <f>IFERROR(__xludf.DUMMYFUNCTION("""COMPUTED_VALUE"""),"")</f>
        <v/>
      </c>
      <c r="G1497" s="47" t="str">
        <f>IFERROR(__xludf.DUMMYFUNCTION("""COMPUTED_VALUE"""),"")</f>
        <v/>
      </c>
      <c r="H1497" s="47"/>
      <c r="I1497" s="47">
        <f>IFERROR(__xludf.DUMMYFUNCTION("""COMPUTED_VALUE"""),2.0)</f>
        <v>2</v>
      </c>
      <c r="J1497" s="47" t="str">
        <f>IFERROR(__xludf.DUMMYFUNCTION("""COMPUTED_VALUE"""),"https:")</f>
        <v>https:</v>
      </c>
      <c r="K1497" s="78" t="str">
        <f>IFERROR(__xludf.DUMMYFUNCTION("""COMPUTED_VALUE"""),"www.munzee.com")</f>
        <v>www.munzee.com</v>
      </c>
      <c r="L1497" s="47" t="str">
        <f>IFERROR(__xludf.DUMMYFUNCTION("""COMPUTED_VALUE"""),"m")</f>
        <v>m</v>
      </c>
      <c r="M1497" s="47" t="str">
        <f>IFERROR(__xludf.DUMMYFUNCTION("""COMPUTED_VALUE"""),"TheFrog")</f>
        <v>TheFrog</v>
      </c>
    </row>
    <row r="1498">
      <c r="A1498" s="47" t="str">
        <f>IFERROR(__xludf.DUMMYFUNCTION("""COMPUTED_VALUE"""),"Virtual Brown")</f>
        <v>Virtual Brown</v>
      </c>
      <c r="B1498" s="47" t="str">
        <f>IFERROR(__xludf.DUMMYFUNCTION("""COMPUTED_VALUE"""),"123xilef")</f>
        <v>123xilef</v>
      </c>
      <c r="C1498" s="78" t="str">
        <f>IFERROR(__xludf.DUMMYFUNCTION("""COMPUTED_VALUE"""),"https://www.munzee.com/m/123xilef/13727/")</f>
        <v>https://www.munzee.com/m/123xilef/13727/</v>
      </c>
      <c r="D1498" s="47"/>
      <c r="E1498" s="47" t="b">
        <f>IFERROR(__xludf.DUMMYFUNCTION("""COMPUTED_VALUE"""),TRUE)</f>
        <v>1</v>
      </c>
      <c r="F1498" s="47" t="str">
        <f>IFERROR(__xludf.DUMMYFUNCTION("""COMPUTED_VALUE"""),"")</f>
        <v/>
      </c>
      <c r="G1498" s="47" t="str">
        <f>IFERROR(__xludf.DUMMYFUNCTION("""COMPUTED_VALUE"""),"")</f>
        <v/>
      </c>
      <c r="H1498" s="47"/>
      <c r="I1498" s="47">
        <f>IFERROR(__xludf.DUMMYFUNCTION("""COMPUTED_VALUE"""),2.0)</f>
        <v>2</v>
      </c>
      <c r="J1498" s="47" t="str">
        <f>IFERROR(__xludf.DUMMYFUNCTION("""COMPUTED_VALUE"""),"https:")</f>
        <v>https:</v>
      </c>
      <c r="K1498" s="78" t="str">
        <f>IFERROR(__xludf.DUMMYFUNCTION("""COMPUTED_VALUE"""),"www.munzee.com")</f>
        <v>www.munzee.com</v>
      </c>
      <c r="L1498" s="47" t="str">
        <f>IFERROR(__xludf.DUMMYFUNCTION("""COMPUTED_VALUE"""),"m")</f>
        <v>m</v>
      </c>
      <c r="M1498" s="47" t="str">
        <f>IFERROR(__xludf.DUMMYFUNCTION("""COMPUTED_VALUE"""),"123xilef")</f>
        <v>123xilef</v>
      </c>
    </row>
    <row r="1499">
      <c r="A1499" s="47" t="str">
        <f>IFERROR(__xludf.DUMMYFUNCTION("""COMPUTED_VALUE"""),"Virtual Raw Sienna")</f>
        <v>Virtual Raw Sienna</v>
      </c>
      <c r="B1499" s="47"/>
      <c r="C1499" s="47"/>
      <c r="D1499" s="47"/>
      <c r="E1499" s="47" t="b">
        <f>IFERROR(__xludf.DUMMYFUNCTION("""COMPUTED_VALUE"""),FALSE)</f>
        <v>0</v>
      </c>
      <c r="F1499" s="47"/>
      <c r="G1499" s="47" t="str">
        <f>IFERROR(__xludf.DUMMYFUNCTION("""COMPUTED_VALUE"""),"")</f>
        <v/>
      </c>
      <c r="H1499" s="47"/>
      <c r="I1499" s="47">
        <f>IFERROR(__xludf.DUMMYFUNCTION("""COMPUTED_VALUE"""),0.0)</f>
        <v>0</v>
      </c>
      <c r="J1499" s="47" t="str">
        <f>IFERROR(__xludf.DUMMYFUNCTION("""COMPUTED_VALUE"""),"#VALUE!")</f>
        <v>#VALUE!</v>
      </c>
      <c r="K1499" s="47"/>
      <c r="L1499" s="47"/>
      <c r="M1499" s="47"/>
    </row>
    <row r="1500">
      <c r="A1500" s="47" t="str">
        <f>IFERROR(__xludf.DUMMYFUNCTION("""COMPUTED_VALUE"""),"Virtual Brown")</f>
        <v>Virtual Brown</v>
      </c>
      <c r="B1500" s="47"/>
      <c r="C1500" s="47"/>
      <c r="D1500" s="47"/>
      <c r="E1500" s="47" t="b">
        <f>IFERROR(__xludf.DUMMYFUNCTION("""COMPUTED_VALUE"""),FALSE)</f>
        <v>0</v>
      </c>
      <c r="F1500" s="47"/>
      <c r="G1500" s="47" t="str">
        <f>IFERROR(__xludf.DUMMYFUNCTION("""COMPUTED_VALUE"""),"")</f>
        <v/>
      </c>
      <c r="H1500" s="47"/>
      <c r="I1500" s="47">
        <f>IFERROR(__xludf.DUMMYFUNCTION("""COMPUTED_VALUE"""),0.0)</f>
        <v>0</v>
      </c>
      <c r="J1500" s="47" t="str">
        <f>IFERROR(__xludf.DUMMYFUNCTION("""COMPUTED_VALUE"""),"#VALUE!")</f>
        <v>#VALUE!</v>
      </c>
      <c r="K1500" s="47"/>
      <c r="L1500" s="47"/>
      <c r="M1500" s="47"/>
    </row>
    <row r="1501">
      <c r="A1501" s="47" t="str">
        <f>IFERROR(__xludf.DUMMYFUNCTION("""COMPUTED_VALUE"""),"Virtual Brown")</f>
        <v>Virtual Brown</v>
      </c>
      <c r="B1501" s="47" t="str">
        <f>IFERROR(__xludf.DUMMYFUNCTION("""COMPUTED_VALUE"""),"crscousins")</f>
        <v>crscousins</v>
      </c>
      <c r="C1501" s="78" t="str">
        <f>IFERROR(__xludf.DUMMYFUNCTION("""COMPUTED_VALUE"""),"https://www.munzee.com/m/crscousins/4099/")</f>
        <v>https://www.munzee.com/m/crscousins/4099/</v>
      </c>
      <c r="D1501" s="47"/>
      <c r="E1501" s="47" t="b">
        <f>IFERROR(__xludf.DUMMYFUNCTION("""COMPUTED_VALUE"""),TRUE)</f>
        <v>1</v>
      </c>
      <c r="F1501" s="47" t="str">
        <f>IFERROR(__xludf.DUMMYFUNCTION("""COMPUTED_VALUE"""),"")</f>
        <v/>
      </c>
      <c r="G1501" s="47" t="str">
        <f>IFERROR(__xludf.DUMMYFUNCTION("""COMPUTED_VALUE"""),"")</f>
        <v/>
      </c>
      <c r="H1501" s="47"/>
      <c r="I1501" s="47">
        <f>IFERROR(__xludf.DUMMYFUNCTION("""COMPUTED_VALUE"""),2.0)</f>
        <v>2</v>
      </c>
      <c r="J1501" s="47" t="str">
        <f>IFERROR(__xludf.DUMMYFUNCTION("""COMPUTED_VALUE"""),"https:")</f>
        <v>https:</v>
      </c>
      <c r="K1501" s="78" t="str">
        <f>IFERROR(__xludf.DUMMYFUNCTION("""COMPUTED_VALUE"""),"www.munzee.com")</f>
        <v>www.munzee.com</v>
      </c>
      <c r="L1501" s="47" t="str">
        <f>IFERROR(__xludf.DUMMYFUNCTION("""COMPUTED_VALUE"""),"m")</f>
        <v>m</v>
      </c>
      <c r="M1501" s="47" t="str">
        <f>IFERROR(__xludf.DUMMYFUNCTION("""COMPUTED_VALUE"""),"crscousins")</f>
        <v>crscousins</v>
      </c>
    </row>
    <row r="1502">
      <c r="A1502" s="47" t="str">
        <f>IFERROR(__xludf.DUMMYFUNCTION("""COMPUTED_VALUE"""),"Virtual Brown")</f>
        <v>Virtual Brown</v>
      </c>
      <c r="B1502" s="47"/>
      <c r="C1502" s="47"/>
      <c r="D1502" s="47"/>
      <c r="E1502" s="47" t="b">
        <f>IFERROR(__xludf.DUMMYFUNCTION("""COMPUTED_VALUE"""),FALSE)</f>
        <v>0</v>
      </c>
      <c r="F1502" s="47"/>
      <c r="G1502" s="47" t="str">
        <f>IFERROR(__xludf.DUMMYFUNCTION("""COMPUTED_VALUE"""),"")</f>
        <v/>
      </c>
      <c r="H1502" s="47"/>
      <c r="I1502" s="47">
        <f>IFERROR(__xludf.DUMMYFUNCTION("""COMPUTED_VALUE"""),0.0)</f>
        <v>0</v>
      </c>
      <c r="J1502" s="47" t="str">
        <f>IFERROR(__xludf.DUMMYFUNCTION("""COMPUTED_VALUE"""),"#VALUE!")</f>
        <v>#VALUE!</v>
      </c>
      <c r="K1502" s="47"/>
      <c r="L1502" s="47"/>
      <c r="M1502" s="47"/>
    </row>
    <row r="1503">
      <c r="A1503" s="47" t="str">
        <f>IFERROR(__xludf.DUMMYFUNCTION("""COMPUTED_VALUE"""),"Virtual Brown")</f>
        <v>Virtual Brown</v>
      </c>
      <c r="B1503" s="47"/>
      <c r="C1503" s="47"/>
      <c r="D1503" s="47"/>
      <c r="E1503" s="47" t="b">
        <f>IFERROR(__xludf.DUMMYFUNCTION("""COMPUTED_VALUE"""),FALSE)</f>
        <v>0</v>
      </c>
      <c r="F1503" s="47"/>
      <c r="G1503" s="47" t="str">
        <f>IFERROR(__xludf.DUMMYFUNCTION("""COMPUTED_VALUE"""),"")</f>
        <v/>
      </c>
      <c r="H1503" s="47"/>
      <c r="I1503" s="47">
        <f>IFERROR(__xludf.DUMMYFUNCTION("""COMPUTED_VALUE"""),0.0)</f>
        <v>0</v>
      </c>
      <c r="J1503" s="47" t="str">
        <f>IFERROR(__xludf.DUMMYFUNCTION("""COMPUTED_VALUE"""),"#VALUE!")</f>
        <v>#VALUE!</v>
      </c>
      <c r="K1503" s="47"/>
      <c r="L1503" s="47"/>
      <c r="M1503" s="47"/>
    </row>
    <row r="1504">
      <c r="A1504" s="47" t="str">
        <f>IFERROR(__xludf.DUMMYFUNCTION("""COMPUTED_VALUE"""),"Virtual Brown")</f>
        <v>Virtual Brown</v>
      </c>
      <c r="B1504" s="47" t="str">
        <f>IFERROR(__xludf.DUMMYFUNCTION("""COMPUTED_VALUE"""),"mortonfox")</f>
        <v>mortonfox</v>
      </c>
      <c r="C1504" s="78" t="str">
        <f>IFERROR(__xludf.DUMMYFUNCTION("""COMPUTED_VALUE"""),"https://www.munzee.com/m/mortonfox/23234/")</f>
        <v>https://www.munzee.com/m/mortonfox/23234/</v>
      </c>
      <c r="D1504" s="47"/>
      <c r="E1504" s="47" t="b">
        <f>IFERROR(__xludf.DUMMYFUNCTION("""COMPUTED_VALUE"""),TRUE)</f>
        <v>1</v>
      </c>
      <c r="F1504" s="47" t="str">
        <f>IFERROR(__xludf.DUMMYFUNCTION("""COMPUTED_VALUE"""),"")</f>
        <v/>
      </c>
      <c r="G1504" s="47" t="str">
        <f>IFERROR(__xludf.DUMMYFUNCTION("""COMPUTED_VALUE"""),"")</f>
        <v/>
      </c>
      <c r="H1504" s="47"/>
      <c r="I1504" s="47">
        <f>IFERROR(__xludf.DUMMYFUNCTION("""COMPUTED_VALUE"""),2.0)</f>
        <v>2</v>
      </c>
      <c r="J1504" s="47" t="str">
        <f>IFERROR(__xludf.DUMMYFUNCTION("""COMPUTED_VALUE"""),"https:")</f>
        <v>https:</v>
      </c>
      <c r="K1504" s="78" t="str">
        <f>IFERROR(__xludf.DUMMYFUNCTION("""COMPUTED_VALUE"""),"www.munzee.com")</f>
        <v>www.munzee.com</v>
      </c>
      <c r="L1504" s="47" t="str">
        <f>IFERROR(__xludf.DUMMYFUNCTION("""COMPUTED_VALUE"""),"m")</f>
        <v>m</v>
      </c>
      <c r="M1504" s="47" t="str">
        <f>IFERROR(__xludf.DUMMYFUNCTION("""COMPUTED_VALUE"""),"mortonfox")</f>
        <v>mortonfox</v>
      </c>
    </row>
    <row r="1505">
      <c r="A1505" s="47" t="str">
        <f>IFERROR(__xludf.DUMMYFUNCTION("""COMPUTED_VALUE"""),"Virtual Brown")</f>
        <v>Virtual Brown</v>
      </c>
      <c r="B1505" s="47"/>
      <c r="C1505" s="47"/>
      <c r="D1505" s="47"/>
      <c r="E1505" s="47" t="b">
        <f>IFERROR(__xludf.DUMMYFUNCTION("""COMPUTED_VALUE"""),FALSE)</f>
        <v>0</v>
      </c>
      <c r="F1505" s="47"/>
      <c r="G1505" s="47" t="str">
        <f>IFERROR(__xludf.DUMMYFUNCTION("""COMPUTED_VALUE"""),"")</f>
        <v/>
      </c>
      <c r="H1505" s="47"/>
      <c r="I1505" s="47">
        <f>IFERROR(__xludf.DUMMYFUNCTION("""COMPUTED_VALUE"""),0.0)</f>
        <v>0</v>
      </c>
      <c r="J1505" s="47" t="str">
        <f>IFERROR(__xludf.DUMMYFUNCTION("""COMPUTED_VALUE"""),"#VALUE!")</f>
        <v>#VALUE!</v>
      </c>
      <c r="K1505" s="47"/>
      <c r="L1505" s="47"/>
      <c r="M1505" s="47"/>
    </row>
    <row r="1506">
      <c r="A1506" s="47" t="str">
        <f>IFERROR(__xludf.DUMMYFUNCTION("""COMPUTED_VALUE"""),"Virtual Raw Sienna")</f>
        <v>Virtual Raw Sienna</v>
      </c>
      <c r="B1506" s="47"/>
      <c r="C1506" s="47"/>
      <c r="D1506" s="47"/>
      <c r="E1506" s="47" t="b">
        <f>IFERROR(__xludf.DUMMYFUNCTION("""COMPUTED_VALUE"""),FALSE)</f>
        <v>0</v>
      </c>
      <c r="F1506" s="47"/>
      <c r="G1506" s="47" t="str">
        <f>IFERROR(__xludf.DUMMYFUNCTION("""COMPUTED_VALUE"""),"")</f>
        <v/>
      </c>
      <c r="H1506" s="47"/>
      <c r="I1506" s="47">
        <f>IFERROR(__xludf.DUMMYFUNCTION("""COMPUTED_VALUE"""),0.0)</f>
        <v>0</v>
      </c>
      <c r="J1506" s="47" t="str">
        <f>IFERROR(__xludf.DUMMYFUNCTION("""COMPUTED_VALUE"""),"#VALUE!")</f>
        <v>#VALUE!</v>
      </c>
      <c r="K1506" s="47"/>
      <c r="L1506" s="47"/>
      <c r="M1506" s="47"/>
    </row>
    <row r="1507">
      <c r="A1507" s="47" t="str">
        <f>IFERROR(__xludf.DUMMYFUNCTION("""COMPUTED_VALUE"""),"Virtual Raw Sienna")</f>
        <v>Virtual Raw Sienna</v>
      </c>
      <c r="B1507" s="47"/>
      <c r="C1507" s="47"/>
      <c r="D1507" s="47"/>
      <c r="E1507" s="47" t="b">
        <f>IFERROR(__xludf.DUMMYFUNCTION("""COMPUTED_VALUE"""),FALSE)</f>
        <v>0</v>
      </c>
      <c r="F1507" s="47"/>
      <c r="G1507" s="47" t="str">
        <f>IFERROR(__xludf.DUMMYFUNCTION("""COMPUTED_VALUE"""),"")</f>
        <v/>
      </c>
      <c r="H1507" s="47"/>
      <c r="I1507" s="47">
        <f>IFERROR(__xludf.DUMMYFUNCTION("""COMPUTED_VALUE"""),0.0)</f>
        <v>0</v>
      </c>
      <c r="J1507" s="47" t="str">
        <f>IFERROR(__xludf.DUMMYFUNCTION("""COMPUTED_VALUE"""),"#VALUE!")</f>
        <v>#VALUE!</v>
      </c>
      <c r="K1507" s="47"/>
      <c r="L1507" s="47"/>
      <c r="M1507" s="47"/>
    </row>
    <row r="1508">
      <c r="A1508" s="47" t="str">
        <f>IFERROR(__xludf.DUMMYFUNCTION("""COMPUTED_VALUE"""),"Virtual Brown")</f>
        <v>Virtual Brown</v>
      </c>
      <c r="B1508" s="47" t="str">
        <f>IFERROR(__xludf.DUMMYFUNCTION("""COMPUTED_VALUE"""),"barefootguru")</f>
        <v>barefootguru</v>
      </c>
      <c r="C1508" s="78" t="str">
        <f>IFERROR(__xludf.DUMMYFUNCTION("""COMPUTED_VALUE"""),"https://www.munzee.com/m/barefootguru/4258/")</f>
        <v>https://www.munzee.com/m/barefootguru/4258/</v>
      </c>
      <c r="D1508" s="47"/>
      <c r="E1508" s="47" t="b">
        <f>IFERROR(__xludf.DUMMYFUNCTION("""COMPUTED_VALUE"""),TRUE)</f>
        <v>1</v>
      </c>
      <c r="F1508" s="47" t="str">
        <f>IFERROR(__xludf.DUMMYFUNCTION("""COMPUTED_VALUE"""),"")</f>
        <v/>
      </c>
      <c r="G1508" s="47" t="str">
        <f>IFERROR(__xludf.DUMMYFUNCTION("""COMPUTED_VALUE"""),"")</f>
        <v/>
      </c>
      <c r="H1508" s="47"/>
      <c r="I1508" s="47">
        <f>IFERROR(__xludf.DUMMYFUNCTION("""COMPUTED_VALUE"""),2.0)</f>
        <v>2</v>
      </c>
      <c r="J1508" s="47" t="str">
        <f>IFERROR(__xludf.DUMMYFUNCTION("""COMPUTED_VALUE"""),"https:")</f>
        <v>https:</v>
      </c>
      <c r="K1508" s="78" t="str">
        <f>IFERROR(__xludf.DUMMYFUNCTION("""COMPUTED_VALUE"""),"www.munzee.com")</f>
        <v>www.munzee.com</v>
      </c>
      <c r="L1508" s="47" t="str">
        <f>IFERROR(__xludf.DUMMYFUNCTION("""COMPUTED_VALUE"""),"m")</f>
        <v>m</v>
      </c>
      <c r="M1508" s="47" t="str">
        <f>IFERROR(__xludf.DUMMYFUNCTION("""COMPUTED_VALUE"""),"barefootguru")</f>
        <v>barefootguru</v>
      </c>
    </row>
    <row r="1509">
      <c r="A1509" s="47" t="str">
        <f>IFERROR(__xludf.DUMMYFUNCTION("""COMPUTED_VALUE"""),"Virtual Brown")</f>
        <v>Virtual Brown</v>
      </c>
      <c r="B1509" s="47" t="str">
        <f>IFERROR(__xludf.DUMMYFUNCTION("""COMPUTED_VALUE"""),"raunas")</f>
        <v>raunas</v>
      </c>
      <c r="C1509" s="78" t="str">
        <f>IFERROR(__xludf.DUMMYFUNCTION("""COMPUTED_VALUE"""),"https://www.munzee.com/m/raunas/13089")</f>
        <v>https://www.munzee.com/m/raunas/13089</v>
      </c>
      <c r="D1509" s="47"/>
      <c r="E1509" s="47" t="b">
        <f>IFERROR(__xludf.DUMMYFUNCTION("""COMPUTED_VALUE"""),TRUE)</f>
        <v>1</v>
      </c>
      <c r="F1509" s="47" t="str">
        <f>IFERROR(__xludf.DUMMYFUNCTION("""COMPUTED_VALUE"""),"")</f>
        <v/>
      </c>
      <c r="G1509" s="47" t="str">
        <f>IFERROR(__xludf.DUMMYFUNCTION("""COMPUTED_VALUE"""),"")</f>
        <v/>
      </c>
      <c r="H1509" s="47"/>
      <c r="I1509" s="47">
        <f>IFERROR(__xludf.DUMMYFUNCTION("""COMPUTED_VALUE"""),2.0)</f>
        <v>2</v>
      </c>
      <c r="J1509" s="47" t="str">
        <f>IFERROR(__xludf.DUMMYFUNCTION("""COMPUTED_VALUE"""),"https:")</f>
        <v>https:</v>
      </c>
      <c r="K1509" s="78" t="str">
        <f>IFERROR(__xludf.DUMMYFUNCTION("""COMPUTED_VALUE"""),"www.munzee.com")</f>
        <v>www.munzee.com</v>
      </c>
      <c r="L1509" s="47" t="str">
        <f>IFERROR(__xludf.DUMMYFUNCTION("""COMPUTED_VALUE"""),"m")</f>
        <v>m</v>
      </c>
      <c r="M1509" s="47" t="str">
        <f>IFERROR(__xludf.DUMMYFUNCTION("""COMPUTED_VALUE"""),"raunas")</f>
        <v>raunas</v>
      </c>
    </row>
    <row r="1510">
      <c r="A1510" s="47" t="str">
        <f>IFERROR(__xludf.DUMMYFUNCTION("""COMPUTED_VALUE"""),"Virtual Brown")</f>
        <v>Virtual Brown</v>
      </c>
      <c r="B1510" s="47" t="str">
        <f>IFERROR(__xludf.DUMMYFUNCTION("""COMPUTED_VALUE"""),"sverlaan")</f>
        <v>sverlaan</v>
      </c>
      <c r="C1510" s="78" t="str">
        <f>IFERROR(__xludf.DUMMYFUNCTION("""COMPUTED_VALUE"""),"https://www.munzee.com/m/sverlaan/6363/")</f>
        <v>https://www.munzee.com/m/sverlaan/6363/</v>
      </c>
      <c r="D1510" s="47"/>
      <c r="E1510" s="47" t="b">
        <f>IFERROR(__xludf.DUMMYFUNCTION("""COMPUTED_VALUE"""),TRUE)</f>
        <v>1</v>
      </c>
      <c r="F1510" s="47" t="str">
        <f>IFERROR(__xludf.DUMMYFUNCTION("""COMPUTED_VALUE"""),"")</f>
        <v/>
      </c>
      <c r="G1510" s="47" t="str">
        <f>IFERROR(__xludf.DUMMYFUNCTION("""COMPUTED_VALUE"""),"")</f>
        <v/>
      </c>
      <c r="H1510" s="47"/>
      <c r="I1510" s="47">
        <f>IFERROR(__xludf.DUMMYFUNCTION("""COMPUTED_VALUE"""),2.0)</f>
        <v>2</v>
      </c>
      <c r="J1510" s="47" t="str">
        <f>IFERROR(__xludf.DUMMYFUNCTION("""COMPUTED_VALUE"""),"https:")</f>
        <v>https:</v>
      </c>
      <c r="K1510" s="78" t="str">
        <f>IFERROR(__xludf.DUMMYFUNCTION("""COMPUTED_VALUE"""),"www.munzee.com")</f>
        <v>www.munzee.com</v>
      </c>
      <c r="L1510" s="47" t="str">
        <f>IFERROR(__xludf.DUMMYFUNCTION("""COMPUTED_VALUE"""),"m")</f>
        <v>m</v>
      </c>
      <c r="M1510" s="47" t="str">
        <f>IFERROR(__xludf.DUMMYFUNCTION("""COMPUTED_VALUE"""),"sverlaan")</f>
        <v>sverlaan</v>
      </c>
    </row>
    <row r="1511">
      <c r="A1511" s="47" t="str">
        <f>IFERROR(__xludf.DUMMYFUNCTION("""COMPUTED_VALUE"""),"Virtual Raw Sienna")</f>
        <v>Virtual Raw Sienna</v>
      </c>
      <c r="B1511" s="47" t="str">
        <f>IFERROR(__xludf.DUMMYFUNCTION("""COMPUTED_VALUE"""),"pawpatrolthomas")</f>
        <v>pawpatrolthomas</v>
      </c>
      <c r="C1511" s="78" t="str">
        <f>IFERROR(__xludf.DUMMYFUNCTION("""COMPUTED_VALUE"""),"https://www.munzee.com/m/PawPatrolThomas/4389/")</f>
        <v>https://www.munzee.com/m/PawPatrolThomas/4389/</v>
      </c>
      <c r="D1511" s="47"/>
      <c r="E1511" s="47" t="b">
        <f>IFERROR(__xludf.DUMMYFUNCTION("""COMPUTED_VALUE"""),TRUE)</f>
        <v>1</v>
      </c>
      <c r="F1511" s="47" t="str">
        <f>IFERROR(__xludf.DUMMYFUNCTION("""COMPUTED_VALUE"""),"")</f>
        <v/>
      </c>
      <c r="G1511" s="47" t="str">
        <f>IFERROR(__xludf.DUMMYFUNCTION("""COMPUTED_VALUE"""),"")</f>
        <v/>
      </c>
      <c r="H1511" s="47"/>
      <c r="I1511" s="47">
        <f>IFERROR(__xludf.DUMMYFUNCTION("""COMPUTED_VALUE"""),2.0)</f>
        <v>2</v>
      </c>
      <c r="J1511" s="47" t="str">
        <f>IFERROR(__xludf.DUMMYFUNCTION("""COMPUTED_VALUE"""),"https:")</f>
        <v>https:</v>
      </c>
      <c r="K1511" s="78" t="str">
        <f>IFERROR(__xludf.DUMMYFUNCTION("""COMPUTED_VALUE"""),"www.munzee.com")</f>
        <v>www.munzee.com</v>
      </c>
      <c r="L1511" s="47" t="str">
        <f>IFERROR(__xludf.DUMMYFUNCTION("""COMPUTED_VALUE"""),"m")</f>
        <v>m</v>
      </c>
      <c r="M1511" s="47" t="str">
        <f>IFERROR(__xludf.DUMMYFUNCTION("""COMPUTED_VALUE"""),"PawPatrolThomas")</f>
        <v>PawPatrolThomas</v>
      </c>
    </row>
    <row r="1512">
      <c r="A1512" s="47" t="str">
        <f>IFERROR(__xludf.DUMMYFUNCTION("""COMPUTED_VALUE"""),"Virtual Raw Sienna")</f>
        <v>Virtual Raw Sienna</v>
      </c>
      <c r="B1512" s="47" t="str">
        <f>IFERROR(__xludf.DUMMYFUNCTION("""COMPUTED_VALUE"""),"emilep68")</f>
        <v>emilep68</v>
      </c>
      <c r="C1512" s="78" t="str">
        <f>IFERROR(__xludf.DUMMYFUNCTION("""COMPUTED_VALUE"""),"https://www.munzee.com/m/EmileP68/5025/")</f>
        <v>https://www.munzee.com/m/EmileP68/5025/</v>
      </c>
      <c r="D1512" s="47"/>
      <c r="E1512" s="47" t="b">
        <f>IFERROR(__xludf.DUMMYFUNCTION("""COMPUTED_VALUE"""),TRUE)</f>
        <v>1</v>
      </c>
      <c r="F1512" s="47" t="str">
        <f>IFERROR(__xludf.DUMMYFUNCTION("""COMPUTED_VALUE"""),"")</f>
        <v/>
      </c>
      <c r="G1512" s="47" t="str">
        <f>IFERROR(__xludf.DUMMYFUNCTION("""COMPUTED_VALUE"""),"")</f>
        <v/>
      </c>
      <c r="H1512" s="47"/>
      <c r="I1512" s="47">
        <f>IFERROR(__xludf.DUMMYFUNCTION("""COMPUTED_VALUE"""),2.0)</f>
        <v>2</v>
      </c>
      <c r="J1512" s="47" t="str">
        <f>IFERROR(__xludf.DUMMYFUNCTION("""COMPUTED_VALUE"""),"https:")</f>
        <v>https:</v>
      </c>
      <c r="K1512" s="78" t="str">
        <f>IFERROR(__xludf.DUMMYFUNCTION("""COMPUTED_VALUE"""),"www.munzee.com")</f>
        <v>www.munzee.com</v>
      </c>
      <c r="L1512" s="47" t="str">
        <f>IFERROR(__xludf.DUMMYFUNCTION("""COMPUTED_VALUE"""),"m")</f>
        <v>m</v>
      </c>
      <c r="M1512" s="47" t="str">
        <f>IFERROR(__xludf.DUMMYFUNCTION("""COMPUTED_VALUE"""),"EmileP68")</f>
        <v>EmileP68</v>
      </c>
    </row>
    <row r="1513">
      <c r="A1513" s="47" t="str">
        <f>IFERROR(__xludf.DUMMYFUNCTION("""COMPUTED_VALUE"""),"Virtual Brown")</f>
        <v>Virtual Brown</v>
      </c>
      <c r="B1513" s="47" t="str">
        <f>IFERROR(__xludf.DUMMYFUNCTION("""COMPUTED_VALUE"""),"Bungle")</f>
        <v>Bungle</v>
      </c>
      <c r="C1513" s="78" t="str">
        <f>IFERROR(__xludf.DUMMYFUNCTION("""COMPUTED_VALUE"""),"https://www.munzee.com/m/Bungle/10527")</f>
        <v>https://www.munzee.com/m/Bungle/10527</v>
      </c>
      <c r="D1513" s="47"/>
      <c r="E1513" s="47" t="b">
        <f>IFERROR(__xludf.DUMMYFUNCTION("""COMPUTED_VALUE"""),TRUE)</f>
        <v>1</v>
      </c>
      <c r="F1513" s="47"/>
      <c r="G1513" s="47" t="str">
        <f>IFERROR(__xludf.DUMMYFUNCTION("""COMPUTED_VALUE"""),"")</f>
        <v/>
      </c>
      <c r="H1513" s="47"/>
      <c r="I1513" s="47">
        <f>IFERROR(__xludf.DUMMYFUNCTION("""COMPUTED_VALUE"""),2.0)</f>
        <v>2</v>
      </c>
      <c r="J1513" s="47" t="str">
        <f>IFERROR(__xludf.DUMMYFUNCTION("""COMPUTED_VALUE"""),"https:")</f>
        <v>https:</v>
      </c>
      <c r="K1513" s="78" t="str">
        <f>IFERROR(__xludf.DUMMYFUNCTION("""COMPUTED_VALUE"""),"www.munzee.com")</f>
        <v>www.munzee.com</v>
      </c>
      <c r="L1513" s="47" t="str">
        <f>IFERROR(__xludf.DUMMYFUNCTION("""COMPUTED_VALUE"""),"m")</f>
        <v>m</v>
      </c>
      <c r="M1513" s="47" t="str">
        <f>IFERROR(__xludf.DUMMYFUNCTION("""COMPUTED_VALUE"""),"Bungle")</f>
        <v>Bungle</v>
      </c>
    </row>
    <row r="1514">
      <c r="A1514" s="47" t="str">
        <f>IFERROR(__xludf.DUMMYFUNCTION("""COMPUTED_VALUE"""),"Virtual Brown")</f>
        <v>Virtual Brown</v>
      </c>
      <c r="B1514" s="47" t="str">
        <f>IFERROR(__xludf.DUMMYFUNCTION("""COMPUTED_VALUE"""),"BrotherWilliam")</f>
        <v>BrotherWilliam</v>
      </c>
      <c r="C1514" s="78" t="str">
        <f>IFERROR(__xludf.DUMMYFUNCTION("""COMPUTED_VALUE"""),"https://www.munzee.com/m/BrotherWilliam/5400/")</f>
        <v>https://www.munzee.com/m/BrotherWilliam/5400/</v>
      </c>
      <c r="D1514" s="47"/>
      <c r="E1514" s="47" t="b">
        <f>IFERROR(__xludf.DUMMYFUNCTION("""COMPUTED_VALUE"""),TRUE)</f>
        <v>1</v>
      </c>
      <c r="F1514" s="47" t="str">
        <f>IFERROR(__xludf.DUMMYFUNCTION("""COMPUTED_VALUE"""),"")</f>
        <v/>
      </c>
      <c r="G1514" s="47" t="str">
        <f>IFERROR(__xludf.DUMMYFUNCTION("""COMPUTED_VALUE"""),"")</f>
        <v/>
      </c>
      <c r="H1514" s="47"/>
      <c r="I1514" s="47">
        <f>IFERROR(__xludf.DUMMYFUNCTION("""COMPUTED_VALUE"""),2.0)</f>
        <v>2</v>
      </c>
      <c r="J1514" s="47" t="str">
        <f>IFERROR(__xludf.DUMMYFUNCTION("""COMPUTED_VALUE"""),"https:")</f>
        <v>https:</v>
      </c>
      <c r="K1514" s="78" t="str">
        <f>IFERROR(__xludf.DUMMYFUNCTION("""COMPUTED_VALUE"""),"www.munzee.com")</f>
        <v>www.munzee.com</v>
      </c>
      <c r="L1514" s="47" t="str">
        <f>IFERROR(__xludf.DUMMYFUNCTION("""COMPUTED_VALUE"""),"m")</f>
        <v>m</v>
      </c>
      <c r="M1514" s="47" t="str">
        <f>IFERROR(__xludf.DUMMYFUNCTION("""COMPUTED_VALUE"""),"BrotherWilliam")</f>
        <v>BrotherWilliam</v>
      </c>
    </row>
    <row r="1515">
      <c r="A1515" s="47" t="str">
        <f>IFERROR(__xludf.DUMMYFUNCTION("""COMPUTED_VALUE"""),"Virtual Brown")</f>
        <v>Virtual Brown</v>
      </c>
      <c r="B1515" s="47" t="str">
        <f>IFERROR(__xludf.DUMMYFUNCTION("""COMPUTED_VALUE"""),"ArtofEco")</f>
        <v>ArtofEco</v>
      </c>
      <c r="C1515" s="78" t="str">
        <f>IFERROR(__xludf.DUMMYFUNCTION("""COMPUTED_VALUE"""),"https://www.munzee.com/m/ArtofEco/3680/")</f>
        <v>https://www.munzee.com/m/ArtofEco/3680/</v>
      </c>
      <c r="D1515" s="47"/>
      <c r="E1515" s="47" t="b">
        <f>IFERROR(__xludf.DUMMYFUNCTION("""COMPUTED_VALUE"""),TRUE)</f>
        <v>1</v>
      </c>
      <c r="F1515" s="47" t="str">
        <f>IFERROR(__xludf.DUMMYFUNCTION("""COMPUTED_VALUE"""),"")</f>
        <v/>
      </c>
      <c r="G1515" s="47" t="str">
        <f>IFERROR(__xludf.DUMMYFUNCTION("""COMPUTED_VALUE"""),"")</f>
        <v/>
      </c>
      <c r="H1515" s="47"/>
      <c r="I1515" s="47">
        <f>IFERROR(__xludf.DUMMYFUNCTION("""COMPUTED_VALUE"""),2.0)</f>
        <v>2</v>
      </c>
      <c r="J1515" s="47" t="str">
        <f>IFERROR(__xludf.DUMMYFUNCTION("""COMPUTED_VALUE"""),"https:")</f>
        <v>https:</v>
      </c>
      <c r="K1515" s="78" t="str">
        <f>IFERROR(__xludf.DUMMYFUNCTION("""COMPUTED_VALUE"""),"www.munzee.com")</f>
        <v>www.munzee.com</v>
      </c>
      <c r="L1515" s="47" t="str">
        <f>IFERROR(__xludf.DUMMYFUNCTION("""COMPUTED_VALUE"""),"m")</f>
        <v>m</v>
      </c>
      <c r="M1515" s="47" t="str">
        <f>IFERROR(__xludf.DUMMYFUNCTION("""COMPUTED_VALUE"""),"ArtofEco")</f>
        <v>ArtofEco</v>
      </c>
    </row>
    <row r="1516">
      <c r="A1516" s="47" t="str">
        <f>IFERROR(__xludf.DUMMYFUNCTION("""COMPUTED_VALUE"""),"Virtual Raw Sienna")</f>
        <v>Virtual Raw Sienna</v>
      </c>
      <c r="B1516" s="47" t="str">
        <f>IFERROR(__xludf.DUMMYFUNCTION("""COMPUTED_VALUE"""),"J1Huisman")</f>
        <v>J1Huisman</v>
      </c>
      <c r="C1516" s="78" t="str">
        <f>IFERROR(__xludf.DUMMYFUNCTION("""COMPUTED_VALUE"""),"https://www.munzee.com/m/J1Huisman/13460/")</f>
        <v>https://www.munzee.com/m/J1Huisman/13460/</v>
      </c>
      <c r="D1516" s="47"/>
      <c r="E1516" s="47" t="b">
        <f>IFERROR(__xludf.DUMMYFUNCTION("""COMPUTED_VALUE"""),TRUE)</f>
        <v>1</v>
      </c>
      <c r="F1516" s="47" t="str">
        <f>IFERROR(__xludf.DUMMYFUNCTION("""COMPUTED_VALUE"""),"")</f>
        <v/>
      </c>
      <c r="G1516" s="47" t="str">
        <f>IFERROR(__xludf.DUMMYFUNCTION("""COMPUTED_VALUE"""),"")</f>
        <v/>
      </c>
      <c r="H1516" s="47"/>
      <c r="I1516" s="47">
        <f>IFERROR(__xludf.DUMMYFUNCTION("""COMPUTED_VALUE"""),2.0)</f>
        <v>2</v>
      </c>
      <c r="J1516" s="47" t="str">
        <f>IFERROR(__xludf.DUMMYFUNCTION("""COMPUTED_VALUE"""),"https:")</f>
        <v>https:</v>
      </c>
      <c r="K1516" s="78" t="str">
        <f>IFERROR(__xludf.DUMMYFUNCTION("""COMPUTED_VALUE"""),"www.munzee.com")</f>
        <v>www.munzee.com</v>
      </c>
      <c r="L1516" s="47" t="str">
        <f>IFERROR(__xludf.DUMMYFUNCTION("""COMPUTED_VALUE"""),"m")</f>
        <v>m</v>
      </c>
      <c r="M1516" s="47" t="str">
        <f>IFERROR(__xludf.DUMMYFUNCTION("""COMPUTED_VALUE"""),"J1Huisman")</f>
        <v>J1Huisman</v>
      </c>
    </row>
    <row r="1517">
      <c r="A1517" s="47" t="str">
        <f>IFERROR(__xludf.DUMMYFUNCTION("""COMPUTED_VALUE"""),"Virtual Brown")</f>
        <v>Virtual Brown</v>
      </c>
      <c r="B1517" s="47" t="str">
        <f>IFERROR(__xludf.DUMMYFUNCTION("""COMPUTED_VALUE"""),"fsafranek")</f>
        <v>fsafranek</v>
      </c>
      <c r="C1517" s="78" t="str">
        <f>IFERROR(__xludf.DUMMYFUNCTION("""COMPUTED_VALUE"""),"https://www.munzee.com/m/fsafranek/5478/")</f>
        <v>https://www.munzee.com/m/fsafranek/5478/</v>
      </c>
      <c r="D1517" s="47"/>
      <c r="E1517" s="47" t="b">
        <f>IFERROR(__xludf.DUMMYFUNCTION("""COMPUTED_VALUE"""),TRUE)</f>
        <v>1</v>
      </c>
      <c r="F1517" s="88"/>
      <c r="G1517" s="47" t="str">
        <f>IFERROR(__xludf.DUMMYFUNCTION("""COMPUTED_VALUE"""),"")</f>
        <v/>
      </c>
      <c r="H1517" s="47"/>
      <c r="I1517" s="47">
        <f>IFERROR(__xludf.DUMMYFUNCTION("""COMPUTED_VALUE"""),2.0)</f>
        <v>2</v>
      </c>
      <c r="J1517" s="47" t="str">
        <f>IFERROR(__xludf.DUMMYFUNCTION("""COMPUTED_VALUE"""),"#REF!")</f>
        <v>#REF!</v>
      </c>
      <c r="K1517" s="47"/>
      <c r="L1517" s="47"/>
      <c r="M1517" s="47"/>
    </row>
    <row r="1518">
      <c r="A1518" s="47" t="str">
        <f>IFERROR(__xludf.DUMMYFUNCTION("""COMPUTED_VALUE"""),"Virtual Brown")</f>
        <v>Virtual Brown</v>
      </c>
      <c r="B1518" s="47" t="str">
        <f>IFERROR(__xludf.DUMMYFUNCTION("""COMPUTED_VALUE"""),"rita85gto")</f>
        <v>rita85gto</v>
      </c>
      <c r="C1518" s="78" t="str">
        <f>IFERROR(__xludf.DUMMYFUNCTION("""COMPUTED_VALUE"""),"https://www.munzee.com/m/rita85gto/3864/")</f>
        <v>https://www.munzee.com/m/rita85gto/3864/</v>
      </c>
      <c r="D1518" s="47"/>
      <c r="E1518" s="47" t="b">
        <f>IFERROR(__xludf.DUMMYFUNCTION("""COMPUTED_VALUE"""),TRUE)</f>
        <v>1</v>
      </c>
      <c r="F1518" s="47" t="str">
        <f>IFERROR(__xludf.DUMMYFUNCTION("""COMPUTED_VALUE"""),"")</f>
        <v/>
      </c>
      <c r="G1518" s="47" t="str">
        <f>IFERROR(__xludf.DUMMYFUNCTION("""COMPUTED_VALUE"""),"")</f>
        <v/>
      </c>
      <c r="H1518" s="47"/>
      <c r="I1518" s="47">
        <f>IFERROR(__xludf.DUMMYFUNCTION("""COMPUTED_VALUE"""),2.0)</f>
        <v>2</v>
      </c>
      <c r="J1518" s="47" t="str">
        <f>IFERROR(__xludf.DUMMYFUNCTION("""COMPUTED_VALUE"""),"https:")</f>
        <v>https:</v>
      </c>
      <c r="K1518" s="78" t="str">
        <f>IFERROR(__xludf.DUMMYFUNCTION("""COMPUTED_VALUE"""),"www.munzee.com")</f>
        <v>www.munzee.com</v>
      </c>
      <c r="L1518" s="47" t="str">
        <f>IFERROR(__xludf.DUMMYFUNCTION("""COMPUTED_VALUE"""),"m")</f>
        <v>m</v>
      </c>
      <c r="M1518" s="47" t="str">
        <f>IFERROR(__xludf.DUMMYFUNCTION("""COMPUTED_VALUE"""),"fsafranek")</f>
        <v>fsafranek</v>
      </c>
    </row>
    <row r="1519">
      <c r="A1519" s="47" t="str">
        <f>IFERROR(__xludf.DUMMYFUNCTION("""COMPUTED_VALUE"""),"Virtual Brown")</f>
        <v>Virtual Brown</v>
      </c>
      <c r="B1519" s="47" t="str">
        <f>IFERROR(__xludf.DUMMYFUNCTION("""COMPUTED_VALUE"""),"xrayneex")</f>
        <v>xrayneex</v>
      </c>
      <c r="C1519" s="78" t="str">
        <f>IFERROR(__xludf.DUMMYFUNCTION("""COMPUTED_VALUE"""),"https://www.munzee.com/m/xrayneex/2323/")</f>
        <v>https://www.munzee.com/m/xrayneex/2323/</v>
      </c>
      <c r="D1519" s="47"/>
      <c r="E1519" s="47" t="b">
        <f>IFERROR(__xludf.DUMMYFUNCTION("""COMPUTED_VALUE"""),TRUE)</f>
        <v>1</v>
      </c>
      <c r="F1519" s="47" t="str">
        <f>IFERROR(__xludf.DUMMYFUNCTION("""COMPUTED_VALUE"""),"")</f>
        <v/>
      </c>
      <c r="G1519" s="47" t="str">
        <f>IFERROR(__xludf.DUMMYFUNCTION("""COMPUTED_VALUE"""),"")</f>
        <v/>
      </c>
      <c r="H1519" s="47"/>
      <c r="I1519" s="47">
        <f>IFERROR(__xludf.DUMMYFUNCTION("""COMPUTED_VALUE"""),2.0)</f>
        <v>2</v>
      </c>
      <c r="J1519" s="47" t="str">
        <f>IFERROR(__xludf.DUMMYFUNCTION("""COMPUTED_VALUE"""),"https:")</f>
        <v>https:</v>
      </c>
      <c r="K1519" s="78" t="str">
        <f>IFERROR(__xludf.DUMMYFUNCTION("""COMPUTED_VALUE"""),"www.munzee.com")</f>
        <v>www.munzee.com</v>
      </c>
      <c r="L1519" s="47" t="str">
        <f>IFERROR(__xludf.DUMMYFUNCTION("""COMPUTED_VALUE"""),"m")</f>
        <v>m</v>
      </c>
      <c r="M1519" s="47" t="str">
        <f>IFERROR(__xludf.DUMMYFUNCTION("""COMPUTED_VALUE"""),"xrayneex")</f>
        <v>xrayneex</v>
      </c>
    </row>
    <row r="1520">
      <c r="A1520" s="47" t="str">
        <f>IFERROR(__xludf.DUMMYFUNCTION("""COMPUTED_VALUE"""),"Virtual Brown")</f>
        <v>Virtual Brown</v>
      </c>
      <c r="B1520" s="47" t="str">
        <f>IFERROR(__xludf.DUMMYFUNCTION("""COMPUTED_VALUE"""),"Drazoria")</f>
        <v>Drazoria</v>
      </c>
      <c r="C1520" s="78" t="str">
        <f>IFERROR(__xludf.DUMMYFUNCTION("""COMPUTED_VALUE"""),"https://www.munzee.com/m/Drazoria/1651/")</f>
        <v>https://www.munzee.com/m/Drazoria/1651/</v>
      </c>
      <c r="D1520" s="47"/>
      <c r="E1520" s="47" t="b">
        <f>IFERROR(__xludf.DUMMYFUNCTION("""COMPUTED_VALUE"""),TRUE)</f>
        <v>1</v>
      </c>
      <c r="F1520" s="47"/>
      <c r="G1520" s="47" t="str">
        <f>IFERROR(__xludf.DUMMYFUNCTION("""COMPUTED_VALUE"""),"")</f>
        <v/>
      </c>
      <c r="H1520" s="47"/>
      <c r="I1520" s="47">
        <f>IFERROR(__xludf.DUMMYFUNCTION("""COMPUTED_VALUE"""),2.0)</f>
        <v>2</v>
      </c>
      <c r="J1520" s="47" t="str">
        <f>IFERROR(__xludf.DUMMYFUNCTION("""COMPUTED_VALUE"""),"https:")</f>
        <v>https:</v>
      </c>
      <c r="K1520" s="78" t="str">
        <f>IFERROR(__xludf.DUMMYFUNCTION("""COMPUTED_VALUE"""),"www.munzee.com")</f>
        <v>www.munzee.com</v>
      </c>
      <c r="L1520" s="47" t="str">
        <f>IFERROR(__xludf.DUMMYFUNCTION("""COMPUTED_VALUE"""),"m")</f>
        <v>m</v>
      </c>
      <c r="M1520" s="47" t="str">
        <f>IFERROR(__xludf.DUMMYFUNCTION("""COMPUTED_VALUE"""),"Drazoria")</f>
        <v>Drazoria</v>
      </c>
    </row>
    <row r="1521">
      <c r="A1521" s="47" t="str">
        <f>IFERROR(__xludf.DUMMYFUNCTION("""COMPUTED_VALUE"""),"Virtual Brown")</f>
        <v>Virtual Brown</v>
      </c>
      <c r="B1521" s="47" t="str">
        <f>IFERROR(__xludf.DUMMYFUNCTION("""COMPUTED_VALUE"""),"Tinake1309")</f>
        <v>Tinake1309</v>
      </c>
      <c r="C1521" s="78" t="str">
        <f>IFERROR(__xludf.DUMMYFUNCTION("""COMPUTED_VALUE"""),"https://www.munzee.com/m/Tinake1309/1614/")</f>
        <v>https://www.munzee.com/m/Tinake1309/1614/</v>
      </c>
      <c r="D1521" s="47"/>
      <c r="E1521" s="47" t="b">
        <f>IFERROR(__xludf.DUMMYFUNCTION("""COMPUTED_VALUE"""),TRUE)</f>
        <v>1</v>
      </c>
      <c r="F1521" s="47" t="str">
        <f>IFERROR(__xludf.DUMMYFUNCTION("""COMPUTED_VALUE"""),"")</f>
        <v/>
      </c>
      <c r="G1521" s="47" t="str">
        <f>IFERROR(__xludf.DUMMYFUNCTION("""COMPUTED_VALUE"""),"")</f>
        <v/>
      </c>
      <c r="H1521" s="47"/>
      <c r="I1521" s="47">
        <f>IFERROR(__xludf.DUMMYFUNCTION("""COMPUTED_VALUE"""),2.0)</f>
        <v>2</v>
      </c>
      <c r="J1521" s="47" t="str">
        <f>IFERROR(__xludf.DUMMYFUNCTION("""COMPUTED_VALUE"""),"https:")</f>
        <v>https:</v>
      </c>
      <c r="K1521" s="78" t="str">
        <f>IFERROR(__xludf.DUMMYFUNCTION("""COMPUTED_VALUE"""),"www.munzee.com")</f>
        <v>www.munzee.com</v>
      </c>
      <c r="L1521" s="47" t="str">
        <f>IFERROR(__xludf.DUMMYFUNCTION("""COMPUTED_VALUE"""),"m")</f>
        <v>m</v>
      </c>
      <c r="M1521" s="47" t="str">
        <f>IFERROR(__xludf.DUMMYFUNCTION("""COMPUTED_VALUE"""),"Tinake1309")</f>
        <v>Tinake1309</v>
      </c>
    </row>
    <row r="1522">
      <c r="A1522" s="47" t="str">
        <f>IFERROR(__xludf.DUMMYFUNCTION("""COMPUTED_VALUE"""),"Virtual Brown")</f>
        <v>Virtual Brown</v>
      </c>
      <c r="B1522" s="47" t="str">
        <f>IFERROR(__xludf.DUMMYFUNCTION("""COMPUTED_VALUE"""),"Berg14")</f>
        <v>Berg14</v>
      </c>
      <c r="C1522" s="78" t="str">
        <f>IFERROR(__xludf.DUMMYFUNCTION("""COMPUTED_VALUE"""),"https://www.munzee.com/m/Berg14/1522/")</f>
        <v>https://www.munzee.com/m/Berg14/1522/</v>
      </c>
      <c r="D1522" s="47"/>
      <c r="E1522" s="47" t="b">
        <f>IFERROR(__xludf.DUMMYFUNCTION("""COMPUTED_VALUE"""),TRUE)</f>
        <v>1</v>
      </c>
      <c r="F1522" s="47" t="str">
        <f>IFERROR(__xludf.DUMMYFUNCTION("""COMPUTED_VALUE"""),"")</f>
        <v/>
      </c>
      <c r="G1522" s="47" t="str">
        <f>IFERROR(__xludf.DUMMYFUNCTION("""COMPUTED_VALUE"""),"")</f>
        <v/>
      </c>
      <c r="H1522" s="47"/>
      <c r="I1522" s="47">
        <f>IFERROR(__xludf.DUMMYFUNCTION("""COMPUTED_VALUE"""),2.0)</f>
        <v>2</v>
      </c>
      <c r="J1522" s="47" t="str">
        <f>IFERROR(__xludf.DUMMYFUNCTION("""COMPUTED_VALUE"""),"https:")</f>
        <v>https:</v>
      </c>
      <c r="K1522" s="78" t="str">
        <f>IFERROR(__xludf.DUMMYFUNCTION("""COMPUTED_VALUE"""),"www.munzee.com")</f>
        <v>www.munzee.com</v>
      </c>
      <c r="L1522" s="47" t="str">
        <f>IFERROR(__xludf.DUMMYFUNCTION("""COMPUTED_VALUE"""),"m")</f>
        <v>m</v>
      </c>
      <c r="M1522" s="47" t="str">
        <f>IFERROR(__xludf.DUMMYFUNCTION("""COMPUTED_VALUE"""),"Berg14")</f>
        <v>Berg14</v>
      </c>
    </row>
    <row r="1523">
      <c r="A1523" s="47" t="str">
        <f>IFERROR(__xludf.DUMMYFUNCTION("""COMPUTED_VALUE"""),"Virtual Brown")</f>
        <v>Virtual Brown</v>
      </c>
      <c r="B1523" s="47" t="str">
        <f>IFERROR(__xludf.DUMMYFUNCTION("""COMPUTED_VALUE"""),"Niks13")</f>
        <v>Niks13</v>
      </c>
      <c r="C1523" s="78" t="str">
        <f>IFERROR(__xludf.DUMMYFUNCTION("""COMPUTED_VALUE"""),"https://www.munzee.com/m/Niks13/1478/")</f>
        <v>https://www.munzee.com/m/Niks13/1478/</v>
      </c>
      <c r="D1523" s="47"/>
      <c r="E1523" s="47" t="b">
        <f>IFERROR(__xludf.DUMMYFUNCTION("""COMPUTED_VALUE"""),TRUE)</f>
        <v>1</v>
      </c>
      <c r="F1523" s="47" t="str">
        <f>IFERROR(__xludf.DUMMYFUNCTION("""COMPUTED_VALUE"""),"")</f>
        <v/>
      </c>
      <c r="G1523" s="47" t="str">
        <f>IFERROR(__xludf.DUMMYFUNCTION("""COMPUTED_VALUE"""),"")</f>
        <v/>
      </c>
      <c r="H1523" s="47"/>
      <c r="I1523" s="47">
        <f>IFERROR(__xludf.DUMMYFUNCTION("""COMPUTED_VALUE"""),2.0)</f>
        <v>2</v>
      </c>
      <c r="J1523" s="47" t="str">
        <f>IFERROR(__xludf.DUMMYFUNCTION("""COMPUTED_VALUE"""),"https:")</f>
        <v>https:</v>
      </c>
      <c r="K1523" s="78" t="str">
        <f>IFERROR(__xludf.DUMMYFUNCTION("""COMPUTED_VALUE"""),"www.munzee.com")</f>
        <v>www.munzee.com</v>
      </c>
      <c r="L1523" s="47" t="str">
        <f>IFERROR(__xludf.DUMMYFUNCTION("""COMPUTED_VALUE"""),"m")</f>
        <v>m</v>
      </c>
      <c r="M1523" s="47" t="str">
        <f>IFERROR(__xludf.DUMMYFUNCTION("""COMPUTED_VALUE"""),"Niks13")</f>
        <v>Niks13</v>
      </c>
    </row>
    <row r="1524">
      <c r="A1524" s="47" t="str">
        <f>IFERROR(__xludf.DUMMYFUNCTION("""COMPUTED_VALUE"""),"Virtual Brown")</f>
        <v>Virtual Brown</v>
      </c>
      <c r="B1524" s="47" t="str">
        <f>IFERROR(__xludf.DUMMYFUNCTION("""COMPUTED_VALUE"""),"lupo6")</f>
        <v>lupo6</v>
      </c>
      <c r="C1524" s="78" t="str">
        <f>IFERROR(__xludf.DUMMYFUNCTION("""COMPUTED_VALUE"""),"https://www.munzee.com/m/lupo6/6723")</f>
        <v>https://www.munzee.com/m/lupo6/6723</v>
      </c>
      <c r="D1524" s="47"/>
      <c r="E1524" s="47" t="b">
        <f>IFERROR(__xludf.DUMMYFUNCTION("""COMPUTED_VALUE"""),TRUE)</f>
        <v>1</v>
      </c>
      <c r="F1524" s="47" t="str">
        <f>IFERROR(__xludf.DUMMYFUNCTION("""COMPUTED_VALUE"""),"")</f>
        <v/>
      </c>
      <c r="G1524" s="47" t="str">
        <f>IFERROR(__xludf.DUMMYFUNCTION("""COMPUTED_VALUE"""),"")</f>
        <v/>
      </c>
      <c r="H1524" s="47"/>
      <c r="I1524" s="47">
        <f>IFERROR(__xludf.DUMMYFUNCTION("""COMPUTED_VALUE"""),2.0)</f>
        <v>2</v>
      </c>
      <c r="J1524" s="47" t="str">
        <f>IFERROR(__xludf.DUMMYFUNCTION("""COMPUTED_VALUE"""),"https:")</f>
        <v>https:</v>
      </c>
      <c r="K1524" s="78" t="str">
        <f>IFERROR(__xludf.DUMMYFUNCTION("""COMPUTED_VALUE"""),"www.munzee.com")</f>
        <v>www.munzee.com</v>
      </c>
      <c r="L1524" s="47" t="str">
        <f>IFERROR(__xludf.DUMMYFUNCTION("""COMPUTED_VALUE"""),"m")</f>
        <v>m</v>
      </c>
      <c r="M1524" s="47" t="str">
        <f>IFERROR(__xludf.DUMMYFUNCTION("""COMPUTED_VALUE"""),"lupo6")</f>
        <v>lupo6</v>
      </c>
    </row>
    <row r="1525">
      <c r="A1525" s="47" t="str">
        <f>IFERROR(__xludf.DUMMYFUNCTION("""COMPUTED_VALUE"""),"Virtual Brown")</f>
        <v>Virtual Brown</v>
      </c>
      <c r="B1525" s="47" t="str">
        <f>IFERROR(__xludf.DUMMYFUNCTION("""COMPUTED_VALUE"""),"crscousins")</f>
        <v>crscousins</v>
      </c>
      <c r="C1525" s="78" t="str">
        <f>IFERROR(__xludf.DUMMYFUNCTION("""COMPUTED_VALUE"""),"https://www.munzee.com/m/crscousins/4089/")</f>
        <v>https://www.munzee.com/m/crscousins/4089/</v>
      </c>
      <c r="D1525" s="47"/>
      <c r="E1525" s="47" t="b">
        <f>IFERROR(__xludf.DUMMYFUNCTION("""COMPUTED_VALUE"""),TRUE)</f>
        <v>1</v>
      </c>
      <c r="F1525" s="47" t="str">
        <f>IFERROR(__xludf.DUMMYFUNCTION("""COMPUTED_VALUE"""),"")</f>
        <v/>
      </c>
      <c r="G1525" s="47" t="str">
        <f>IFERROR(__xludf.DUMMYFUNCTION("""COMPUTED_VALUE"""),"")</f>
        <v/>
      </c>
      <c r="H1525" s="47"/>
      <c r="I1525" s="47">
        <f>IFERROR(__xludf.DUMMYFUNCTION("""COMPUTED_VALUE"""),2.0)</f>
        <v>2</v>
      </c>
      <c r="J1525" s="47" t="str">
        <f>IFERROR(__xludf.DUMMYFUNCTION("""COMPUTED_VALUE"""),"https:")</f>
        <v>https:</v>
      </c>
      <c r="K1525" s="78" t="str">
        <f>IFERROR(__xludf.DUMMYFUNCTION("""COMPUTED_VALUE"""),"www.munzee.com")</f>
        <v>www.munzee.com</v>
      </c>
      <c r="L1525" s="47" t="str">
        <f>IFERROR(__xludf.DUMMYFUNCTION("""COMPUTED_VALUE"""),"m")</f>
        <v>m</v>
      </c>
      <c r="M1525" s="47" t="str">
        <f>IFERROR(__xludf.DUMMYFUNCTION("""COMPUTED_VALUE"""),"crscousins")</f>
        <v>crscousins</v>
      </c>
    </row>
    <row r="1526">
      <c r="A1526" s="47" t="str">
        <f>IFERROR(__xludf.DUMMYFUNCTION("""COMPUTED_VALUE"""),"Virtual Brown")</f>
        <v>Virtual Brown</v>
      </c>
      <c r="B1526" s="47"/>
      <c r="C1526" s="47"/>
      <c r="D1526" s="47"/>
      <c r="E1526" s="47" t="b">
        <f>IFERROR(__xludf.DUMMYFUNCTION("""COMPUTED_VALUE"""),FALSE)</f>
        <v>0</v>
      </c>
      <c r="F1526" s="47"/>
      <c r="G1526" s="47" t="str">
        <f>IFERROR(__xludf.DUMMYFUNCTION("""COMPUTED_VALUE"""),"")</f>
        <v/>
      </c>
      <c r="H1526" s="47"/>
      <c r="I1526" s="47">
        <f>IFERROR(__xludf.DUMMYFUNCTION("""COMPUTED_VALUE"""),0.0)</f>
        <v>0</v>
      </c>
      <c r="J1526" s="47" t="str">
        <f>IFERROR(__xludf.DUMMYFUNCTION("""COMPUTED_VALUE"""),"#VALUE!")</f>
        <v>#VALUE!</v>
      </c>
      <c r="K1526" s="47"/>
      <c r="L1526" s="47"/>
      <c r="M1526" s="47"/>
    </row>
    <row r="1527">
      <c r="A1527" s="47" t="str">
        <f>IFERROR(__xludf.DUMMYFUNCTION("""COMPUTED_VALUE"""),"Virtual Brown")</f>
        <v>Virtual Brown</v>
      </c>
      <c r="B1527" s="47" t="str">
        <f>IFERROR(__xludf.DUMMYFUNCTION("""COMPUTED_VALUE"""),"Wangotango")</f>
        <v>Wangotango</v>
      </c>
      <c r="C1527" s="78" t="str">
        <f>IFERROR(__xludf.DUMMYFUNCTION("""COMPUTED_VALUE"""),"https://www.munzee.com/m/Wangotango/1377/")</f>
        <v>https://www.munzee.com/m/Wangotango/1377/</v>
      </c>
      <c r="D1527" s="47"/>
      <c r="E1527" s="47" t="b">
        <f>IFERROR(__xludf.DUMMYFUNCTION("""COMPUTED_VALUE"""),TRUE)</f>
        <v>1</v>
      </c>
      <c r="F1527" s="47" t="str">
        <f>IFERROR(__xludf.DUMMYFUNCTION("""COMPUTED_VALUE"""),"")</f>
        <v/>
      </c>
      <c r="G1527" s="47" t="str">
        <f>IFERROR(__xludf.DUMMYFUNCTION("""COMPUTED_VALUE"""),"")</f>
        <v/>
      </c>
      <c r="H1527" s="47"/>
      <c r="I1527" s="47">
        <f>IFERROR(__xludf.DUMMYFUNCTION("""COMPUTED_VALUE"""),2.0)</f>
        <v>2</v>
      </c>
      <c r="J1527" s="47" t="str">
        <f>IFERROR(__xludf.DUMMYFUNCTION("""COMPUTED_VALUE"""),"https:")</f>
        <v>https:</v>
      </c>
      <c r="K1527" s="78" t="str">
        <f>IFERROR(__xludf.DUMMYFUNCTION("""COMPUTED_VALUE"""),"www.munzee.com")</f>
        <v>www.munzee.com</v>
      </c>
      <c r="L1527" s="47" t="str">
        <f>IFERROR(__xludf.DUMMYFUNCTION("""COMPUTED_VALUE"""),"m")</f>
        <v>m</v>
      </c>
      <c r="M1527" s="47" t="str">
        <f>IFERROR(__xludf.DUMMYFUNCTION("""COMPUTED_VALUE"""),"Wangotango")</f>
        <v>Wangotango</v>
      </c>
    </row>
    <row r="1528">
      <c r="A1528" s="47" t="str">
        <f>IFERROR(__xludf.DUMMYFUNCTION("""COMPUTED_VALUE"""),"Virtual Raw Sienna")</f>
        <v>Virtual Raw Sienna</v>
      </c>
      <c r="B1528" s="47" t="str">
        <f>IFERROR(__xludf.DUMMYFUNCTION("""COMPUTED_VALUE"""),"OdinsFiRe")</f>
        <v>OdinsFiRe</v>
      </c>
      <c r="C1528" s="78" t="str">
        <f>IFERROR(__xludf.DUMMYFUNCTION("""COMPUTED_VALUE"""),"https://www.munzee.com/m/OdinsFiRe/2089/")</f>
        <v>https://www.munzee.com/m/OdinsFiRe/2089/</v>
      </c>
      <c r="D1528" s="47"/>
      <c r="E1528" s="47" t="b">
        <f>IFERROR(__xludf.DUMMYFUNCTION("""COMPUTED_VALUE"""),TRUE)</f>
        <v>1</v>
      </c>
      <c r="F1528" s="47" t="str">
        <f>IFERROR(__xludf.DUMMYFUNCTION("""COMPUTED_VALUE"""),"")</f>
        <v/>
      </c>
      <c r="G1528" s="47" t="str">
        <f>IFERROR(__xludf.DUMMYFUNCTION("""COMPUTED_VALUE"""),"")</f>
        <v/>
      </c>
      <c r="H1528" s="47"/>
      <c r="I1528" s="47">
        <f>IFERROR(__xludf.DUMMYFUNCTION("""COMPUTED_VALUE"""),2.0)</f>
        <v>2</v>
      </c>
      <c r="J1528" s="47" t="str">
        <f>IFERROR(__xludf.DUMMYFUNCTION("""COMPUTED_VALUE"""),"https:")</f>
        <v>https:</v>
      </c>
      <c r="K1528" s="78" t="str">
        <f>IFERROR(__xludf.DUMMYFUNCTION("""COMPUTED_VALUE"""),"www.munzee.com")</f>
        <v>www.munzee.com</v>
      </c>
      <c r="L1528" s="47" t="str">
        <f>IFERROR(__xludf.DUMMYFUNCTION("""COMPUTED_VALUE"""),"m")</f>
        <v>m</v>
      </c>
      <c r="M1528" s="47" t="str">
        <f>IFERROR(__xludf.DUMMYFUNCTION("""COMPUTED_VALUE"""),"OdinsFiRe")</f>
        <v>OdinsFiRe</v>
      </c>
    </row>
    <row r="1529">
      <c r="A1529" s="47" t="str">
        <f>IFERROR(__xludf.DUMMYFUNCTION("""COMPUTED_VALUE"""),"Virtual Brown")</f>
        <v>Virtual Brown</v>
      </c>
      <c r="B1529" s="47"/>
      <c r="C1529" s="47"/>
      <c r="D1529" s="47"/>
      <c r="E1529" s="47" t="b">
        <f>IFERROR(__xludf.DUMMYFUNCTION("""COMPUTED_VALUE"""),FALSE)</f>
        <v>0</v>
      </c>
      <c r="F1529" s="47"/>
      <c r="G1529" s="47" t="str">
        <f>IFERROR(__xludf.DUMMYFUNCTION("""COMPUTED_VALUE"""),"")</f>
        <v/>
      </c>
      <c r="H1529" s="47"/>
      <c r="I1529" s="47">
        <f>IFERROR(__xludf.DUMMYFUNCTION("""COMPUTED_VALUE"""),0.0)</f>
        <v>0</v>
      </c>
      <c r="J1529" s="47" t="str">
        <f>IFERROR(__xludf.DUMMYFUNCTION("""COMPUTED_VALUE"""),"#VALUE!")</f>
        <v>#VALUE!</v>
      </c>
      <c r="K1529" s="47"/>
      <c r="L1529" s="47"/>
      <c r="M1529" s="47"/>
    </row>
    <row r="1530">
      <c r="A1530" s="47" t="str">
        <f>IFERROR(__xludf.DUMMYFUNCTION("""COMPUTED_VALUE"""),"Virtual Brown")</f>
        <v>Virtual Brown</v>
      </c>
      <c r="B1530" s="47" t="str">
        <f>IFERROR(__xludf.DUMMYFUNCTION("""COMPUTED_VALUE"""),"Anetzet ")</f>
        <v>Anetzet </v>
      </c>
      <c r="C1530" s="78" t="str">
        <f>IFERROR(__xludf.DUMMYFUNCTION("""COMPUTED_VALUE"""),"https://www.munzee.com/m/Anetzet/4843/")</f>
        <v>https://www.munzee.com/m/Anetzet/4843/</v>
      </c>
      <c r="D1530" s="47"/>
      <c r="E1530" s="47" t="b">
        <f>IFERROR(__xludf.DUMMYFUNCTION("""COMPUTED_VALUE"""),TRUE)</f>
        <v>1</v>
      </c>
      <c r="F1530" s="88"/>
      <c r="G1530" s="47" t="str">
        <f>IFERROR(__xludf.DUMMYFUNCTION("""COMPUTED_VALUE"""),"")</f>
        <v/>
      </c>
      <c r="H1530" s="47"/>
      <c r="I1530" s="47">
        <f>IFERROR(__xludf.DUMMYFUNCTION("""COMPUTED_VALUE"""),2.0)</f>
        <v>2</v>
      </c>
      <c r="J1530" s="47" t="str">
        <f>IFERROR(__xludf.DUMMYFUNCTION("""COMPUTED_VALUE"""),"https:")</f>
        <v>https:</v>
      </c>
      <c r="K1530" s="78" t="str">
        <f>IFERROR(__xludf.DUMMYFUNCTION("""COMPUTED_VALUE"""),"www.munzee.com")</f>
        <v>www.munzee.com</v>
      </c>
      <c r="L1530" s="47" t="str">
        <f>IFERROR(__xludf.DUMMYFUNCTION("""COMPUTED_VALUE"""),"m")</f>
        <v>m</v>
      </c>
      <c r="M1530" s="47" t="str">
        <f>IFERROR(__xludf.DUMMYFUNCTION("""COMPUTED_VALUE"""),"Anetzet")</f>
        <v>Anetzet</v>
      </c>
    </row>
    <row r="1531">
      <c r="A1531" s="47" t="str">
        <f>IFERROR(__xludf.DUMMYFUNCTION("""COMPUTED_VALUE"""),"Virtual Brown")</f>
        <v>Virtual Brown</v>
      </c>
      <c r="B1531" s="47"/>
      <c r="C1531" s="47"/>
      <c r="D1531" s="47"/>
      <c r="E1531" s="47" t="b">
        <f>IFERROR(__xludf.DUMMYFUNCTION("""COMPUTED_VALUE"""),FALSE)</f>
        <v>0</v>
      </c>
      <c r="F1531" s="47"/>
      <c r="G1531" s="47" t="str">
        <f>IFERROR(__xludf.DUMMYFUNCTION("""COMPUTED_VALUE"""),"")</f>
        <v/>
      </c>
      <c r="H1531" s="47"/>
      <c r="I1531" s="47">
        <f>IFERROR(__xludf.DUMMYFUNCTION("""COMPUTED_VALUE"""),0.0)</f>
        <v>0</v>
      </c>
      <c r="J1531" s="47" t="str">
        <f>IFERROR(__xludf.DUMMYFUNCTION("""COMPUTED_VALUE"""),"#VALUE!")</f>
        <v>#VALUE!</v>
      </c>
      <c r="K1531" s="47"/>
      <c r="L1531" s="47"/>
      <c r="M1531" s="47"/>
    </row>
    <row r="1532">
      <c r="A1532" s="47" t="str">
        <f>IFERROR(__xludf.DUMMYFUNCTION("""COMPUTED_VALUE"""),"Virtual Raw Sienna")</f>
        <v>Virtual Raw Sienna</v>
      </c>
      <c r="B1532" s="47" t="str">
        <f>IFERROR(__xludf.DUMMYFUNCTION("""COMPUTED_VALUE"""),"Fossillady")</f>
        <v>Fossillady</v>
      </c>
      <c r="C1532" s="47"/>
      <c r="D1532" s="47"/>
      <c r="E1532" s="47" t="b">
        <f>IFERROR(__xludf.DUMMYFUNCTION("""COMPUTED_VALUE"""),FALSE)</f>
        <v>0</v>
      </c>
      <c r="F1532" s="47"/>
      <c r="G1532" s="47" t="str">
        <f>IFERROR(__xludf.DUMMYFUNCTION("""COMPUTED_VALUE"""),"")</f>
        <v/>
      </c>
      <c r="H1532" s="47"/>
      <c r="I1532" s="47">
        <f>IFERROR(__xludf.DUMMYFUNCTION("""COMPUTED_VALUE"""),0.0)</f>
        <v>0</v>
      </c>
      <c r="J1532" s="47" t="str">
        <f>IFERROR(__xludf.DUMMYFUNCTION("""COMPUTED_VALUE"""),"#VALUE!")</f>
        <v>#VALUE!</v>
      </c>
      <c r="K1532" s="47"/>
      <c r="L1532" s="47"/>
      <c r="M1532" s="47"/>
    </row>
    <row r="1533">
      <c r="A1533" s="47" t="str">
        <f>IFERROR(__xludf.DUMMYFUNCTION("""COMPUTED_VALUE"""),"Virtual Brown")</f>
        <v>Virtual Brown</v>
      </c>
      <c r="B1533" s="47"/>
      <c r="C1533" s="47"/>
      <c r="D1533" s="47"/>
      <c r="E1533" s="47" t="b">
        <f>IFERROR(__xludf.DUMMYFUNCTION("""COMPUTED_VALUE"""),FALSE)</f>
        <v>0</v>
      </c>
      <c r="F1533" s="47"/>
      <c r="G1533" s="47" t="str">
        <f>IFERROR(__xludf.DUMMYFUNCTION("""COMPUTED_VALUE"""),"")</f>
        <v/>
      </c>
      <c r="H1533" s="47"/>
      <c r="I1533" s="47">
        <f>IFERROR(__xludf.DUMMYFUNCTION("""COMPUTED_VALUE"""),0.0)</f>
        <v>0</v>
      </c>
      <c r="J1533" s="47" t="str">
        <f>IFERROR(__xludf.DUMMYFUNCTION("""COMPUTED_VALUE"""),"#VALUE!")</f>
        <v>#VALUE!</v>
      </c>
      <c r="K1533" s="47"/>
      <c r="L1533" s="47"/>
      <c r="M1533" s="47"/>
    </row>
    <row r="1534">
      <c r="A1534" s="47" t="str">
        <f>IFERROR(__xludf.DUMMYFUNCTION("""COMPUTED_VALUE"""),"Virtual Brown")</f>
        <v>Virtual Brown</v>
      </c>
      <c r="B1534" s="47"/>
      <c r="C1534" s="47"/>
      <c r="D1534" s="47"/>
      <c r="E1534" s="47" t="b">
        <f>IFERROR(__xludf.DUMMYFUNCTION("""COMPUTED_VALUE"""),FALSE)</f>
        <v>0</v>
      </c>
      <c r="F1534" s="47"/>
      <c r="G1534" s="47" t="str">
        <f>IFERROR(__xludf.DUMMYFUNCTION("""COMPUTED_VALUE"""),"")</f>
        <v/>
      </c>
      <c r="H1534" s="47"/>
      <c r="I1534" s="47">
        <f>IFERROR(__xludf.DUMMYFUNCTION("""COMPUTED_VALUE"""),0.0)</f>
        <v>0</v>
      </c>
      <c r="J1534" s="47" t="str">
        <f>IFERROR(__xludf.DUMMYFUNCTION("""COMPUTED_VALUE"""),"#VALUE!")</f>
        <v>#VALUE!</v>
      </c>
      <c r="K1534" s="47"/>
      <c r="L1534" s="47"/>
      <c r="M1534" s="47"/>
    </row>
    <row r="1535">
      <c r="A1535" s="47" t="str">
        <f>IFERROR(__xludf.DUMMYFUNCTION("""COMPUTED_VALUE"""),"Virtual Raw Sienna")</f>
        <v>Virtual Raw Sienna</v>
      </c>
      <c r="B1535" s="47"/>
      <c r="C1535" s="47"/>
      <c r="D1535" s="47"/>
      <c r="E1535" s="47" t="b">
        <f>IFERROR(__xludf.DUMMYFUNCTION("""COMPUTED_VALUE"""),FALSE)</f>
        <v>0</v>
      </c>
      <c r="F1535" s="47"/>
      <c r="G1535" s="47" t="str">
        <f>IFERROR(__xludf.DUMMYFUNCTION("""COMPUTED_VALUE"""),"")</f>
        <v/>
      </c>
      <c r="H1535" s="47"/>
      <c r="I1535" s="47">
        <f>IFERROR(__xludf.DUMMYFUNCTION("""COMPUTED_VALUE"""),0.0)</f>
        <v>0</v>
      </c>
      <c r="J1535" s="47" t="str">
        <f>IFERROR(__xludf.DUMMYFUNCTION("""COMPUTED_VALUE"""),"#VALUE!")</f>
        <v>#VALUE!</v>
      </c>
      <c r="K1535" s="47"/>
      <c r="L1535" s="47"/>
      <c r="M1535" s="47"/>
    </row>
    <row r="1536">
      <c r="A1536" s="47" t="str">
        <f>IFERROR(__xludf.DUMMYFUNCTION("""COMPUTED_VALUE"""),"Virtual Brown")</f>
        <v>Virtual Brown</v>
      </c>
      <c r="B1536" s="47" t="str">
        <f>IFERROR(__xludf.DUMMYFUNCTION("""COMPUTED_VALUE"""),"cbf600")</f>
        <v>cbf600</v>
      </c>
      <c r="C1536" s="78" t="str">
        <f>IFERROR(__xludf.DUMMYFUNCTION("""COMPUTED_VALUE"""),"https://www.munzee.com/m/cbf600/3781/")</f>
        <v>https://www.munzee.com/m/cbf600/3781/</v>
      </c>
      <c r="D1536" s="47"/>
      <c r="E1536" s="47" t="b">
        <f>IFERROR(__xludf.DUMMYFUNCTION("""COMPUTED_VALUE"""),TRUE)</f>
        <v>1</v>
      </c>
      <c r="F1536" s="47" t="str">
        <f>IFERROR(__xludf.DUMMYFUNCTION("""COMPUTED_VALUE"""),"")</f>
        <v/>
      </c>
      <c r="G1536" s="47" t="str">
        <f>IFERROR(__xludf.DUMMYFUNCTION("""COMPUTED_VALUE"""),"")</f>
        <v/>
      </c>
      <c r="H1536" s="47"/>
      <c r="I1536" s="47">
        <f>IFERROR(__xludf.DUMMYFUNCTION("""COMPUTED_VALUE"""),2.0)</f>
        <v>2</v>
      </c>
      <c r="J1536" s="47" t="str">
        <f>IFERROR(__xludf.DUMMYFUNCTION("""COMPUTED_VALUE"""),"https:")</f>
        <v>https:</v>
      </c>
      <c r="K1536" s="78" t="str">
        <f>IFERROR(__xludf.DUMMYFUNCTION("""COMPUTED_VALUE"""),"www.munzee.com")</f>
        <v>www.munzee.com</v>
      </c>
      <c r="L1536" s="47" t="str">
        <f>IFERROR(__xludf.DUMMYFUNCTION("""COMPUTED_VALUE"""),"m")</f>
        <v>m</v>
      </c>
      <c r="M1536" s="47" t="str">
        <f>IFERROR(__xludf.DUMMYFUNCTION("""COMPUTED_VALUE"""),"cbf600")</f>
        <v>cbf600</v>
      </c>
    </row>
    <row r="1537">
      <c r="A1537" s="47" t="str">
        <f>IFERROR(__xludf.DUMMYFUNCTION("""COMPUTED_VALUE"""),"Virtual Raw Sienna")</f>
        <v>Virtual Raw Sienna</v>
      </c>
      <c r="B1537" s="47"/>
      <c r="C1537" s="47"/>
      <c r="D1537" s="47"/>
      <c r="E1537" s="47" t="b">
        <f>IFERROR(__xludf.DUMMYFUNCTION("""COMPUTED_VALUE"""),FALSE)</f>
        <v>0</v>
      </c>
      <c r="F1537" s="47"/>
      <c r="G1537" s="47" t="str">
        <f>IFERROR(__xludf.DUMMYFUNCTION("""COMPUTED_VALUE"""),"")</f>
        <v/>
      </c>
      <c r="H1537" s="47"/>
      <c r="I1537" s="47">
        <f>IFERROR(__xludf.DUMMYFUNCTION("""COMPUTED_VALUE"""),0.0)</f>
        <v>0</v>
      </c>
      <c r="J1537" s="47" t="str">
        <f>IFERROR(__xludf.DUMMYFUNCTION("""COMPUTED_VALUE"""),"#VALUE!")</f>
        <v>#VALUE!</v>
      </c>
      <c r="K1537" s="47"/>
      <c r="L1537" s="47"/>
      <c r="M1537" s="47"/>
    </row>
    <row r="1538">
      <c r="A1538" s="47" t="str">
        <f>IFERROR(__xludf.DUMMYFUNCTION("""COMPUTED_VALUE"""),"Virtual Brown")</f>
        <v>Virtual Brown</v>
      </c>
      <c r="B1538" s="47"/>
      <c r="C1538" s="47"/>
      <c r="D1538" s="47"/>
      <c r="E1538" s="47" t="b">
        <f>IFERROR(__xludf.DUMMYFUNCTION("""COMPUTED_VALUE"""),FALSE)</f>
        <v>0</v>
      </c>
      <c r="F1538" s="47"/>
      <c r="G1538" s="47" t="str">
        <f>IFERROR(__xludf.DUMMYFUNCTION("""COMPUTED_VALUE"""),"")</f>
        <v/>
      </c>
      <c r="H1538" s="47"/>
      <c r="I1538" s="47">
        <f>IFERROR(__xludf.DUMMYFUNCTION("""COMPUTED_VALUE"""),0.0)</f>
        <v>0</v>
      </c>
      <c r="J1538" s="47" t="str">
        <f>IFERROR(__xludf.DUMMYFUNCTION("""COMPUTED_VALUE"""),"#VALUE!")</f>
        <v>#VALUE!</v>
      </c>
      <c r="K1538" s="47"/>
      <c r="L1538" s="47"/>
      <c r="M1538" s="47"/>
    </row>
    <row r="1539">
      <c r="A1539" s="47" t="str">
        <f>IFERROR(__xludf.DUMMYFUNCTION("""COMPUTED_VALUE"""),"Virtual Brown")</f>
        <v>Virtual Brown</v>
      </c>
      <c r="B1539" s="47" t="str">
        <f>IFERROR(__xludf.DUMMYFUNCTION("""COMPUTED_VALUE"""),"CzPeet")</f>
        <v>CzPeet</v>
      </c>
      <c r="C1539" s="78" t="str">
        <f>IFERROR(__xludf.DUMMYFUNCTION("""COMPUTED_VALUE"""),"https://www.munzee.com/m/CzPeet/6724/")</f>
        <v>https://www.munzee.com/m/CzPeet/6724/</v>
      </c>
      <c r="D1539" s="47"/>
      <c r="E1539" s="47" t="b">
        <f>IFERROR(__xludf.DUMMYFUNCTION("""COMPUTED_VALUE"""),TRUE)</f>
        <v>1</v>
      </c>
      <c r="F1539" s="47" t="str">
        <f>IFERROR(__xludf.DUMMYFUNCTION("""COMPUTED_VALUE"""),"")</f>
        <v/>
      </c>
      <c r="G1539" s="47" t="str">
        <f>IFERROR(__xludf.DUMMYFUNCTION("""COMPUTED_VALUE"""),"")</f>
        <v/>
      </c>
      <c r="H1539" s="47"/>
      <c r="I1539" s="47">
        <f>IFERROR(__xludf.DUMMYFUNCTION("""COMPUTED_VALUE"""),2.0)</f>
        <v>2</v>
      </c>
      <c r="J1539" s="47" t="str">
        <f>IFERROR(__xludf.DUMMYFUNCTION("""COMPUTED_VALUE"""),"https:")</f>
        <v>https:</v>
      </c>
      <c r="K1539" s="78" t="str">
        <f>IFERROR(__xludf.DUMMYFUNCTION("""COMPUTED_VALUE"""),"www.munzee.com")</f>
        <v>www.munzee.com</v>
      </c>
      <c r="L1539" s="47" t="str">
        <f>IFERROR(__xludf.DUMMYFUNCTION("""COMPUTED_VALUE"""),"m")</f>
        <v>m</v>
      </c>
      <c r="M1539" s="47" t="str">
        <f>IFERROR(__xludf.DUMMYFUNCTION("""COMPUTED_VALUE"""),"CzPeet")</f>
        <v>CzPeet</v>
      </c>
    </row>
    <row r="1540">
      <c r="A1540" s="47" t="str">
        <f>IFERROR(__xludf.DUMMYFUNCTION("""COMPUTED_VALUE"""),"Virtual Brown")</f>
        <v>Virtual Brown</v>
      </c>
      <c r="B1540" s="47"/>
      <c r="C1540" s="47"/>
      <c r="D1540" s="47"/>
      <c r="E1540" s="47" t="b">
        <f>IFERROR(__xludf.DUMMYFUNCTION("""COMPUTED_VALUE"""),FALSE)</f>
        <v>0</v>
      </c>
      <c r="F1540" s="47"/>
      <c r="G1540" s="47" t="str">
        <f>IFERROR(__xludf.DUMMYFUNCTION("""COMPUTED_VALUE"""),"")</f>
        <v/>
      </c>
      <c r="H1540" s="47"/>
      <c r="I1540" s="47">
        <f>IFERROR(__xludf.DUMMYFUNCTION("""COMPUTED_VALUE"""),0.0)</f>
        <v>0</v>
      </c>
      <c r="J1540" s="47" t="str">
        <f>IFERROR(__xludf.DUMMYFUNCTION("""COMPUTED_VALUE"""),"#VALUE!")</f>
        <v>#VALUE!</v>
      </c>
      <c r="K1540" s="47"/>
      <c r="L1540" s="47"/>
      <c r="M1540" s="47"/>
    </row>
    <row r="1541">
      <c r="A1541" s="47" t="str">
        <f>IFERROR(__xludf.DUMMYFUNCTION("""COMPUTED_VALUE"""),"Virtual Brown")</f>
        <v>Virtual Brown</v>
      </c>
      <c r="B1541" s="47" t="str">
        <f>IFERROR(__xludf.DUMMYFUNCTION("""COMPUTED_VALUE"""),"TheFrog")</f>
        <v>TheFrog</v>
      </c>
      <c r="C1541" s="78" t="str">
        <f>IFERROR(__xludf.DUMMYFUNCTION("""COMPUTED_VALUE"""),"https://www.munzee.com/m/TheFrog/6341/")</f>
        <v>https://www.munzee.com/m/TheFrog/6341/</v>
      </c>
      <c r="D1541" s="47"/>
      <c r="E1541" s="47" t="b">
        <f>IFERROR(__xludf.DUMMYFUNCTION("""COMPUTED_VALUE"""),TRUE)</f>
        <v>1</v>
      </c>
      <c r="F1541" s="47" t="str">
        <f>IFERROR(__xludf.DUMMYFUNCTION("""COMPUTED_VALUE"""),"")</f>
        <v/>
      </c>
      <c r="G1541" s="47" t="str">
        <f>IFERROR(__xludf.DUMMYFUNCTION("""COMPUTED_VALUE"""),"")</f>
        <v/>
      </c>
      <c r="H1541" s="47"/>
      <c r="I1541" s="47">
        <f>IFERROR(__xludf.DUMMYFUNCTION("""COMPUTED_VALUE"""),2.0)</f>
        <v>2</v>
      </c>
      <c r="J1541" s="47" t="str">
        <f>IFERROR(__xludf.DUMMYFUNCTION("""COMPUTED_VALUE"""),"https:")</f>
        <v>https:</v>
      </c>
      <c r="K1541" s="78" t="str">
        <f>IFERROR(__xludf.DUMMYFUNCTION("""COMPUTED_VALUE"""),"www.munzee.com")</f>
        <v>www.munzee.com</v>
      </c>
      <c r="L1541" s="47" t="str">
        <f>IFERROR(__xludf.DUMMYFUNCTION("""COMPUTED_VALUE"""),"m")</f>
        <v>m</v>
      </c>
      <c r="M1541" s="47" t="str">
        <f>IFERROR(__xludf.DUMMYFUNCTION("""COMPUTED_VALUE"""),"TheFrog")</f>
        <v>TheFrog</v>
      </c>
    </row>
    <row r="1542">
      <c r="A1542" s="47" t="str">
        <f>IFERROR(__xludf.DUMMYFUNCTION("""COMPUTED_VALUE"""),"Virtual Brown")</f>
        <v>Virtual Brown</v>
      </c>
      <c r="B1542" s="47" t="str">
        <f>IFERROR(__xludf.DUMMYFUNCTION("""COMPUTED_VALUE"""),"123xilef")</f>
        <v>123xilef</v>
      </c>
      <c r="C1542" s="78" t="str">
        <f>IFERROR(__xludf.DUMMYFUNCTION("""COMPUTED_VALUE"""),"https://www.munzee.com/m/123xilef/13729/")</f>
        <v>https://www.munzee.com/m/123xilef/13729/</v>
      </c>
      <c r="D1542" s="47"/>
      <c r="E1542" s="47" t="b">
        <f>IFERROR(__xludf.DUMMYFUNCTION("""COMPUTED_VALUE"""),TRUE)</f>
        <v>1</v>
      </c>
      <c r="F1542" s="47" t="str">
        <f>IFERROR(__xludf.DUMMYFUNCTION("""COMPUTED_VALUE"""),"")</f>
        <v/>
      </c>
      <c r="G1542" s="47" t="str">
        <f>IFERROR(__xludf.DUMMYFUNCTION("""COMPUTED_VALUE"""),"")</f>
        <v/>
      </c>
      <c r="H1542" s="47"/>
      <c r="I1542" s="47">
        <f>IFERROR(__xludf.DUMMYFUNCTION("""COMPUTED_VALUE"""),2.0)</f>
        <v>2</v>
      </c>
      <c r="J1542" s="47" t="str">
        <f>IFERROR(__xludf.DUMMYFUNCTION("""COMPUTED_VALUE"""),"https:")</f>
        <v>https:</v>
      </c>
      <c r="K1542" s="78" t="str">
        <f>IFERROR(__xludf.DUMMYFUNCTION("""COMPUTED_VALUE"""),"www.munzee.com")</f>
        <v>www.munzee.com</v>
      </c>
      <c r="L1542" s="47" t="str">
        <f>IFERROR(__xludf.DUMMYFUNCTION("""COMPUTED_VALUE"""),"m")</f>
        <v>m</v>
      </c>
      <c r="M1542" s="47" t="str">
        <f>IFERROR(__xludf.DUMMYFUNCTION("""COMPUTED_VALUE"""),"123xilef")</f>
        <v>123xilef</v>
      </c>
    </row>
    <row r="1543">
      <c r="A1543" s="47" t="str">
        <f>IFERROR(__xludf.DUMMYFUNCTION("""COMPUTED_VALUE"""),"Virtual Brown")</f>
        <v>Virtual Brown</v>
      </c>
      <c r="B1543" s="47" t="str">
        <f>IFERROR(__xludf.DUMMYFUNCTION("""COMPUTED_VALUE"""),"Bisquick2")</f>
        <v>Bisquick2</v>
      </c>
      <c r="C1543" s="78" t="str">
        <f>IFERROR(__xludf.DUMMYFUNCTION("""COMPUTED_VALUE"""),"https://www.munzee.com/m/Bisquick2/7027/")</f>
        <v>https://www.munzee.com/m/Bisquick2/7027/</v>
      </c>
      <c r="D1543" s="47"/>
      <c r="E1543" s="47" t="b">
        <f>IFERROR(__xludf.DUMMYFUNCTION("""COMPUTED_VALUE"""),TRUE)</f>
        <v>1</v>
      </c>
      <c r="F1543" s="47" t="str">
        <f>IFERROR(__xludf.DUMMYFUNCTION("""COMPUTED_VALUE"""),"")</f>
        <v/>
      </c>
      <c r="G1543" s="47" t="str">
        <f>IFERROR(__xludf.DUMMYFUNCTION("""COMPUTED_VALUE"""),"")</f>
        <v/>
      </c>
      <c r="H1543" s="47"/>
      <c r="I1543" s="47">
        <f>IFERROR(__xludf.DUMMYFUNCTION("""COMPUTED_VALUE"""),2.0)</f>
        <v>2</v>
      </c>
      <c r="J1543" s="47" t="str">
        <f>IFERROR(__xludf.DUMMYFUNCTION("""COMPUTED_VALUE"""),"https:")</f>
        <v>https:</v>
      </c>
      <c r="K1543" s="78" t="str">
        <f>IFERROR(__xludf.DUMMYFUNCTION("""COMPUTED_VALUE"""),"www.munzee.com")</f>
        <v>www.munzee.com</v>
      </c>
      <c r="L1543" s="47" t="str">
        <f>IFERROR(__xludf.DUMMYFUNCTION("""COMPUTED_VALUE"""),"m")</f>
        <v>m</v>
      </c>
      <c r="M1543" s="47" t="str">
        <f>IFERROR(__xludf.DUMMYFUNCTION("""COMPUTED_VALUE"""),"Bisquick2")</f>
        <v>Bisquick2</v>
      </c>
    </row>
    <row r="1544">
      <c r="A1544" s="47" t="str">
        <f>IFERROR(__xludf.DUMMYFUNCTION("""COMPUTED_VALUE"""),"Virtual Brown")</f>
        <v>Virtual Brown</v>
      </c>
      <c r="B1544" s="47"/>
      <c r="C1544" s="47"/>
      <c r="D1544" s="47"/>
      <c r="E1544" s="47" t="b">
        <f>IFERROR(__xludf.DUMMYFUNCTION("""COMPUTED_VALUE"""),FALSE)</f>
        <v>0</v>
      </c>
      <c r="F1544" s="58">
        <f>IFERROR(__xludf.DUMMYFUNCTION("""COMPUTED_VALUE"""),44934.67606082176)</f>
        <v>44934.67606</v>
      </c>
      <c r="G1544" s="47" t="str">
        <f>IFERROR(__xludf.DUMMYFUNCTION("""COMPUTED_VALUE"""),"")</f>
        <v/>
      </c>
      <c r="H1544" s="47"/>
      <c r="I1544" s="47">
        <f>IFERROR(__xludf.DUMMYFUNCTION("""COMPUTED_VALUE"""),0.0)</f>
        <v>0</v>
      </c>
      <c r="J1544" s="47" t="str">
        <f>IFERROR(__xludf.DUMMYFUNCTION("""COMPUTED_VALUE"""),"#VALUE!")</f>
        <v>#VALUE!</v>
      </c>
      <c r="K1544" s="47"/>
      <c r="L1544" s="47"/>
      <c r="M1544" s="47"/>
    </row>
    <row r="1545">
      <c r="A1545" s="47" t="str">
        <f>IFERROR(__xludf.DUMMYFUNCTION("""COMPUTED_VALUE"""),"Virtual Raw Sienna")</f>
        <v>Virtual Raw Sienna</v>
      </c>
      <c r="B1545" s="47"/>
      <c r="C1545" s="47"/>
      <c r="D1545" s="47"/>
      <c r="E1545" s="47" t="b">
        <f>IFERROR(__xludf.DUMMYFUNCTION("""COMPUTED_VALUE"""),FALSE)</f>
        <v>0</v>
      </c>
      <c r="F1545" s="47"/>
      <c r="G1545" s="47" t="str">
        <f>IFERROR(__xludf.DUMMYFUNCTION("""COMPUTED_VALUE"""),"")</f>
        <v/>
      </c>
      <c r="H1545" s="47"/>
      <c r="I1545" s="47">
        <f>IFERROR(__xludf.DUMMYFUNCTION("""COMPUTED_VALUE"""),0.0)</f>
        <v>0</v>
      </c>
      <c r="J1545" s="47" t="str">
        <f>IFERROR(__xludf.DUMMYFUNCTION("""COMPUTED_VALUE"""),"#VALUE!")</f>
        <v>#VALUE!</v>
      </c>
      <c r="K1545" s="47"/>
      <c r="L1545" s="47"/>
      <c r="M1545" s="47"/>
    </row>
    <row r="1546">
      <c r="A1546" s="47" t="str">
        <f>IFERROR(__xludf.DUMMYFUNCTION("""COMPUTED_VALUE"""),"Virtual Brown")</f>
        <v>Virtual Brown</v>
      </c>
      <c r="B1546" s="47"/>
      <c r="C1546" s="47"/>
      <c r="D1546" s="47"/>
      <c r="E1546" s="47" t="b">
        <f>IFERROR(__xludf.DUMMYFUNCTION("""COMPUTED_VALUE"""),FALSE)</f>
        <v>0</v>
      </c>
      <c r="F1546" s="47"/>
      <c r="G1546" s="47" t="str">
        <f>IFERROR(__xludf.DUMMYFUNCTION("""COMPUTED_VALUE"""),"")</f>
        <v/>
      </c>
      <c r="H1546" s="47"/>
      <c r="I1546" s="47">
        <f>IFERROR(__xludf.DUMMYFUNCTION("""COMPUTED_VALUE"""),0.0)</f>
        <v>0</v>
      </c>
      <c r="J1546" s="47" t="str">
        <f>IFERROR(__xludf.DUMMYFUNCTION("""COMPUTED_VALUE"""),"#VALUE!")</f>
        <v>#VALUE!</v>
      </c>
      <c r="K1546" s="47"/>
      <c r="L1546" s="47"/>
      <c r="M1546" s="47"/>
    </row>
    <row r="1547">
      <c r="A1547" s="47" t="str">
        <f>IFERROR(__xludf.DUMMYFUNCTION("""COMPUTED_VALUE"""),"Virtual Brown")</f>
        <v>Virtual Brown</v>
      </c>
      <c r="B1547" s="47"/>
      <c r="C1547" s="47"/>
      <c r="D1547" s="47"/>
      <c r="E1547" s="47" t="b">
        <f>IFERROR(__xludf.DUMMYFUNCTION("""COMPUTED_VALUE"""),FALSE)</f>
        <v>0</v>
      </c>
      <c r="F1547" s="47"/>
      <c r="G1547" s="47" t="str">
        <f>IFERROR(__xludf.DUMMYFUNCTION("""COMPUTED_VALUE"""),"")</f>
        <v/>
      </c>
      <c r="H1547" s="47"/>
      <c r="I1547" s="47">
        <f>IFERROR(__xludf.DUMMYFUNCTION("""COMPUTED_VALUE"""),0.0)</f>
        <v>0</v>
      </c>
      <c r="J1547" s="47" t="str">
        <f>IFERROR(__xludf.DUMMYFUNCTION("""COMPUTED_VALUE"""),"#VALUE!")</f>
        <v>#VALUE!</v>
      </c>
      <c r="K1547" s="47"/>
      <c r="L1547" s="47"/>
      <c r="M1547" s="47"/>
    </row>
    <row r="1548">
      <c r="A1548" s="47" t="str">
        <f>IFERROR(__xludf.DUMMYFUNCTION("""COMPUTED_VALUE"""),"Virtual Raw Sienna")</f>
        <v>Virtual Raw Sienna</v>
      </c>
      <c r="B1548" s="47"/>
      <c r="C1548" s="47"/>
      <c r="D1548" s="47"/>
      <c r="E1548" s="47" t="b">
        <f>IFERROR(__xludf.DUMMYFUNCTION("""COMPUTED_VALUE"""),FALSE)</f>
        <v>0</v>
      </c>
      <c r="F1548" s="47"/>
      <c r="G1548" s="47" t="str">
        <f>IFERROR(__xludf.DUMMYFUNCTION("""COMPUTED_VALUE"""),"")</f>
        <v/>
      </c>
      <c r="H1548" s="47"/>
      <c r="I1548" s="47">
        <f>IFERROR(__xludf.DUMMYFUNCTION("""COMPUTED_VALUE"""),0.0)</f>
        <v>0</v>
      </c>
      <c r="J1548" s="47" t="str">
        <f>IFERROR(__xludf.DUMMYFUNCTION("""COMPUTED_VALUE"""),"#VALUE!")</f>
        <v>#VALUE!</v>
      </c>
      <c r="K1548" s="47"/>
      <c r="L1548" s="47"/>
      <c r="M1548" s="47"/>
    </row>
    <row r="1549">
      <c r="A1549" s="47" t="str">
        <f>IFERROR(__xludf.DUMMYFUNCTION("""COMPUTED_VALUE"""),"Virtual Brown")</f>
        <v>Virtual Brown</v>
      </c>
      <c r="B1549" s="47"/>
      <c r="C1549" s="47"/>
      <c r="D1549" s="47"/>
      <c r="E1549" s="47" t="b">
        <f>IFERROR(__xludf.DUMMYFUNCTION("""COMPUTED_VALUE"""),FALSE)</f>
        <v>0</v>
      </c>
      <c r="F1549" s="47"/>
      <c r="G1549" s="47" t="str">
        <f>IFERROR(__xludf.DUMMYFUNCTION("""COMPUTED_VALUE"""),"")</f>
        <v/>
      </c>
      <c r="H1549" s="47"/>
      <c r="I1549" s="47">
        <f>IFERROR(__xludf.DUMMYFUNCTION("""COMPUTED_VALUE"""),0.0)</f>
        <v>0</v>
      </c>
      <c r="J1549" s="47" t="str">
        <f>IFERROR(__xludf.DUMMYFUNCTION("""COMPUTED_VALUE"""),"#VALUE!")</f>
        <v>#VALUE!</v>
      </c>
      <c r="K1549" s="47"/>
      <c r="L1549" s="47"/>
      <c r="M1549" s="47"/>
    </row>
    <row r="1550">
      <c r="A1550" s="47" t="str">
        <f>IFERROR(__xludf.DUMMYFUNCTION("""COMPUTED_VALUE"""),"Virtual Brown")</f>
        <v>Virtual Brown</v>
      </c>
      <c r="B1550" s="47"/>
      <c r="C1550" s="47"/>
      <c r="D1550" s="47"/>
      <c r="E1550" s="47" t="b">
        <f>IFERROR(__xludf.DUMMYFUNCTION("""COMPUTED_VALUE"""),FALSE)</f>
        <v>0</v>
      </c>
      <c r="F1550" s="47"/>
      <c r="G1550" s="47" t="str">
        <f>IFERROR(__xludf.DUMMYFUNCTION("""COMPUTED_VALUE"""),"")</f>
        <v/>
      </c>
      <c r="H1550" s="47"/>
      <c r="I1550" s="47">
        <f>IFERROR(__xludf.DUMMYFUNCTION("""COMPUTED_VALUE"""),0.0)</f>
        <v>0</v>
      </c>
      <c r="J1550" s="47" t="str">
        <f>IFERROR(__xludf.DUMMYFUNCTION("""COMPUTED_VALUE"""),"#VALUE!")</f>
        <v>#VALUE!</v>
      </c>
      <c r="K1550" s="47"/>
      <c r="L1550" s="47"/>
      <c r="M1550" s="47"/>
    </row>
    <row r="1551">
      <c r="A1551" s="47" t="str">
        <f>IFERROR(__xludf.DUMMYFUNCTION("""COMPUTED_VALUE"""),"Virtual Raw Sienna")</f>
        <v>Virtual Raw Sienna</v>
      </c>
      <c r="B1551" s="47" t="str">
        <f>IFERROR(__xludf.DUMMYFUNCTION("""COMPUTED_VALUE"""),"res2100")</f>
        <v>res2100</v>
      </c>
      <c r="C1551" s="78" t="str">
        <f>IFERROR(__xludf.DUMMYFUNCTION("""COMPUTED_VALUE"""),"https://www.munzee.com/m/res2100/887")</f>
        <v>https://www.munzee.com/m/res2100/887</v>
      </c>
      <c r="D1551" s="47"/>
      <c r="E1551" s="47" t="b">
        <f>IFERROR(__xludf.DUMMYFUNCTION("""COMPUTED_VALUE"""),TRUE)</f>
        <v>1</v>
      </c>
      <c r="F1551" s="47" t="str">
        <f>IFERROR(__xludf.DUMMYFUNCTION("""COMPUTED_VALUE"""),"")</f>
        <v/>
      </c>
      <c r="G1551" s="47" t="str">
        <f>IFERROR(__xludf.DUMMYFUNCTION("""COMPUTED_VALUE"""),"")</f>
        <v/>
      </c>
      <c r="H1551" s="47"/>
      <c r="I1551" s="47">
        <f>IFERROR(__xludf.DUMMYFUNCTION("""COMPUTED_VALUE"""),2.0)</f>
        <v>2</v>
      </c>
      <c r="J1551" s="47" t="str">
        <f>IFERROR(__xludf.DUMMYFUNCTION("""COMPUTED_VALUE"""),"https:")</f>
        <v>https:</v>
      </c>
      <c r="K1551" s="78" t="str">
        <f>IFERROR(__xludf.DUMMYFUNCTION("""COMPUTED_VALUE"""),"www.munzee.com")</f>
        <v>www.munzee.com</v>
      </c>
      <c r="L1551" s="47" t="str">
        <f>IFERROR(__xludf.DUMMYFUNCTION("""COMPUTED_VALUE"""),"m")</f>
        <v>m</v>
      </c>
      <c r="M1551" s="47" t="str">
        <f>IFERROR(__xludf.DUMMYFUNCTION("""COMPUTED_VALUE"""),"res2100")</f>
        <v>res2100</v>
      </c>
    </row>
    <row r="1552">
      <c r="A1552" s="47" t="str">
        <f>IFERROR(__xludf.DUMMYFUNCTION("""COMPUTED_VALUE"""),"Virtual Brown")</f>
        <v>Virtual Brown</v>
      </c>
      <c r="B1552" s="47"/>
      <c r="C1552" s="47"/>
      <c r="D1552" s="47"/>
      <c r="E1552" s="47" t="b">
        <f>IFERROR(__xludf.DUMMYFUNCTION("""COMPUTED_VALUE"""),FALSE)</f>
        <v>0</v>
      </c>
      <c r="F1552" s="47"/>
      <c r="G1552" s="47" t="str">
        <f>IFERROR(__xludf.DUMMYFUNCTION("""COMPUTED_VALUE"""),"")</f>
        <v/>
      </c>
      <c r="H1552" s="47"/>
      <c r="I1552" s="47">
        <f>IFERROR(__xludf.DUMMYFUNCTION("""COMPUTED_VALUE"""),0.0)</f>
        <v>0</v>
      </c>
      <c r="J1552" s="47" t="str">
        <f>IFERROR(__xludf.DUMMYFUNCTION("""COMPUTED_VALUE"""),"#VALUE!")</f>
        <v>#VALUE!</v>
      </c>
      <c r="K1552" s="47"/>
      <c r="L1552" s="47"/>
      <c r="M1552" s="47"/>
    </row>
    <row r="1553">
      <c r="A1553" s="47" t="str">
        <f>IFERROR(__xludf.DUMMYFUNCTION("""COMPUTED_VALUE"""),"Virtual Brown")</f>
        <v>Virtual Brown</v>
      </c>
      <c r="B1553" s="47"/>
      <c r="C1553" s="47"/>
      <c r="D1553" s="47"/>
      <c r="E1553" s="47" t="b">
        <f>IFERROR(__xludf.DUMMYFUNCTION("""COMPUTED_VALUE"""),FALSE)</f>
        <v>0</v>
      </c>
      <c r="F1553" s="47"/>
      <c r="G1553" s="47" t="str">
        <f>IFERROR(__xludf.DUMMYFUNCTION("""COMPUTED_VALUE"""),"")</f>
        <v/>
      </c>
      <c r="H1553" s="47"/>
      <c r="I1553" s="47">
        <f>IFERROR(__xludf.DUMMYFUNCTION("""COMPUTED_VALUE"""),0.0)</f>
        <v>0</v>
      </c>
      <c r="J1553" s="47" t="str">
        <f>IFERROR(__xludf.DUMMYFUNCTION("""COMPUTED_VALUE"""),"#VALUE!")</f>
        <v>#VALUE!</v>
      </c>
      <c r="K1553" s="47"/>
      <c r="L1553" s="47"/>
      <c r="M1553" s="47"/>
    </row>
    <row r="1554">
      <c r="A1554" s="47" t="str">
        <f>IFERROR(__xludf.DUMMYFUNCTION("""COMPUTED_VALUE"""),"Virtual Brown")</f>
        <v>Virtual Brown</v>
      </c>
      <c r="B1554" s="47"/>
      <c r="C1554" s="47"/>
      <c r="D1554" s="47"/>
      <c r="E1554" s="47" t="b">
        <f>IFERROR(__xludf.DUMMYFUNCTION("""COMPUTED_VALUE"""),FALSE)</f>
        <v>0</v>
      </c>
      <c r="F1554" s="47"/>
      <c r="G1554" s="47" t="str">
        <f>IFERROR(__xludf.DUMMYFUNCTION("""COMPUTED_VALUE"""),"")</f>
        <v/>
      </c>
      <c r="H1554" s="47"/>
      <c r="I1554" s="47">
        <f>IFERROR(__xludf.DUMMYFUNCTION("""COMPUTED_VALUE"""),0.0)</f>
        <v>0</v>
      </c>
      <c r="J1554" s="47" t="str">
        <f>IFERROR(__xludf.DUMMYFUNCTION("""COMPUTED_VALUE"""),"#VALUE!")</f>
        <v>#VALUE!</v>
      </c>
      <c r="K1554" s="47"/>
      <c r="L1554" s="47"/>
      <c r="M1554" s="47"/>
    </row>
    <row r="1555">
      <c r="A1555" s="47" t="str">
        <f>IFERROR(__xludf.DUMMYFUNCTION("""COMPUTED_VALUE"""),"Virtual Brown")</f>
        <v>Virtual Brown</v>
      </c>
      <c r="B1555" s="47"/>
      <c r="C1555" s="47"/>
      <c r="D1555" s="47"/>
      <c r="E1555" s="47" t="b">
        <f>IFERROR(__xludf.DUMMYFUNCTION("""COMPUTED_VALUE"""),FALSE)</f>
        <v>0</v>
      </c>
      <c r="F1555" s="47"/>
      <c r="G1555" s="47" t="str">
        <f>IFERROR(__xludf.DUMMYFUNCTION("""COMPUTED_VALUE"""),"")</f>
        <v/>
      </c>
      <c r="H1555" s="47"/>
      <c r="I1555" s="47">
        <f>IFERROR(__xludf.DUMMYFUNCTION("""COMPUTED_VALUE"""),0.0)</f>
        <v>0</v>
      </c>
      <c r="J1555" s="47" t="str">
        <f>IFERROR(__xludf.DUMMYFUNCTION("""COMPUTED_VALUE"""),"#VALUE!")</f>
        <v>#VALUE!</v>
      </c>
      <c r="K1555" s="47"/>
      <c r="L1555" s="47"/>
      <c r="M1555" s="47"/>
    </row>
    <row r="1556">
      <c r="A1556" s="47" t="str">
        <f>IFERROR(__xludf.DUMMYFUNCTION("""COMPUTED_VALUE"""),"Virtual Brown")</f>
        <v>Virtual Brown</v>
      </c>
      <c r="B1556" s="47" t="str">
        <f>IFERROR(__xludf.DUMMYFUNCTION("""COMPUTED_VALUE"""),"mortonfox")</f>
        <v>mortonfox</v>
      </c>
      <c r="C1556" s="78" t="str">
        <f>IFERROR(__xludf.DUMMYFUNCTION("""COMPUTED_VALUE"""),"https://www.munzee.com/m/mortonfox/24201/")</f>
        <v>https://www.munzee.com/m/mortonfox/24201/</v>
      </c>
      <c r="D1556" s="47"/>
      <c r="E1556" s="47" t="b">
        <f>IFERROR(__xludf.DUMMYFUNCTION("""COMPUTED_VALUE"""),TRUE)</f>
        <v>1</v>
      </c>
      <c r="F1556" s="47" t="str">
        <f>IFERROR(__xludf.DUMMYFUNCTION("""COMPUTED_VALUE"""),"")</f>
        <v/>
      </c>
      <c r="G1556" s="47" t="str">
        <f>IFERROR(__xludf.DUMMYFUNCTION("""COMPUTED_VALUE"""),"")</f>
        <v/>
      </c>
      <c r="H1556" s="47"/>
      <c r="I1556" s="47">
        <f>IFERROR(__xludf.DUMMYFUNCTION("""COMPUTED_VALUE"""),2.0)</f>
        <v>2</v>
      </c>
      <c r="J1556" s="47" t="str">
        <f>IFERROR(__xludf.DUMMYFUNCTION("""COMPUTED_VALUE"""),"https:")</f>
        <v>https:</v>
      </c>
      <c r="K1556" s="78" t="str">
        <f>IFERROR(__xludf.DUMMYFUNCTION("""COMPUTED_VALUE"""),"www.munzee.com")</f>
        <v>www.munzee.com</v>
      </c>
      <c r="L1556" s="47" t="str">
        <f>IFERROR(__xludf.DUMMYFUNCTION("""COMPUTED_VALUE"""),"m")</f>
        <v>m</v>
      </c>
      <c r="M1556" s="47" t="str">
        <f>IFERROR(__xludf.DUMMYFUNCTION("""COMPUTED_VALUE"""),"mortonfox")</f>
        <v>mortonfox</v>
      </c>
    </row>
    <row r="1557">
      <c r="A1557" s="47" t="str">
        <f>IFERROR(__xludf.DUMMYFUNCTION("""COMPUTED_VALUE"""),"Virtual Brown")</f>
        <v>Virtual Brown</v>
      </c>
      <c r="B1557" s="47" t="str">
        <f>IFERROR(__xludf.DUMMYFUNCTION("""COMPUTED_VALUE"""),"Ellesche")</f>
        <v>Ellesche</v>
      </c>
      <c r="C1557" s="78" t="str">
        <f>IFERROR(__xludf.DUMMYFUNCTION("""COMPUTED_VALUE"""),"https://www.munzee.com/m/Ellesche/841")</f>
        <v>https://www.munzee.com/m/Ellesche/841</v>
      </c>
      <c r="D1557" s="47"/>
      <c r="E1557" s="47" t="b">
        <f>IFERROR(__xludf.DUMMYFUNCTION("""COMPUTED_VALUE"""),TRUE)</f>
        <v>1</v>
      </c>
      <c r="F1557" s="47" t="str">
        <f>IFERROR(__xludf.DUMMYFUNCTION("""COMPUTED_VALUE"""),"")</f>
        <v/>
      </c>
      <c r="G1557" s="47" t="str">
        <f>IFERROR(__xludf.DUMMYFUNCTION("""COMPUTED_VALUE"""),"")</f>
        <v/>
      </c>
      <c r="H1557" s="47"/>
      <c r="I1557" s="47">
        <f>IFERROR(__xludf.DUMMYFUNCTION("""COMPUTED_VALUE"""),2.0)</f>
        <v>2</v>
      </c>
      <c r="J1557" s="47" t="str">
        <f>IFERROR(__xludf.DUMMYFUNCTION("""COMPUTED_VALUE"""),"https:")</f>
        <v>https:</v>
      </c>
      <c r="K1557" s="78" t="str">
        <f>IFERROR(__xludf.DUMMYFUNCTION("""COMPUTED_VALUE"""),"www.munzee.com")</f>
        <v>www.munzee.com</v>
      </c>
      <c r="L1557" s="47" t="str">
        <f>IFERROR(__xludf.DUMMYFUNCTION("""COMPUTED_VALUE"""),"m")</f>
        <v>m</v>
      </c>
      <c r="M1557" s="47" t="str">
        <f>IFERROR(__xludf.DUMMYFUNCTION("""COMPUTED_VALUE"""),"Ellesche")</f>
        <v>Ellesche</v>
      </c>
    </row>
    <row r="1558">
      <c r="A1558" s="47" t="str">
        <f>IFERROR(__xludf.DUMMYFUNCTION("""COMPUTED_VALUE"""),"Virtual Raw Sienna")</f>
        <v>Virtual Raw Sienna</v>
      </c>
      <c r="B1558" s="47"/>
      <c r="C1558" s="47"/>
      <c r="D1558" s="47"/>
      <c r="E1558" s="47" t="b">
        <f>IFERROR(__xludf.DUMMYFUNCTION("""COMPUTED_VALUE"""),FALSE)</f>
        <v>0</v>
      </c>
      <c r="F1558" s="47"/>
      <c r="G1558" s="47" t="str">
        <f>IFERROR(__xludf.DUMMYFUNCTION("""COMPUTED_VALUE"""),"")</f>
        <v/>
      </c>
      <c r="H1558" s="47"/>
      <c r="I1558" s="47">
        <f>IFERROR(__xludf.DUMMYFUNCTION("""COMPUTED_VALUE"""),0.0)</f>
        <v>0</v>
      </c>
      <c r="J1558" s="47" t="str">
        <f>IFERROR(__xludf.DUMMYFUNCTION("""COMPUTED_VALUE"""),"#VALUE!")</f>
        <v>#VALUE!</v>
      </c>
      <c r="K1558" s="47"/>
      <c r="L1558" s="47"/>
      <c r="M1558" s="47"/>
    </row>
    <row r="1559">
      <c r="A1559" s="47" t="str">
        <f>IFERROR(__xludf.DUMMYFUNCTION("""COMPUTED_VALUE"""),"Virtual Raw Sienna")</f>
        <v>Virtual Raw Sienna</v>
      </c>
      <c r="B1559" s="47"/>
      <c r="C1559" s="47"/>
      <c r="D1559" s="47"/>
      <c r="E1559" s="47" t="b">
        <f>IFERROR(__xludf.DUMMYFUNCTION("""COMPUTED_VALUE"""),FALSE)</f>
        <v>0</v>
      </c>
      <c r="F1559" s="47"/>
      <c r="G1559" s="47" t="str">
        <f>IFERROR(__xludf.DUMMYFUNCTION("""COMPUTED_VALUE"""),"")</f>
        <v/>
      </c>
      <c r="H1559" s="47"/>
      <c r="I1559" s="47">
        <f>IFERROR(__xludf.DUMMYFUNCTION("""COMPUTED_VALUE"""),0.0)</f>
        <v>0</v>
      </c>
      <c r="J1559" s="47" t="str">
        <f>IFERROR(__xludf.DUMMYFUNCTION("""COMPUTED_VALUE"""),"#VALUE!")</f>
        <v>#VALUE!</v>
      </c>
      <c r="K1559" s="47"/>
      <c r="L1559" s="47"/>
      <c r="M1559" s="47"/>
    </row>
    <row r="1560">
      <c r="A1560" s="47" t="str">
        <f>IFERROR(__xludf.DUMMYFUNCTION("""COMPUTED_VALUE"""),"Virtual Brown")</f>
        <v>Virtual Brown</v>
      </c>
      <c r="B1560" s="47" t="str">
        <f>IFERROR(__xludf.DUMMYFUNCTION("""COMPUTED_VALUE"""),"barefootguru")</f>
        <v>barefootguru</v>
      </c>
      <c r="C1560" s="78" t="str">
        <f>IFERROR(__xludf.DUMMYFUNCTION("""COMPUTED_VALUE"""),"https://www.munzee.com/m/barefootguru/5057/")</f>
        <v>https://www.munzee.com/m/barefootguru/5057/</v>
      </c>
      <c r="D1560" s="47"/>
      <c r="E1560" s="47" t="b">
        <f>IFERROR(__xludf.DUMMYFUNCTION("""COMPUTED_VALUE"""),TRUE)</f>
        <v>1</v>
      </c>
      <c r="F1560" s="47" t="str">
        <f>IFERROR(__xludf.DUMMYFUNCTION("""COMPUTED_VALUE"""),"")</f>
        <v/>
      </c>
      <c r="G1560" s="47" t="str">
        <f>IFERROR(__xludf.DUMMYFUNCTION("""COMPUTED_VALUE"""),"")</f>
        <v/>
      </c>
      <c r="H1560" s="47"/>
      <c r="I1560" s="47">
        <f>IFERROR(__xludf.DUMMYFUNCTION("""COMPUTED_VALUE"""),2.0)</f>
        <v>2</v>
      </c>
      <c r="J1560" s="47" t="str">
        <f>IFERROR(__xludf.DUMMYFUNCTION("""COMPUTED_VALUE"""),"https:")</f>
        <v>https:</v>
      </c>
      <c r="K1560" s="78" t="str">
        <f>IFERROR(__xludf.DUMMYFUNCTION("""COMPUTED_VALUE"""),"www.munzee.com")</f>
        <v>www.munzee.com</v>
      </c>
      <c r="L1560" s="47" t="str">
        <f>IFERROR(__xludf.DUMMYFUNCTION("""COMPUTED_VALUE"""),"m")</f>
        <v>m</v>
      </c>
      <c r="M1560" s="47" t="str">
        <f>IFERROR(__xludf.DUMMYFUNCTION("""COMPUTED_VALUE"""),"barefootguru")</f>
        <v>barefootguru</v>
      </c>
    </row>
    <row r="1561">
      <c r="A1561" s="47" t="str">
        <f>IFERROR(__xludf.DUMMYFUNCTION("""COMPUTED_VALUE"""),"Virtual Brown")</f>
        <v>Virtual Brown</v>
      </c>
      <c r="B1561" s="47" t="str">
        <f>IFERROR(__xludf.DUMMYFUNCTION("""COMPUTED_VALUE"""),"raunas")</f>
        <v>raunas</v>
      </c>
      <c r="C1561" s="78" t="str">
        <f>IFERROR(__xludf.DUMMYFUNCTION("""COMPUTED_VALUE"""),"https://www.munzee.com/m/raunas/12273")</f>
        <v>https://www.munzee.com/m/raunas/12273</v>
      </c>
      <c r="D1561" s="47"/>
      <c r="E1561" s="47" t="b">
        <f>IFERROR(__xludf.DUMMYFUNCTION("""COMPUTED_VALUE"""),TRUE)</f>
        <v>1</v>
      </c>
      <c r="F1561" s="47"/>
      <c r="G1561" s="47" t="str">
        <f>IFERROR(__xludf.DUMMYFUNCTION("""COMPUTED_VALUE"""),"")</f>
        <v/>
      </c>
      <c r="H1561" s="47"/>
      <c r="I1561" s="47">
        <f>IFERROR(__xludf.DUMMYFUNCTION("""COMPUTED_VALUE"""),2.0)</f>
        <v>2</v>
      </c>
      <c r="J1561" s="47" t="str">
        <f>IFERROR(__xludf.DUMMYFUNCTION("""COMPUTED_VALUE"""),"https:")</f>
        <v>https:</v>
      </c>
      <c r="K1561" s="78" t="str">
        <f>IFERROR(__xludf.DUMMYFUNCTION("""COMPUTED_VALUE"""),"www.munzee.com")</f>
        <v>www.munzee.com</v>
      </c>
      <c r="L1561" s="47" t="str">
        <f>IFERROR(__xludf.DUMMYFUNCTION("""COMPUTED_VALUE"""),"m")</f>
        <v>m</v>
      </c>
      <c r="M1561" s="47" t="str">
        <f>IFERROR(__xludf.DUMMYFUNCTION("""COMPUTED_VALUE"""),"raunas")</f>
        <v>raunas</v>
      </c>
    </row>
    <row r="1562">
      <c r="A1562" s="47" t="str">
        <f>IFERROR(__xludf.DUMMYFUNCTION("""COMPUTED_VALUE"""),"Virtual Brown")</f>
        <v>Virtual Brown</v>
      </c>
      <c r="B1562" s="47" t="str">
        <f>IFERROR(__xludf.DUMMYFUNCTION("""COMPUTED_VALUE"""),"sverlaan")</f>
        <v>sverlaan</v>
      </c>
      <c r="C1562" s="78" t="str">
        <f>IFERROR(__xludf.DUMMYFUNCTION("""COMPUTED_VALUE"""),"https://www.munzee.com/m/sverlaan/6187/")</f>
        <v>https://www.munzee.com/m/sverlaan/6187/</v>
      </c>
      <c r="D1562" s="47"/>
      <c r="E1562" s="47" t="b">
        <f>IFERROR(__xludf.DUMMYFUNCTION("""COMPUTED_VALUE"""),TRUE)</f>
        <v>1</v>
      </c>
      <c r="F1562" s="47" t="str">
        <f>IFERROR(__xludf.DUMMYFUNCTION("""COMPUTED_VALUE"""),"")</f>
        <v/>
      </c>
      <c r="G1562" s="47" t="str">
        <f>IFERROR(__xludf.DUMMYFUNCTION("""COMPUTED_VALUE"""),"")</f>
        <v/>
      </c>
      <c r="H1562" s="47"/>
      <c r="I1562" s="47">
        <f>IFERROR(__xludf.DUMMYFUNCTION("""COMPUTED_VALUE"""),2.0)</f>
        <v>2</v>
      </c>
      <c r="J1562" s="47" t="str">
        <f>IFERROR(__xludf.DUMMYFUNCTION("""COMPUTED_VALUE"""),"https:")</f>
        <v>https:</v>
      </c>
      <c r="K1562" s="78" t="str">
        <f>IFERROR(__xludf.DUMMYFUNCTION("""COMPUTED_VALUE"""),"www.munzee.com")</f>
        <v>www.munzee.com</v>
      </c>
      <c r="L1562" s="47" t="str">
        <f>IFERROR(__xludf.DUMMYFUNCTION("""COMPUTED_VALUE"""),"m")</f>
        <v>m</v>
      </c>
      <c r="M1562" s="47" t="str">
        <f>IFERROR(__xludf.DUMMYFUNCTION("""COMPUTED_VALUE"""),"sverlaan")</f>
        <v>sverlaan</v>
      </c>
    </row>
    <row r="1563">
      <c r="A1563" s="47" t="str">
        <f>IFERROR(__xludf.DUMMYFUNCTION("""COMPUTED_VALUE"""),"Virtual Raw Sienna")</f>
        <v>Virtual Raw Sienna</v>
      </c>
      <c r="B1563" s="47" t="str">
        <f>IFERROR(__xludf.DUMMYFUNCTION("""COMPUTED_VALUE"""),"emilp68")</f>
        <v>emilp68</v>
      </c>
      <c r="C1563" s="78" t="str">
        <f>IFERROR(__xludf.DUMMYFUNCTION("""COMPUTED_VALUE"""),"https://www.munzee.com/m/EmileP68/5007/")</f>
        <v>https://www.munzee.com/m/EmileP68/5007/</v>
      </c>
      <c r="D1563" s="47"/>
      <c r="E1563" s="47" t="b">
        <f>IFERROR(__xludf.DUMMYFUNCTION("""COMPUTED_VALUE"""),TRUE)</f>
        <v>1</v>
      </c>
      <c r="F1563" s="47" t="str">
        <f>IFERROR(__xludf.DUMMYFUNCTION("""COMPUTED_VALUE"""),"")</f>
        <v/>
      </c>
      <c r="G1563" s="47" t="str">
        <f>IFERROR(__xludf.DUMMYFUNCTION("""COMPUTED_VALUE"""),"")</f>
        <v/>
      </c>
      <c r="H1563" s="47"/>
      <c r="I1563" s="47">
        <f>IFERROR(__xludf.DUMMYFUNCTION("""COMPUTED_VALUE"""),2.0)</f>
        <v>2</v>
      </c>
      <c r="J1563" s="47" t="str">
        <f>IFERROR(__xludf.DUMMYFUNCTION("""COMPUTED_VALUE"""),"https:")</f>
        <v>https:</v>
      </c>
      <c r="K1563" s="78" t="str">
        <f>IFERROR(__xludf.DUMMYFUNCTION("""COMPUTED_VALUE"""),"www.munzee.com")</f>
        <v>www.munzee.com</v>
      </c>
      <c r="L1563" s="47" t="str">
        <f>IFERROR(__xludf.DUMMYFUNCTION("""COMPUTED_VALUE"""),"m")</f>
        <v>m</v>
      </c>
      <c r="M1563" s="47" t="str">
        <f>IFERROR(__xludf.DUMMYFUNCTION("""COMPUTED_VALUE"""),"EmileP68")</f>
        <v>EmileP68</v>
      </c>
    </row>
    <row r="1564">
      <c r="A1564" s="47" t="str">
        <f>IFERROR(__xludf.DUMMYFUNCTION("""COMPUTED_VALUE"""),"Virtual Raw Sienna")</f>
        <v>Virtual Raw Sienna</v>
      </c>
      <c r="B1564" s="47" t="str">
        <f>IFERROR(__xludf.DUMMYFUNCTION("""COMPUTED_VALUE"""),"pawpatrolthomas")</f>
        <v>pawpatrolthomas</v>
      </c>
      <c r="C1564" s="78" t="str">
        <f>IFERROR(__xludf.DUMMYFUNCTION("""COMPUTED_VALUE"""),"https://www.munzee.com/m/PawPatrolThomas/4108/")</f>
        <v>https://www.munzee.com/m/PawPatrolThomas/4108/</v>
      </c>
      <c r="D1564" s="47"/>
      <c r="E1564" s="47" t="b">
        <f>IFERROR(__xludf.DUMMYFUNCTION("""COMPUTED_VALUE"""),TRUE)</f>
        <v>1</v>
      </c>
      <c r="F1564" s="47" t="str">
        <f>IFERROR(__xludf.DUMMYFUNCTION("""COMPUTED_VALUE"""),"")</f>
        <v/>
      </c>
      <c r="G1564" s="47" t="str">
        <f>IFERROR(__xludf.DUMMYFUNCTION("""COMPUTED_VALUE"""),"")</f>
        <v/>
      </c>
      <c r="H1564" s="47"/>
      <c r="I1564" s="47">
        <f>IFERROR(__xludf.DUMMYFUNCTION("""COMPUTED_VALUE"""),2.0)</f>
        <v>2</v>
      </c>
      <c r="J1564" s="47" t="str">
        <f>IFERROR(__xludf.DUMMYFUNCTION("""COMPUTED_VALUE"""),"https:")</f>
        <v>https:</v>
      </c>
      <c r="K1564" s="78" t="str">
        <f>IFERROR(__xludf.DUMMYFUNCTION("""COMPUTED_VALUE"""),"www.munzee.com")</f>
        <v>www.munzee.com</v>
      </c>
      <c r="L1564" s="47" t="str">
        <f>IFERROR(__xludf.DUMMYFUNCTION("""COMPUTED_VALUE"""),"m")</f>
        <v>m</v>
      </c>
      <c r="M1564" s="47" t="str">
        <f>IFERROR(__xludf.DUMMYFUNCTION("""COMPUTED_VALUE"""),"PawPatrolThomas")</f>
        <v>PawPatrolThomas</v>
      </c>
    </row>
    <row r="1565">
      <c r="A1565" s="47" t="str">
        <f>IFERROR(__xludf.DUMMYFUNCTION("""COMPUTED_VALUE"""),"Virtual Brown")</f>
        <v>Virtual Brown</v>
      </c>
      <c r="B1565" s="47" t="str">
        <f>IFERROR(__xludf.DUMMYFUNCTION("""COMPUTED_VALUE"""),"BrotherWilliam")</f>
        <v>BrotherWilliam</v>
      </c>
      <c r="C1565" s="78" t="str">
        <f>IFERROR(__xludf.DUMMYFUNCTION("""COMPUTED_VALUE"""),"https://www.munzee.com/m/BrotherWilliam/5430/")</f>
        <v>https://www.munzee.com/m/BrotherWilliam/5430/</v>
      </c>
      <c r="D1565" s="47"/>
      <c r="E1565" s="47" t="b">
        <f>IFERROR(__xludf.DUMMYFUNCTION("""COMPUTED_VALUE"""),TRUE)</f>
        <v>1</v>
      </c>
      <c r="F1565" s="47" t="str">
        <f>IFERROR(__xludf.DUMMYFUNCTION("""COMPUTED_VALUE"""),"")</f>
        <v/>
      </c>
      <c r="G1565" s="47" t="str">
        <f>IFERROR(__xludf.DUMMYFUNCTION("""COMPUTED_VALUE"""),"")</f>
        <v/>
      </c>
      <c r="H1565" s="47"/>
      <c r="I1565" s="47">
        <f>IFERROR(__xludf.DUMMYFUNCTION("""COMPUTED_VALUE"""),2.0)</f>
        <v>2</v>
      </c>
      <c r="J1565" s="47" t="str">
        <f>IFERROR(__xludf.DUMMYFUNCTION("""COMPUTED_VALUE"""),"https:")</f>
        <v>https:</v>
      </c>
      <c r="K1565" s="78" t="str">
        <f>IFERROR(__xludf.DUMMYFUNCTION("""COMPUTED_VALUE"""),"www.munzee.com")</f>
        <v>www.munzee.com</v>
      </c>
      <c r="L1565" s="47" t="str">
        <f>IFERROR(__xludf.DUMMYFUNCTION("""COMPUTED_VALUE"""),"m")</f>
        <v>m</v>
      </c>
      <c r="M1565" s="47" t="str">
        <f>IFERROR(__xludf.DUMMYFUNCTION("""COMPUTED_VALUE"""),"BrotherWilliam")</f>
        <v>BrotherWilliam</v>
      </c>
    </row>
    <row r="1566">
      <c r="A1566" s="47" t="str">
        <f>IFERROR(__xludf.DUMMYFUNCTION("""COMPUTED_VALUE"""),"Virtual Brown")</f>
        <v>Virtual Brown</v>
      </c>
      <c r="B1566" s="47" t="str">
        <f>IFERROR(__xludf.DUMMYFUNCTION("""COMPUTED_VALUE"""),"ArtofEco")</f>
        <v>ArtofEco</v>
      </c>
      <c r="C1566" s="78" t="str">
        <f>IFERROR(__xludf.DUMMYFUNCTION("""COMPUTED_VALUE"""),"https://www.munzee.com/m/ArtofEco/3660/")</f>
        <v>https://www.munzee.com/m/ArtofEco/3660/</v>
      </c>
      <c r="D1566" s="47"/>
      <c r="E1566" s="47" t="b">
        <f>IFERROR(__xludf.DUMMYFUNCTION("""COMPUTED_VALUE"""),TRUE)</f>
        <v>1</v>
      </c>
      <c r="F1566" s="47" t="str">
        <f>IFERROR(__xludf.DUMMYFUNCTION("""COMPUTED_VALUE"""),"")</f>
        <v/>
      </c>
      <c r="G1566" s="47" t="str">
        <f>IFERROR(__xludf.DUMMYFUNCTION("""COMPUTED_VALUE"""),"")</f>
        <v/>
      </c>
      <c r="H1566" s="47"/>
      <c r="I1566" s="47">
        <f>IFERROR(__xludf.DUMMYFUNCTION("""COMPUTED_VALUE"""),2.0)</f>
        <v>2</v>
      </c>
      <c r="J1566" s="47" t="str">
        <f>IFERROR(__xludf.DUMMYFUNCTION("""COMPUTED_VALUE"""),"https:")</f>
        <v>https:</v>
      </c>
      <c r="K1566" s="78" t="str">
        <f>IFERROR(__xludf.DUMMYFUNCTION("""COMPUTED_VALUE"""),"www.munzee.com")</f>
        <v>www.munzee.com</v>
      </c>
      <c r="L1566" s="47" t="str">
        <f>IFERROR(__xludf.DUMMYFUNCTION("""COMPUTED_VALUE"""),"m")</f>
        <v>m</v>
      </c>
      <c r="M1566" s="47" t="str">
        <f>IFERROR(__xludf.DUMMYFUNCTION("""COMPUTED_VALUE"""),"ArtofEco")</f>
        <v>ArtofEco</v>
      </c>
    </row>
    <row r="1567">
      <c r="A1567" s="47" t="str">
        <f>IFERROR(__xludf.DUMMYFUNCTION("""COMPUTED_VALUE"""),"Virtual Brown")</f>
        <v>Virtual Brown</v>
      </c>
      <c r="B1567" s="47" t="str">
        <f>IFERROR(__xludf.DUMMYFUNCTION("""COMPUTED_VALUE"""),"J1Huisman")</f>
        <v>J1Huisman</v>
      </c>
      <c r="C1567" s="78" t="str">
        <f>IFERROR(__xludf.DUMMYFUNCTION("""COMPUTED_VALUE"""),"https://www.munzee.com/m/J1Huisman/13072/")</f>
        <v>https://www.munzee.com/m/J1Huisman/13072/</v>
      </c>
      <c r="D1567" s="47"/>
      <c r="E1567" s="47" t="b">
        <f>IFERROR(__xludf.DUMMYFUNCTION("""COMPUTED_VALUE"""),TRUE)</f>
        <v>1</v>
      </c>
      <c r="F1567" s="47" t="str">
        <f>IFERROR(__xludf.DUMMYFUNCTION("""COMPUTED_VALUE"""),"")</f>
        <v/>
      </c>
      <c r="G1567" s="47" t="str">
        <f>IFERROR(__xludf.DUMMYFUNCTION("""COMPUTED_VALUE"""),"")</f>
        <v/>
      </c>
      <c r="H1567" s="47"/>
      <c r="I1567" s="47">
        <f>IFERROR(__xludf.DUMMYFUNCTION("""COMPUTED_VALUE"""),2.0)</f>
        <v>2</v>
      </c>
      <c r="J1567" s="47" t="str">
        <f>IFERROR(__xludf.DUMMYFUNCTION("""COMPUTED_VALUE"""),"https:")</f>
        <v>https:</v>
      </c>
      <c r="K1567" s="78" t="str">
        <f>IFERROR(__xludf.DUMMYFUNCTION("""COMPUTED_VALUE"""),"www.munzee.com")</f>
        <v>www.munzee.com</v>
      </c>
      <c r="L1567" s="47" t="str">
        <f>IFERROR(__xludf.DUMMYFUNCTION("""COMPUTED_VALUE"""),"m")</f>
        <v>m</v>
      </c>
      <c r="M1567" s="47" t="str">
        <f>IFERROR(__xludf.DUMMYFUNCTION("""COMPUTED_VALUE"""),"J1Huisman")</f>
        <v>J1Huisman</v>
      </c>
    </row>
    <row r="1568">
      <c r="A1568" s="47" t="str">
        <f>IFERROR(__xludf.DUMMYFUNCTION("""COMPUTED_VALUE"""),"Virtual Raw Sienna")</f>
        <v>Virtual Raw Sienna</v>
      </c>
      <c r="B1568" s="47" t="str">
        <f>IFERROR(__xludf.DUMMYFUNCTION("""COMPUTED_VALUE"""),"fsafranek")</f>
        <v>fsafranek</v>
      </c>
      <c r="C1568" s="78" t="str">
        <f>IFERROR(__xludf.DUMMYFUNCTION("""COMPUTED_VALUE"""),"https://www.munzee.com/m/fsafranek/5483/")</f>
        <v>https://www.munzee.com/m/fsafranek/5483/</v>
      </c>
      <c r="D1568" s="47"/>
      <c r="E1568" s="47" t="b">
        <f>IFERROR(__xludf.DUMMYFUNCTION("""COMPUTED_VALUE"""),TRUE)</f>
        <v>1</v>
      </c>
      <c r="F1568" s="47" t="str">
        <f>IFERROR(__xludf.DUMMYFUNCTION("""COMPUTED_VALUE"""),"")</f>
        <v/>
      </c>
      <c r="G1568" s="47" t="str">
        <f>IFERROR(__xludf.DUMMYFUNCTION("""COMPUTED_VALUE"""),"")</f>
        <v/>
      </c>
      <c r="H1568" s="47"/>
      <c r="I1568" s="47">
        <f>IFERROR(__xludf.DUMMYFUNCTION("""COMPUTED_VALUE"""),2.0)</f>
        <v>2</v>
      </c>
      <c r="J1568" s="47" t="str">
        <f>IFERROR(__xludf.DUMMYFUNCTION("""COMPUTED_VALUE"""),"https:")</f>
        <v>https:</v>
      </c>
      <c r="K1568" s="78" t="str">
        <f>IFERROR(__xludf.DUMMYFUNCTION("""COMPUTED_VALUE"""),"www.munzee.com")</f>
        <v>www.munzee.com</v>
      </c>
      <c r="L1568" s="47" t="str">
        <f>IFERROR(__xludf.DUMMYFUNCTION("""COMPUTED_VALUE"""),"m")</f>
        <v>m</v>
      </c>
      <c r="M1568" s="47" t="str">
        <f>IFERROR(__xludf.DUMMYFUNCTION("""COMPUTED_VALUE"""),"fsafranek")</f>
        <v>fsafranek</v>
      </c>
    </row>
    <row r="1569">
      <c r="A1569" s="47" t="str">
        <f>IFERROR(__xludf.DUMMYFUNCTION("""COMPUTED_VALUE"""),"Virtual Brown")</f>
        <v>Virtual Brown</v>
      </c>
      <c r="B1569" s="47" t="str">
        <f>IFERROR(__xludf.DUMMYFUNCTION("""COMPUTED_VALUE"""),"xrayneex")</f>
        <v>xrayneex</v>
      </c>
      <c r="C1569" s="78" t="str">
        <f>IFERROR(__xludf.DUMMYFUNCTION("""COMPUTED_VALUE"""),"https://www.munzee.com/m/xrayneex/2533/")</f>
        <v>https://www.munzee.com/m/xrayneex/2533/</v>
      </c>
      <c r="D1569" s="47"/>
      <c r="E1569" s="47" t="b">
        <f>IFERROR(__xludf.DUMMYFUNCTION("""COMPUTED_VALUE"""),TRUE)</f>
        <v>1</v>
      </c>
      <c r="F1569" s="47" t="str">
        <f>IFERROR(__xludf.DUMMYFUNCTION("""COMPUTED_VALUE"""),"")</f>
        <v/>
      </c>
      <c r="G1569" s="47" t="str">
        <f>IFERROR(__xludf.DUMMYFUNCTION("""COMPUTED_VALUE"""),"")</f>
        <v/>
      </c>
      <c r="H1569" s="47"/>
      <c r="I1569" s="47">
        <f>IFERROR(__xludf.DUMMYFUNCTION("""COMPUTED_VALUE"""),2.0)</f>
        <v>2</v>
      </c>
      <c r="J1569" s="47" t="str">
        <f>IFERROR(__xludf.DUMMYFUNCTION("""COMPUTED_VALUE"""),"https:")</f>
        <v>https:</v>
      </c>
      <c r="K1569" s="78" t="str">
        <f>IFERROR(__xludf.DUMMYFUNCTION("""COMPUTED_VALUE"""),"www.munzee.com")</f>
        <v>www.munzee.com</v>
      </c>
      <c r="L1569" s="47" t="str">
        <f>IFERROR(__xludf.DUMMYFUNCTION("""COMPUTED_VALUE"""),"m")</f>
        <v>m</v>
      </c>
      <c r="M1569" s="47" t="str">
        <f>IFERROR(__xludf.DUMMYFUNCTION("""COMPUTED_VALUE"""),"xrayneex")</f>
        <v>xrayneex</v>
      </c>
    </row>
    <row r="1570">
      <c r="A1570" s="47" t="str">
        <f>IFERROR(__xludf.DUMMYFUNCTION("""COMPUTED_VALUE"""),"Virtual Brown")</f>
        <v>Virtual Brown</v>
      </c>
      <c r="B1570" s="47" t="str">
        <f>IFERROR(__xludf.DUMMYFUNCTION("""COMPUTED_VALUE"""),"Drazoria")</f>
        <v>Drazoria</v>
      </c>
      <c r="C1570" s="78" t="str">
        <f>IFERROR(__xludf.DUMMYFUNCTION("""COMPUTED_VALUE"""),"https://www.munzee.com/m/Drazoria/1652/")</f>
        <v>https://www.munzee.com/m/Drazoria/1652/</v>
      </c>
      <c r="D1570" s="47"/>
      <c r="E1570" s="47" t="b">
        <f>IFERROR(__xludf.DUMMYFUNCTION("""COMPUTED_VALUE"""),TRUE)</f>
        <v>1</v>
      </c>
      <c r="F1570" s="47"/>
      <c r="G1570" s="47" t="str">
        <f>IFERROR(__xludf.DUMMYFUNCTION("""COMPUTED_VALUE"""),"")</f>
        <v/>
      </c>
      <c r="H1570" s="47"/>
      <c r="I1570" s="47">
        <f>IFERROR(__xludf.DUMMYFUNCTION("""COMPUTED_VALUE"""),2.0)</f>
        <v>2</v>
      </c>
      <c r="J1570" s="47" t="str">
        <f>IFERROR(__xludf.DUMMYFUNCTION("""COMPUTED_VALUE"""),"https:")</f>
        <v>https:</v>
      </c>
      <c r="K1570" s="78" t="str">
        <f>IFERROR(__xludf.DUMMYFUNCTION("""COMPUTED_VALUE"""),"www.munzee.com")</f>
        <v>www.munzee.com</v>
      </c>
      <c r="L1570" s="47" t="str">
        <f>IFERROR(__xludf.DUMMYFUNCTION("""COMPUTED_VALUE"""),"m")</f>
        <v>m</v>
      </c>
      <c r="M1570" s="47" t="str">
        <f>IFERROR(__xludf.DUMMYFUNCTION("""COMPUTED_VALUE"""),"Drazoria")</f>
        <v>Drazoria</v>
      </c>
    </row>
    <row r="1571">
      <c r="A1571" s="47" t="str">
        <f>IFERROR(__xludf.DUMMYFUNCTION("""COMPUTED_VALUE"""),"Virtual Brown")</f>
        <v>Virtual Brown</v>
      </c>
      <c r="B1571" s="47" t="str">
        <f>IFERROR(__xludf.DUMMYFUNCTION("""COMPUTED_VALUE"""),"Tinake1309")</f>
        <v>Tinake1309</v>
      </c>
      <c r="C1571" s="78" t="str">
        <f>IFERROR(__xludf.DUMMYFUNCTION("""COMPUTED_VALUE"""),"https://www.munzee.com/m/Tinake1309/1667/")</f>
        <v>https://www.munzee.com/m/Tinake1309/1667/</v>
      </c>
      <c r="D1571" s="47"/>
      <c r="E1571" s="47" t="b">
        <f>IFERROR(__xludf.DUMMYFUNCTION("""COMPUTED_VALUE"""),TRUE)</f>
        <v>1</v>
      </c>
      <c r="F1571" s="47" t="str">
        <f>IFERROR(__xludf.DUMMYFUNCTION("""COMPUTED_VALUE"""),"")</f>
        <v/>
      </c>
      <c r="G1571" s="47" t="str">
        <f>IFERROR(__xludf.DUMMYFUNCTION("""COMPUTED_VALUE"""),"")</f>
        <v/>
      </c>
      <c r="H1571" s="47"/>
      <c r="I1571" s="47">
        <f>IFERROR(__xludf.DUMMYFUNCTION("""COMPUTED_VALUE"""),2.0)</f>
        <v>2</v>
      </c>
      <c r="J1571" s="47" t="str">
        <f>IFERROR(__xludf.DUMMYFUNCTION("""COMPUTED_VALUE"""),"https:")</f>
        <v>https:</v>
      </c>
      <c r="K1571" s="78" t="str">
        <f>IFERROR(__xludf.DUMMYFUNCTION("""COMPUTED_VALUE"""),"www.munzee.com")</f>
        <v>www.munzee.com</v>
      </c>
      <c r="L1571" s="47" t="str">
        <f>IFERROR(__xludf.DUMMYFUNCTION("""COMPUTED_VALUE"""),"m")</f>
        <v>m</v>
      </c>
      <c r="M1571" s="47" t="str">
        <f>IFERROR(__xludf.DUMMYFUNCTION("""COMPUTED_VALUE"""),"Tinake1309")</f>
        <v>Tinake1309</v>
      </c>
    </row>
    <row r="1572">
      <c r="A1572" s="47" t="str">
        <f>IFERROR(__xludf.DUMMYFUNCTION("""COMPUTED_VALUE"""),"Virtual Brown")</f>
        <v>Virtual Brown</v>
      </c>
      <c r="B1572" s="47" t="str">
        <f>IFERROR(__xludf.DUMMYFUNCTION("""COMPUTED_VALUE"""),"Berg14")</f>
        <v>Berg14</v>
      </c>
      <c r="C1572" s="78" t="str">
        <f>IFERROR(__xludf.DUMMYFUNCTION("""COMPUTED_VALUE"""),"https://www.munzee.com/m/Berg14/1574/")</f>
        <v>https://www.munzee.com/m/Berg14/1574/</v>
      </c>
      <c r="D1572" s="47"/>
      <c r="E1572" s="47" t="b">
        <f>IFERROR(__xludf.DUMMYFUNCTION("""COMPUTED_VALUE"""),TRUE)</f>
        <v>1</v>
      </c>
      <c r="F1572" s="47" t="str">
        <f>IFERROR(__xludf.DUMMYFUNCTION("""COMPUTED_VALUE"""),"")</f>
        <v/>
      </c>
      <c r="G1572" s="47" t="str">
        <f>IFERROR(__xludf.DUMMYFUNCTION("""COMPUTED_VALUE"""),"")</f>
        <v/>
      </c>
      <c r="H1572" s="47"/>
      <c r="I1572" s="47">
        <f>IFERROR(__xludf.DUMMYFUNCTION("""COMPUTED_VALUE"""),2.0)</f>
        <v>2</v>
      </c>
      <c r="J1572" s="47" t="str">
        <f>IFERROR(__xludf.DUMMYFUNCTION("""COMPUTED_VALUE"""),"https:")</f>
        <v>https:</v>
      </c>
      <c r="K1572" s="78" t="str">
        <f>IFERROR(__xludf.DUMMYFUNCTION("""COMPUTED_VALUE"""),"www.munzee.com")</f>
        <v>www.munzee.com</v>
      </c>
      <c r="L1572" s="47" t="str">
        <f>IFERROR(__xludf.DUMMYFUNCTION("""COMPUTED_VALUE"""),"m")</f>
        <v>m</v>
      </c>
      <c r="M1572" s="47" t="str">
        <f>IFERROR(__xludf.DUMMYFUNCTION("""COMPUTED_VALUE"""),"Berg14")</f>
        <v>Berg14</v>
      </c>
    </row>
    <row r="1573">
      <c r="A1573" s="47" t="str">
        <f>IFERROR(__xludf.DUMMYFUNCTION("""COMPUTED_VALUE"""),"Virtual Brown")</f>
        <v>Virtual Brown</v>
      </c>
      <c r="B1573" s="47" t="str">
        <f>IFERROR(__xludf.DUMMYFUNCTION("""COMPUTED_VALUE"""),"Niks13")</f>
        <v>Niks13</v>
      </c>
      <c r="C1573" s="78" t="str">
        <f>IFERROR(__xludf.DUMMYFUNCTION("""COMPUTED_VALUE"""),"https://www.munzee.com/m/Niks13/1560/")</f>
        <v>https://www.munzee.com/m/Niks13/1560/</v>
      </c>
      <c r="D1573" s="47"/>
      <c r="E1573" s="47" t="b">
        <f>IFERROR(__xludf.DUMMYFUNCTION("""COMPUTED_VALUE"""),TRUE)</f>
        <v>1</v>
      </c>
      <c r="F1573" s="47" t="str">
        <f>IFERROR(__xludf.DUMMYFUNCTION("""COMPUTED_VALUE"""),"")</f>
        <v/>
      </c>
      <c r="G1573" s="47" t="str">
        <f>IFERROR(__xludf.DUMMYFUNCTION("""COMPUTED_VALUE"""),"")</f>
        <v/>
      </c>
      <c r="H1573" s="47"/>
      <c r="I1573" s="47">
        <f>IFERROR(__xludf.DUMMYFUNCTION("""COMPUTED_VALUE"""),2.0)</f>
        <v>2</v>
      </c>
      <c r="J1573" s="47" t="str">
        <f>IFERROR(__xludf.DUMMYFUNCTION("""COMPUTED_VALUE"""),"https:")</f>
        <v>https:</v>
      </c>
      <c r="K1573" s="78" t="str">
        <f>IFERROR(__xludf.DUMMYFUNCTION("""COMPUTED_VALUE"""),"www.munzee.com")</f>
        <v>www.munzee.com</v>
      </c>
      <c r="L1573" s="47" t="str">
        <f>IFERROR(__xludf.DUMMYFUNCTION("""COMPUTED_VALUE"""),"m")</f>
        <v>m</v>
      </c>
      <c r="M1573" s="47" t="str">
        <f>IFERROR(__xludf.DUMMYFUNCTION("""COMPUTED_VALUE"""),"Niks13")</f>
        <v>Niks13</v>
      </c>
    </row>
    <row r="1574">
      <c r="A1574" s="47" t="str">
        <f>IFERROR(__xludf.DUMMYFUNCTION("""COMPUTED_VALUE"""),"Virtual Brown")</f>
        <v>Virtual Brown</v>
      </c>
      <c r="B1574" s="47" t="str">
        <f>IFERROR(__xludf.DUMMYFUNCTION("""COMPUTED_VALUE"""),"lupo6")</f>
        <v>lupo6</v>
      </c>
      <c r="C1574" s="78" t="str">
        <f>IFERROR(__xludf.DUMMYFUNCTION("""COMPUTED_VALUE"""),"https://www.munzee.com/m/lupo6/6721")</f>
        <v>https://www.munzee.com/m/lupo6/6721</v>
      </c>
      <c r="D1574" s="47"/>
      <c r="E1574" s="47" t="b">
        <f>IFERROR(__xludf.DUMMYFUNCTION("""COMPUTED_VALUE"""),TRUE)</f>
        <v>1</v>
      </c>
      <c r="F1574" s="47" t="str">
        <f>IFERROR(__xludf.DUMMYFUNCTION("""COMPUTED_VALUE"""),"")</f>
        <v/>
      </c>
      <c r="G1574" s="47" t="str">
        <f>IFERROR(__xludf.DUMMYFUNCTION("""COMPUTED_VALUE"""),"")</f>
        <v/>
      </c>
      <c r="H1574" s="47"/>
      <c r="I1574" s="47">
        <f>IFERROR(__xludf.DUMMYFUNCTION("""COMPUTED_VALUE"""),2.0)</f>
        <v>2</v>
      </c>
      <c r="J1574" s="47" t="str">
        <f>IFERROR(__xludf.DUMMYFUNCTION("""COMPUTED_VALUE"""),"https:")</f>
        <v>https:</v>
      </c>
      <c r="K1574" s="78" t="str">
        <f>IFERROR(__xludf.DUMMYFUNCTION("""COMPUTED_VALUE"""),"www.munzee.com")</f>
        <v>www.munzee.com</v>
      </c>
      <c r="L1574" s="47" t="str">
        <f>IFERROR(__xludf.DUMMYFUNCTION("""COMPUTED_VALUE"""),"m")</f>
        <v>m</v>
      </c>
      <c r="M1574" s="47" t="str">
        <f>IFERROR(__xludf.DUMMYFUNCTION("""COMPUTED_VALUE"""),"lupo6")</f>
        <v>lupo6</v>
      </c>
    </row>
    <row r="1575">
      <c r="A1575" s="47" t="str">
        <f>IFERROR(__xludf.DUMMYFUNCTION("""COMPUTED_VALUE"""),"Virtual Brown")</f>
        <v>Virtual Brown</v>
      </c>
      <c r="B1575" s="47" t="str">
        <f>IFERROR(__xludf.DUMMYFUNCTION("""COMPUTED_VALUE"""),"barefootguru")</f>
        <v>barefootguru</v>
      </c>
      <c r="C1575" s="78" t="str">
        <f>IFERROR(__xludf.DUMMYFUNCTION("""COMPUTED_VALUE"""),"https://www.munzee.com/m/barefootguru/4194/")</f>
        <v>https://www.munzee.com/m/barefootguru/4194/</v>
      </c>
      <c r="D1575" s="47"/>
      <c r="E1575" s="47" t="b">
        <f>IFERROR(__xludf.DUMMYFUNCTION("""COMPUTED_VALUE"""),TRUE)</f>
        <v>1</v>
      </c>
      <c r="F1575" s="47" t="str">
        <f>IFERROR(__xludf.DUMMYFUNCTION("""COMPUTED_VALUE"""),"")</f>
        <v/>
      </c>
      <c r="G1575" s="47" t="str">
        <f>IFERROR(__xludf.DUMMYFUNCTION("""COMPUTED_VALUE"""),"")</f>
        <v/>
      </c>
      <c r="H1575" s="47"/>
      <c r="I1575" s="47">
        <f>IFERROR(__xludf.DUMMYFUNCTION("""COMPUTED_VALUE"""),2.0)</f>
        <v>2</v>
      </c>
      <c r="J1575" s="47" t="str">
        <f>IFERROR(__xludf.DUMMYFUNCTION("""COMPUTED_VALUE"""),"https:")</f>
        <v>https:</v>
      </c>
      <c r="K1575" s="78" t="str">
        <f>IFERROR(__xludf.DUMMYFUNCTION("""COMPUTED_VALUE"""),"www.munzee.com")</f>
        <v>www.munzee.com</v>
      </c>
      <c r="L1575" s="47" t="str">
        <f>IFERROR(__xludf.DUMMYFUNCTION("""COMPUTED_VALUE"""),"m")</f>
        <v>m</v>
      </c>
      <c r="M1575" s="47" t="str">
        <f>IFERROR(__xludf.DUMMYFUNCTION("""COMPUTED_VALUE"""),"barefootguru")</f>
        <v>barefootguru</v>
      </c>
    </row>
    <row r="1576">
      <c r="A1576" s="47" t="str">
        <f>IFERROR(__xludf.DUMMYFUNCTION("""COMPUTED_VALUE"""),"Virtual Brown")</f>
        <v>Virtual Brown</v>
      </c>
      <c r="B1576" s="47" t="str">
        <f>IFERROR(__xludf.DUMMYFUNCTION("""COMPUTED_VALUE"""),"Arendsoog")</f>
        <v>Arendsoog</v>
      </c>
      <c r="C1576" s="78" t="str">
        <f>IFERROR(__xludf.DUMMYFUNCTION("""COMPUTED_VALUE"""),"https://www.munzee.com/m/Arendsoog/8882/")</f>
        <v>https://www.munzee.com/m/Arendsoog/8882/</v>
      </c>
      <c r="D1576" s="47"/>
      <c r="E1576" s="47" t="b">
        <f>IFERROR(__xludf.DUMMYFUNCTION("""COMPUTED_VALUE"""),TRUE)</f>
        <v>1</v>
      </c>
      <c r="F1576" s="47" t="str">
        <f>IFERROR(__xludf.DUMMYFUNCTION("""COMPUTED_VALUE"""),"")</f>
        <v/>
      </c>
      <c r="G1576" s="47" t="str">
        <f>IFERROR(__xludf.DUMMYFUNCTION("""COMPUTED_VALUE"""),"")</f>
        <v/>
      </c>
      <c r="H1576" s="47"/>
      <c r="I1576" s="47">
        <f>IFERROR(__xludf.DUMMYFUNCTION("""COMPUTED_VALUE"""),2.0)</f>
        <v>2</v>
      </c>
      <c r="J1576" s="47" t="str">
        <f>IFERROR(__xludf.DUMMYFUNCTION("""COMPUTED_VALUE"""),"https:")</f>
        <v>https:</v>
      </c>
      <c r="K1576" s="78" t="str">
        <f>IFERROR(__xludf.DUMMYFUNCTION("""COMPUTED_VALUE"""),"www.munzee.com")</f>
        <v>www.munzee.com</v>
      </c>
      <c r="L1576" s="47" t="str">
        <f>IFERROR(__xludf.DUMMYFUNCTION("""COMPUTED_VALUE"""),"m")</f>
        <v>m</v>
      </c>
      <c r="M1576" s="47" t="str">
        <f>IFERROR(__xludf.DUMMYFUNCTION("""COMPUTED_VALUE"""),"Arendsoog")</f>
        <v>Arendsoog</v>
      </c>
    </row>
    <row r="1577">
      <c r="A1577" s="47" t="str">
        <f>IFERROR(__xludf.DUMMYFUNCTION("""COMPUTED_VALUE"""),"Virtual Brown")</f>
        <v>Virtual Brown</v>
      </c>
      <c r="B1577" s="47" t="str">
        <f>IFERROR(__xludf.DUMMYFUNCTION("""COMPUTED_VALUE"""),"Andrew81")</f>
        <v>Andrew81</v>
      </c>
      <c r="C1577" s="78" t="str">
        <f>IFERROR(__xludf.DUMMYFUNCTION("""COMPUTED_VALUE"""),"https://www.munzee.com/m/Andrew81/1593/")</f>
        <v>https://www.munzee.com/m/Andrew81/1593/</v>
      </c>
      <c r="D1577" s="47"/>
      <c r="E1577" s="47" t="b">
        <f>IFERROR(__xludf.DUMMYFUNCTION("""COMPUTED_VALUE"""),TRUE)</f>
        <v>1</v>
      </c>
      <c r="F1577" s="47" t="str">
        <f>IFERROR(__xludf.DUMMYFUNCTION("""COMPUTED_VALUE"""),"")</f>
        <v/>
      </c>
      <c r="G1577" s="47" t="str">
        <f>IFERROR(__xludf.DUMMYFUNCTION("""COMPUTED_VALUE"""),"")</f>
        <v/>
      </c>
      <c r="H1577" s="47"/>
      <c r="I1577" s="47">
        <f>IFERROR(__xludf.DUMMYFUNCTION("""COMPUTED_VALUE"""),2.0)</f>
        <v>2</v>
      </c>
      <c r="J1577" s="47" t="str">
        <f>IFERROR(__xludf.DUMMYFUNCTION("""COMPUTED_VALUE"""),"https:")</f>
        <v>https:</v>
      </c>
      <c r="K1577" s="78" t="str">
        <f>IFERROR(__xludf.DUMMYFUNCTION("""COMPUTED_VALUE"""),"www.munzee.com")</f>
        <v>www.munzee.com</v>
      </c>
      <c r="L1577" s="47" t="str">
        <f>IFERROR(__xludf.DUMMYFUNCTION("""COMPUTED_VALUE"""),"m")</f>
        <v>m</v>
      </c>
      <c r="M1577" s="47" t="str">
        <f>IFERROR(__xludf.DUMMYFUNCTION("""COMPUTED_VALUE"""),"Andrew81")</f>
        <v>Andrew81</v>
      </c>
    </row>
    <row r="1578">
      <c r="A1578" s="47" t="str">
        <f>IFERROR(__xludf.DUMMYFUNCTION("""COMPUTED_VALUE"""),"Virtual Brown")</f>
        <v>Virtual Brown</v>
      </c>
      <c r="B1578" s="47" t="str">
        <f>IFERROR(__xludf.DUMMYFUNCTION("""COMPUTED_VALUE"""),"Outlander21")</f>
        <v>Outlander21</v>
      </c>
      <c r="C1578" s="78" t="str">
        <f>IFERROR(__xludf.DUMMYFUNCTION("""COMPUTED_VALUE"""),"https://www.munzee.com/m/Outlander21/121")</f>
        <v>https://www.munzee.com/m/Outlander21/121</v>
      </c>
      <c r="D1578" s="47"/>
      <c r="E1578" s="47" t="b">
        <f>IFERROR(__xludf.DUMMYFUNCTION("""COMPUTED_VALUE"""),TRUE)</f>
        <v>1</v>
      </c>
      <c r="F1578" s="47" t="str">
        <f>IFERROR(__xludf.DUMMYFUNCTION("""COMPUTED_VALUE"""),"")</f>
        <v/>
      </c>
      <c r="G1578" s="47" t="str">
        <f>IFERROR(__xludf.DUMMYFUNCTION("""COMPUTED_VALUE"""),"")</f>
        <v/>
      </c>
      <c r="H1578" s="47"/>
      <c r="I1578" s="47">
        <f>IFERROR(__xludf.DUMMYFUNCTION("""COMPUTED_VALUE"""),2.0)</f>
        <v>2</v>
      </c>
      <c r="J1578" s="47" t="str">
        <f>IFERROR(__xludf.DUMMYFUNCTION("""COMPUTED_VALUE"""),"https:")</f>
        <v>https:</v>
      </c>
      <c r="K1578" s="78" t="str">
        <f>IFERROR(__xludf.DUMMYFUNCTION("""COMPUTED_VALUE"""),"www.munzee.com")</f>
        <v>www.munzee.com</v>
      </c>
      <c r="L1578" s="47" t="str">
        <f>IFERROR(__xludf.DUMMYFUNCTION("""COMPUTED_VALUE"""),"m")</f>
        <v>m</v>
      </c>
      <c r="M1578" s="47" t="str">
        <f>IFERROR(__xludf.DUMMYFUNCTION("""COMPUTED_VALUE"""),"Outlander21")</f>
        <v>Outlander21</v>
      </c>
    </row>
    <row r="1579">
      <c r="A1579" s="47" t="str">
        <f>IFERROR(__xludf.DUMMYFUNCTION("""COMPUTED_VALUE"""),"Virtual Brown")</f>
        <v>Virtual Brown</v>
      </c>
      <c r="B1579" s="47" t="str">
        <f>IFERROR(__xludf.DUMMYFUNCTION("""COMPUTED_VALUE"""),"Arendsoog")</f>
        <v>Arendsoog</v>
      </c>
      <c r="C1579" s="78" t="str">
        <f>IFERROR(__xludf.DUMMYFUNCTION("""COMPUTED_VALUE"""),"https://www.munzee.com/m/Arendsoog/8883/")</f>
        <v>https://www.munzee.com/m/Arendsoog/8883/</v>
      </c>
      <c r="D1579" s="47"/>
      <c r="E1579" s="47" t="b">
        <f>IFERROR(__xludf.DUMMYFUNCTION("""COMPUTED_VALUE"""),TRUE)</f>
        <v>1</v>
      </c>
      <c r="F1579" s="47" t="str">
        <f>IFERROR(__xludf.DUMMYFUNCTION("""COMPUTED_VALUE"""),"")</f>
        <v/>
      </c>
      <c r="G1579" s="47" t="str">
        <f>IFERROR(__xludf.DUMMYFUNCTION("""COMPUTED_VALUE"""),"")</f>
        <v/>
      </c>
      <c r="H1579" s="47"/>
      <c r="I1579" s="47">
        <f>IFERROR(__xludf.DUMMYFUNCTION("""COMPUTED_VALUE"""),2.0)</f>
        <v>2</v>
      </c>
      <c r="J1579" s="47" t="str">
        <f>IFERROR(__xludf.DUMMYFUNCTION("""COMPUTED_VALUE"""),"https:")</f>
        <v>https:</v>
      </c>
      <c r="K1579" s="78" t="str">
        <f>IFERROR(__xludf.DUMMYFUNCTION("""COMPUTED_VALUE"""),"www.munzee.com")</f>
        <v>www.munzee.com</v>
      </c>
      <c r="L1579" s="47" t="str">
        <f>IFERROR(__xludf.DUMMYFUNCTION("""COMPUTED_VALUE"""),"m")</f>
        <v>m</v>
      </c>
      <c r="M1579" s="47" t="str">
        <f>IFERROR(__xludf.DUMMYFUNCTION("""COMPUTED_VALUE"""),"Arendsoog")</f>
        <v>Arendsoog</v>
      </c>
    </row>
    <row r="1580">
      <c r="A1580" s="47" t="str">
        <f>IFERROR(__xludf.DUMMYFUNCTION("""COMPUTED_VALUE"""),"Virtual Raw Sienna")</f>
        <v>Virtual Raw Sienna</v>
      </c>
      <c r="B1580" s="47" t="str">
        <f>IFERROR(__xludf.DUMMYFUNCTION("""COMPUTED_VALUE"""),"Kastella")</f>
        <v>Kastella</v>
      </c>
      <c r="C1580" s="78" t="str">
        <f>IFERROR(__xludf.DUMMYFUNCTION("""COMPUTED_VALUE"""),"https://www.munzee.com/m/Kastella/169")</f>
        <v>https://www.munzee.com/m/Kastella/169</v>
      </c>
      <c r="D1580" s="47"/>
      <c r="E1580" s="47" t="b">
        <f>IFERROR(__xludf.DUMMYFUNCTION("""COMPUTED_VALUE"""),TRUE)</f>
        <v>1</v>
      </c>
      <c r="F1580" s="47" t="str">
        <f>IFERROR(__xludf.DUMMYFUNCTION("""COMPUTED_VALUE"""),"")</f>
        <v/>
      </c>
      <c r="G1580" s="47" t="str">
        <f>IFERROR(__xludf.DUMMYFUNCTION("""COMPUTED_VALUE"""),"")</f>
        <v/>
      </c>
      <c r="H1580" s="47"/>
      <c r="I1580" s="47">
        <f>IFERROR(__xludf.DUMMYFUNCTION("""COMPUTED_VALUE"""),2.0)</f>
        <v>2</v>
      </c>
      <c r="J1580" s="47" t="str">
        <f>IFERROR(__xludf.DUMMYFUNCTION("""COMPUTED_VALUE"""),"https:")</f>
        <v>https:</v>
      </c>
      <c r="K1580" s="78" t="str">
        <f>IFERROR(__xludf.DUMMYFUNCTION("""COMPUTED_VALUE"""),"www.munzee.com")</f>
        <v>www.munzee.com</v>
      </c>
      <c r="L1580" s="47" t="str">
        <f>IFERROR(__xludf.DUMMYFUNCTION("""COMPUTED_VALUE"""),"m")</f>
        <v>m</v>
      </c>
      <c r="M1580" s="47" t="str">
        <f>IFERROR(__xludf.DUMMYFUNCTION("""COMPUTED_VALUE"""),"Kastella")</f>
        <v>Kastella</v>
      </c>
    </row>
    <row r="1581">
      <c r="A1581" s="47" t="str">
        <f>IFERROR(__xludf.DUMMYFUNCTION("""COMPUTED_VALUE"""),"Virtual Brown")</f>
        <v>Virtual Brown</v>
      </c>
      <c r="B1581" s="47" t="str">
        <f>IFERROR(__xludf.DUMMYFUNCTION("""COMPUTED_VALUE"""),"Andrew81")</f>
        <v>Andrew81</v>
      </c>
      <c r="C1581" s="78" t="str">
        <f>IFERROR(__xludf.DUMMYFUNCTION("""COMPUTED_VALUE"""),"https://www.munzee.com/m/Andrew81/1600/")</f>
        <v>https://www.munzee.com/m/Andrew81/1600/</v>
      </c>
      <c r="D1581" s="47"/>
      <c r="E1581" s="47" t="b">
        <f>IFERROR(__xludf.DUMMYFUNCTION("""COMPUTED_VALUE"""),TRUE)</f>
        <v>1</v>
      </c>
      <c r="F1581" s="47" t="str">
        <f>IFERROR(__xludf.DUMMYFUNCTION("""COMPUTED_VALUE"""),"")</f>
        <v/>
      </c>
      <c r="G1581" s="47" t="str">
        <f>IFERROR(__xludf.DUMMYFUNCTION("""COMPUTED_VALUE"""),"")</f>
        <v/>
      </c>
      <c r="H1581" s="47"/>
      <c r="I1581" s="47">
        <f>IFERROR(__xludf.DUMMYFUNCTION("""COMPUTED_VALUE"""),2.0)</f>
        <v>2</v>
      </c>
      <c r="J1581" s="47" t="str">
        <f>IFERROR(__xludf.DUMMYFUNCTION("""COMPUTED_VALUE"""),"https:")</f>
        <v>https:</v>
      </c>
      <c r="K1581" s="78" t="str">
        <f>IFERROR(__xludf.DUMMYFUNCTION("""COMPUTED_VALUE"""),"www.munzee.com")</f>
        <v>www.munzee.com</v>
      </c>
      <c r="L1581" s="47" t="str">
        <f>IFERROR(__xludf.DUMMYFUNCTION("""COMPUTED_VALUE"""),"m")</f>
        <v>m</v>
      </c>
      <c r="M1581" s="47" t="str">
        <f>IFERROR(__xludf.DUMMYFUNCTION("""COMPUTED_VALUE"""),"Andrew81")</f>
        <v>Andrew81</v>
      </c>
    </row>
    <row r="1582">
      <c r="A1582" s="47" t="str">
        <f>IFERROR(__xludf.DUMMYFUNCTION("""COMPUTED_VALUE"""),"Virtual Brown")</f>
        <v>Virtual Brown</v>
      </c>
      <c r="B1582" s="47" t="str">
        <f>IFERROR(__xludf.DUMMYFUNCTION("""COMPUTED_VALUE"""),"Outlander21")</f>
        <v>Outlander21</v>
      </c>
      <c r="C1582" s="78" t="str">
        <f>IFERROR(__xludf.DUMMYFUNCTION("""COMPUTED_VALUE"""),"https://www.munzee.com/m/Outlander21/139")</f>
        <v>https://www.munzee.com/m/Outlander21/139</v>
      </c>
      <c r="D1582" s="47"/>
      <c r="E1582" s="47" t="b">
        <f>IFERROR(__xludf.DUMMYFUNCTION("""COMPUTED_VALUE"""),TRUE)</f>
        <v>1</v>
      </c>
      <c r="F1582" s="47" t="str">
        <f>IFERROR(__xludf.DUMMYFUNCTION("""COMPUTED_VALUE"""),"")</f>
        <v/>
      </c>
      <c r="G1582" s="47" t="str">
        <f>IFERROR(__xludf.DUMMYFUNCTION("""COMPUTED_VALUE"""),"")</f>
        <v/>
      </c>
      <c r="H1582" s="47"/>
      <c r="I1582" s="47">
        <f>IFERROR(__xludf.DUMMYFUNCTION("""COMPUTED_VALUE"""),2.0)</f>
        <v>2</v>
      </c>
      <c r="J1582" s="47" t="str">
        <f>IFERROR(__xludf.DUMMYFUNCTION("""COMPUTED_VALUE"""),"https:")</f>
        <v>https:</v>
      </c>
      <c r="K1582" s="78" t="str">
        <f>IFERROR(__xludf.DUMMYFUNCTION("""COMPUTED_VALUE"""),"www.munzee.com")</f>
        <v>www.munzee.com</v>
      </c>
      <c r="L1582" s="47" t="str">
        <f>IFERROR(__xludf.DUMMYFUNCTION("""COMPUTED_VALUE"""),"m")</f>
        <v>m</v>
      </c>
      <c r="M1582" s="47" t="str">
        <f>IFERROR(__xludf.DUMMYFUNCTION("""COMPUTED_VALUE"""),"Outlander21")</f>
        <v>Outlander21</v>
      </c>
    </row>
    <row r="1583">
      <c r="A1583" s="47" t="str">
        <f>IFERROR(__xludf.DUMMYFUNCTION("""COMPUTED_VALUE"""),"Virtual Brown")</f>
        <v>Virtual Brown</v>
      </c>
      <c r="B1583" s="47" t="str">
        <f>IFERROR(__xludf.DUMMYFUNCTION("""COMPUTED_VALUE"""),"Kastella")</f>
        <v>Kastella</v>
      </c>
      <c r="C1583" s="78" t="str">
        <f>IFERROR(__xludf.DUMMYFUNCTION("""COMPUTED_VALUE"""),"https://www.munzee.com/m/Kastella/181")</f>
        <v>https://www.munzee.com/m/Kastella/181</v>
      </c>
      <c r="D1583" s="47"/>
      <c r="E1583" s="47" t="b">
        <f>IFERROR(__xludf.DUMMYFUNCTION("""COMPUTED_VALUE"""),TRUE)</f>
        <v>1</v>
      </c>
      <c r="F1583" s="47" t="str">
        <f>IFERROR(__xludf.DUMMYFUNCTION("""COMPUTED_VALUE"""),"")</f>
        <v/>
      </c>
      <c r="G1583" s="47" t="str">
        <f>IFERROR(__xludf.DUMMYFUNCTION("""COMPUTED_VALUE"""),"")</f>
        <v/>
      </c>
      <c r="H1583" s="47"/>
      <c r="I1583" s="47">
        <f>IFERROR(__xludf.DUMMYFUNCTION("""COMPUTED_VALUE"""),2.0)</f>
        <v>2</v>
      </c>
      <c r="J1583" s="47" t="str">
        <f>IFERROR(__xludf.DUMMYFUNCTION("""COMPUTED_VALUE"""),"https:")</f>
        <v>https:</v>
      </c>
      <c r="K1583" s="78" t="str">
        <f>IFERROR(__xludf.DUMMYFUNCTION("""COMPUTED_VALUE"""),"www.munzee.com")</f>
        <v>www.munzee.com</v>
      </c>
      <c r="L1583" s="47" t="str">
        <f>IFERROR(__xludf.DUMMYFUNCTION("""COMPUTED_VALUE"""),"m")</f>
        <v>m</v>
      </c>
      <c r="M1583" s="47" t="str">
        <f>IFERROR(__xludf.DUMMYFUNCTION("""COMPUTED_VALUE"""),"Kastella")</f>
        <v>Kastella</v>
      </c>
    </row>
    <row r="1584">
      <c r="A1584" s="47" t="str">
        <f>IFERROR(__xludf.DUMMYFUNCTION("""COMPUTED_VALUE"""),"Virtual Raw Sienna")</f>
        <v>Virtual Raw Sienna</v>
      </c>
      <c r="B1584" s="47" t="str">
        <f>IFERROR(__xludf.DUMMYFUNCTION("""COMPUTED_VALUE"""),"crscousins")</f>
        <v>crscousins</v>
      </c>
      <c r="C1584" s="78" t="str">
        <f>IFERROR(__xludf.DUMMYFUNCTION("""COMPUTED_VALUE"""),"https://www.munzee.com/m/crscousins/7576/")</f>
        <v>https://www.munzee.com/m/crscousins/7576/</v>
      </c>
      <c r="D1584" s="47"/>
      <c r="E1584" s="47" t="b">
        <f>IFERROR(__xludf.DUMMYFUNCTION("""COMPUTED_VALUE"""),TRUE)</f>
        <v>1</v>
      </c>
      <c r="F1584" s="47" t="str">
        <f>IFERROR(__xludf.DUMMYFUNCTION("""COMPUTED_VALUE"""),"")</f>
        <v/>
      </c>
      <c r="G1584" s="47" t="str">
        <f>IFERROR(__xludf.DUMMYFUNCTION("""COMPUTED_VALUE"""),"")</f>
        <v/>
      </c>
      <c r="H1584" s="47"/>
      <c r="I1584" s="47">
        <f>IFERROR(__xludf.DUMMYFUNCTION("""COMPUTED_VALUE"""),2.0)</f>
        <v>2</v>
      </c>
      <c r="J1584" s="47" t="str">
        <f>IFERROR(__xludf.DUMMYFUNCTION("""COMPUTED_VALUE"""),"https:")</f>
        <v>https:</v>
      </c>
      <c r="K1584" s="78" t="str">
        <f>IFERROR(__xludf.DUMMYFUNCTION("""COMPUTED_VALUE"""),"www.munzee.com")</f>
        <v>www.munzee.com</v>
      </c>
      <c r="L1584" s="47" t="str">
        <f>IFERROR(__xludf.DUMMYFUNCTION("""COMPUTED_VALUE"""),"m")</f>
        <v>m</v>
      </c>
      <c r="M1584" s="47" t="str">
        <f>IFERROR(__xludf.DUMMYFUNCTION("""COMPUTED_VALUE"""),"crscousins")</f>
        <v>crscousins</v>
      </c>
    </row>
    <row r="1585">
      <c r="A1585" s="47" t="str">
        <f>IFERROR(__xludf.DUMMYFUNCTION("""COMPUTED_VALUE"""),"Virtual Brown")</f>
        <v>Virtual Brown</v>
      </c>
      <c r="B1585" s="47" t="str">
        <f>IFERROR(__xludf.DUMMYFUNCTION("""COMPUTED_VALUE"""),"Bungle")</f>
        <v>Bungle</v>
      </c>
      <c r="C1585" s="78" t="str">
        <f>IFERROR(__xludf.DUMMYFUNCTION("""COMPUTED_VALUE"""),"https://www.munzee.com/m/Bungle/11159")</f>
        <v>https://www.munzee.com/m/Bungle/11159</v>
      </c>
      <c r="D1585" s="47"/>
      <c r="E1585" s="47" t="b">
        <f>IFERROR(__xludf.DUMMYFUNCTION("""COMPUTED_VALUE"""),TRUE)</f>
        <v>1</v>
      </c>
      <c r="F1585" s="47"/>
      <c r="G1585" s="47" t="str">
        <f>IFERROR(__xludf.DUMMYFUNCTION("""COMPUTED_VALUE"""),"")</f>
        <v/>
      </c>
      <c r="H1585" s="47"/>
      <c r="I1585" s="47">
        <f>IFERROR(__xludf.DUMMYFUNCTION("""COMPUTED_VALUE"""),2.0)</f>
        <v>2</v>
      </c>
      <c r="J1585" s="47" t="str">
        <f>IFERROR(__xludf.DUMMYFUNCTION("""COMPUTED_VALUE"""),"https:")</f>
        <v>https:</v>
      </c>
      <c r="K1585" s="78" t="str">
        <f>IFERROR(__xludf.DUMMYFUNCTION("""COMPUTED_VALUE"""),"www.munzee.com")</f>
        <v>www.munzee.com</v>
      </c>
      <c r="L1585" s="47" t="str">
        <f>IFERROR(__xludf.DUMMYFUNCTION("""COMPUTED_VALUE"""),"m")</f>
        <v>m</v>
      </c>
      <c r="M1585" s="47" t="str">
        <f>IFERROR(__xludf.DUMMYFUNCTION("""COMPUTED_VALUE"""),"Bungle")</f>
        <v>Bungle</v>
      </c>
    </row>
    <row r="1586">
      <c r="A1586" s="47" t="str">
        <f>IFERROR(__xludf.DUMMYFUNCTION("""COMPUTED_VALUE"""),"Virtual Brown")</f>
        <v>Virtual Brown</v>
      </c>
      <c r="B1586" s="47" t="str">
        <f>IFERROR(__xludf.DUMMYFUNCTION("""COMPUTED_VALUE"""),"girlteddy5")</f>
        <v>girlteddy5</v>
      </c>
      <c r="C1586" s="78" t="str">
        <f>IFERROR(__xludf.DUMMYFUNCTION("""COMPUTED_VALUE"""),"https://www.munzee.com/m/Girlteddy5/29/")</f>
        <v>https://www.munzee.com/m/Girlteddy5/29/</v>
      </c>
      <c r="D1586" s="47"/>
      <c r="E1586" s="47" t="b">
        <f>IFERROR(__xludf.DUMMYFUNCTION("""COMPUTED_VALUE"""),TRUE)</f>
        <v>1</v>
      </c>
      <c r="F1586" s="47" t="str">
        <f>IFERROR(__xludf.DUMMYFUNCTION("""COMPUTED_VALUE"""),"")</f>
        <v/>
      </c>
      <c r="G1586" s="47" t="str">
        <f>IFERROR(__xludf.DUMMYFUNCTION("""COMPUTED_VALUE"""),"")</f>
        <v/>
      </c>
      <c r="H1586" s="47"/>
      <c r="I1586" s="47">
        <f>IFERROR(__xludf.DUMMYFUNCTION("""COMPUTED_VALUE"""),2.0)</f>
        <v>2</v>
      </c>
      <c r="J1586" s="47" t="str">
        <f>IFERROR(__xludf.DUMMYFUNCTION("""COMPUTED_VALUE"""),"https:")</f>
        <v>https:</v>
      </c>
      <c r="K1586" s="78" t="str">
        <f>IFERROR(__xludf.DUMMYFUNCTION("""COMPUTED_VALUE"""),"www.munzee.com")</f>
        <v>www.munzee.com</v>
      </c>
      <c r="L1586" s="47" t="str">
        <f>IFERROR(__xludf.DUMMYFUNCTION("""COMPUTED_VALUE"""),"m")</f>
        <v>m</v>
      </c>
      <c r="M1586" s="47" t="str">
        <f>IFERROR(__xludf.DUMMYFUNCTION("""COMPUTED_VALUE"""),"Girlteddy5")</f>
        <v>Girlteddy5</v>
      </c>
    </row>
    <row r="1587">
      <c r="A1587" s="47" t="str">
        <f>IFERROR(__xludf.DUMMYFUNCTION("""COMPUTED_VALUE"""),"Virtual Raw Sienna")</f>
        <v>Virtual Raw Sienna</v>
      </c>
      <c r="B1587" s="47" t="str">
        <f>IFERROR(__xludf.DUMMYFUNCTION("""COMPUTED_VALUE"""),"Djeagle")</f>
        <v>Djeagle</v>
      </c>
      <c r="C1587" s="78" t="str">
        <f>IFERROR(__xludf.DUMMYFUNCTION("""COMPUTED_VALUE"""),"https://www.munzee.com/m/djeagle/7602/")</f>
        <v>https://www.munzee.com/m/djeagle/7602/</v>
      </c>
      <c r="D1587" s="47"/>
      <c r="E1587" s="47" t="b">
        <f>IFERROR(__xludf.DUMMYFUNCTION("""COMPUTED_VALUE"""),TRUE)</f>
        <v>1</v>
      </c>
      <c r="F1587" s="47" t="str">
        <f>IFERROR(__xludf.DUMMYFUNCTION("""COMPUTED_VALUE"""),"")</f>
        <v/>
      </c>
      <c r="G1587" s="47" t="str">
        <f>IFERROR(__xludf.DUMMYFUNCTION("""COMPUTED_VALUE"""),"")</f>
        <v/>
      </c>
      <c r="H1587" s="47"/>
      <c r="I1587" s="47">
        <f>IFERROR(__xludf.DUMMYFUNCTION("""COMPUTED_VALUE"""),2.0)</f>
        <v>2</v>
      </c>
      <c r="J1587" s="47" t="str">
        <f>IFERROR(__xludf.DUMMYFUNCTION("""COMPUTED_VALUE"""),"https:")</f>
        <v>https:</v>
      </c>
      <c r="K1587" s="78" t="str">
        <f>IFERROR(__xludf.DUMMYFUNCTION("""COMPUTED_VALUE"""),"www.munzee.com")</f>
        <v>www.munzee.com</v>
      </c>
      <c r="L1587" s="47" t="str">
        <f>IFERROR(__xludf.DUMMYFUNCTION("""COMPUTED_VALUE"""),"m")</f>
        <v>m</v>
      </c>
      <c r="M1587" s="47" t="str">
        <f>IFERROR(__xludf.DUMMYFUNCTION("""COMPUTED_VALUE"""),"djeagle")</f>
        <v>djeagle</v>
      </c>
    </row>
    <row r="1588">
      <c r="A1588" s="47" t="str">
        <f>IFERROR(__xludf.DUMMYFUNCTION("""COMPUTED_VALUE"""),"Virtual Brown")</f>
        <v>Virtual Brown</v>
      </c>
      <c r="B1588" s="47" t="str">
        <f>IFERROR(__xludf.DUMMYFUNCTION("""COMPUTED_VALUE"""),"cbf600")</f>
        <v>cbf600</v>
      </c>
      <c r="C1588" s="78" t="str">
        <f>IFERROR(__xludf.DUMMYFUNCTION("""COMPUTED_VALUE"""),"https://www.munzee.com/m/cbf600/3782/")</f>
        <v>https://www.munzee.com/m/cbf600/3782/</v>
      </c>
      <c r="D1588" s="47"/>
      <c r="E1588" s="47" t="b">
        <f>IFERROR(__xludf.DUMMYFUNCTION("""COMPUTED_VALUE"""),TRUE)</f>
        <v>1</v>
      </c>
      <c r="F1588" s="47" t="str">
        <f>IFERROR(__xludf.DUMMYFUNCTION("""COMPUTED_VALUE"""),"")</f>
        <v/>
      </c>
      <c r="G1588" s="47" t="str">
        <f>IFERROR(__xludf.DUMMYFUNCTION("""COMPUTED_VALUE"""),"")</f>
        <v/>
      </c>
      <c r="H1588" s="47"/>
      <c r="I1588" s="47">
        <f>IFERROR(__xludf.DUMMYFUNCTION("""COMPUTED_VALUE"""),2.0)</f>
        <v>2</v>
      </c>
      <c r="J1588" s="47" t="str">
        <f>IFERROR(__xludf.DUMMYFUNCTION("""COMPUTED_VALUE"""),"https:")</f>
        <v>https:</v>
      </c>
      <c r="K1588" s="78" t="str">
        <f>IFERROR(__xludf.DUMMYFUNCTION("""COMPUTED_VALUE"""),"www.munzee.com")</f>
        <v>www.munzee.com</v>
      </c>
      <c r="L1588" s="47" t="str">
        <f>IFERROR(__xludf.DUMMYFUNCTION("""COMPUTED_VALUE"""),"m")</f>
        <v>m</v>
      </c>
      <c r="M1588" s="47" t="str">
        <f>IFERROR(__xludf.DUMMYFUNCTION("""COMPUTED_VALUE"""),"cbf600")</f>
        <v>cbf600</v>
      </c>
    </row>
    <row r="1589">
      <c r="A1589" s="47" t="str">
        <f>IFERROR(__xludf.DUMMYFUNCTION("""COMPUTED_VALUE"""),"Virtual Raw Sienna")</f>
        <v>Virtual Raw Sienna</v>
      </c>
      <c r="B1589" s="47" t="str">
        <f>IFERROR(__xludf.DUMMYFUNCTION("""COMPUTED_VALUE"""),"OdinsFiRe")</f>
        <v>OdinsFiRe</v>
      </c>
      <c r="C1589" s="78" t="str">
        <f>IFERROR(__xludf.DUMMYFUNCTION("""COMPUTED_VALUE"""),"https://www.munzee.com/m/OdinsFiRe/2075/")</f>
        <v>https://www.munzee.com/m/OdinsFiRe/2075/</v>
      </c>
      <c r="D1589" s="47"/>
      <c r="E1589" s="47" t="b">
        <f>IFERROR(__xludf.DUMMYFUNCTION("""COMPUTED_VALUE"""),TRUE)</f>
        <v>1</v>
      </c>
      <c r="F1589" s="47" t="str">
        <f>IFERROR(__xludf.DUMMYFUNCTION("""COMPUTED_VALUE"""),"")</f>
        <v/>
      </c>
      <c r="G1589" s="47" t="str">
        <f>IFERROR(__xludf.DUMMYFUNCTION("""COMPUTED_VALUE"""),"")</f>
        <v/>
      </c>
      <c r="H1589" s="47"/>
      <c r="I1589" s="47">
        <f>IFERROR(__xludf.DUMMYFUNCTION("""COMPUTED_VALUE"""),2.0)</f>
        <v>2</v>
      </c>
      <c r="J1589" s="47" t="str">
        <f>IFERROR(__xludf.DUMMYFUNCTION("""COMPUTED_VALUE"""),"https:")</f>
        <v>https:</v>
      </c>
      <c r="K1589" s="78" t="str">
        <f>IFERROR(__xludf.DUMMYFUNCTION("""COMPUTED_VALUE"""),"www.munzee.com")</f>
        <v>www.munzee.com</v>
      </c>
      <c r="L1589" s="47" t="str">
        <f>IFERROR(__xludf.DUMMYFUNCTION("""COMPUTED_VALUE"""),"m")</f>
        <v>m</v>
      </c>
      <c r="M1589" s="47" t="str">
        <f>IFERROR(__xludf.DUMMYFUNCTION("""COMPUTED_VALUE"""),"OdinsFiRe")</f>
        <v>OdinsFiRe</v>
      </c>
    </row>
    <row r="1590">
      <c r="A1590" s="47" t="str">
        <f>IFERROR(__xludf.DUMMYFUNCTION("""COMPUTED_VALUE"""),"Virtual Brown")</f>
        <v>Virtual Brown</v>
      </c>
      <c r="B1590" s="47" t="str">
        <f>IFERROR(__xludf.DUMMYFUNCTION("""COMPUTED_VALUE"""),"Djeagle")</f>
        <v>Djeagle</v>
      </c>
      <c r="C1590" s="78" t="str">
        <f>IFERROR(__xludf.DUMMYFUNCTION("""COMPUTED_VALUE"""),"https://www.munzee.com/m/djeagle/7567/")</f>
        <v>https://www.munzee.com/m/djeagle/7567/</v>
      </c>
      <c r="D1590" s="47"/>
      <c r="E1590" s="47" t="b">
        <f>IFERROR(__xludf.DUMMYFUNCTION("""COMPUTED_VALUE"""),TRUE)</f>
        <v>1</v>
      </c>
      <c r="F1590" s="47" t="str">
        <f>IFERROR(__xludf.DUMMYFUNCTION("""COMPUTED_VALUE"""),"")</f>
        <v/>
      </c>
      <c r="G1590" s="47" t="str">
        <f>IFERROR(__xludf.DUMMYFUNCTION("""COMPUTED_VALUE"""),"")</f>
        <v/>
      </c>
      <c r="H1590" s="47"/>
      <c r="I1590" s="47">
        <f>IFERROR(__xludf.DUMMYFUNCTION("""COMPUTED_VALUE"""),2.0)</f>
        <v>2</v>
      </c>
      <c r="J1590" s="47" t="str">
        <f>IFERROR(__xludf.DUMMYFUNCTION("""COMPUTED_VALUE"""),"https:")</f>
        <v>https:</v>
      </c>
      <c r="K1590" s="78" t="str">
        <f>IFERROR(__xludf.DUMMYFUNCTION("""COMPUTED_VALUE"""),"www.munzee.com")</f>
        <v>www.munzee.com</v>
      </c>
      <c r="L1590" s="47" t="str">
        <f>IFERROR(__xludf.DUMMYFUNCTION("""COMPUTED_VALUE"""),"m")</f>
        <v>m</v>
      </c>
      <c r="M1590" s="47" t="str">
        <f>IFERROR(__xludf.DUMMYFUNCTION("""COMPUTED_VALUE"""),"djeagle")</f>
        <v>djeagle</v>
      </c>
    </row>
    <row r="1591">
      <c r="A1591" s="47" t="str">
        <f>IFERROR(__xludf.DUMMYFUNCTION("""COMPUTED_VALUE"""),"Virtual Brown")</f>
        <v>Virtual Brown</v>
      </c>
      <c r="B1591" s="47" t="str">
        <f>IFERROR(__xludf.DUMMYFUNCTION("""COMPUTED_VALUE"""),"Aniara")</f>
        <v>Aniara</v>
      </c>
      <c r="C1591" s="78" t="str">
        <f>IFERROR(__xludf.DUMMYFUNCTION("""COMPUTED_VALUE"""),"https://www.munzee.com/m/Aniara/17554/")</f>
        <v>https://www.munzee.com/m/Aniara/17554/</v>
      </c>
      <c r="D1591" s="47"/>
      <c r="E1591" s="47" t="b">
        <f>IFERROR(__xludf.DUMMYFUNCTION("""COMPUTED_VALUE"""),TRUE)</f>
        <v>1</v>
      </c>
      <c r="F1591" s="47" t="str">
        <f>IFERROR(__xludf.DUMMYFUNCTION("""COMPUTED_VALUE"""),"")</f>
        <v/>
      </c>
      <c r="G1591" s="47" t="str">
        <f>IFERROR(__xludf.DUMMYFUNCTION("""COMPUTED_VALUE"""),"")</f>
        <v/>
      </c>
      <c r="H1591" s="47"/>
      <c r="I1591" s="47">
        <f>IFERROR(__xludf.DUMMYFUNCTION("""COMPUTED_VALUE"""),2.0)</f>
        <v>2</v>
      </c>
      <c r="J1591" s="47" t="str">
        <f>IFERROR(__xludf.DUMMYFUNCTION("""COMPUTED_VALUE"""),"https:")</f>
        <v>https:</v>
      </c>
      <c r="K1591" s="78" t="str">
        <f>IFERROR(__xludf.DUMMYFUNCTION("""COMPUTED_VALUE"""),"www.munzee.com")</f>
        <v>www.munzee.com</v>
      </c>
      <c r="L1591" s="47" t="str">
        <f>IFERROR(__xludf.DUMMYFUNCTION("""COMPUTED_VALUE"""),"m")</f>
        <v>m</v>
      </c>
      <c r="M1591" s="47" t="str">
        <f>IFERROR(__xludf.DUMMYFUNCTION("""COMPUTED_VALUE"""),"Aniara")</f>
        <v>Aniara</v>
      </c>
    </row>
    <row r="1592">
      <c r="A1592" s="47" t="str">
        <f>IFERROR(__xludf.DUMMYFUNCTION("""COMPUTED_VALUE"""),"Virtual Brown")</f>
        <v>Virtual Brown</v>
      </c>
      <c r="B1592" s="47" t="str">
        <f>IFERROR(__xludf.DUMMYFUNCTION("""COMPUTED_VALUE"""),"rita85gto")</f>
        <v>rita85gto</v>
      </c>
      <c r="C1592" s="78" t="str">
        <f>IFERROR(__xludf.DUMMYFUNCTION("""COMPUTED_VALUE"""),"https://www.munzee.com/m/rita85gto/5143/")</f>
        <v>https://www.munzee.com/m/rita85gto/5143/</v>
      </c>
      <c r="D1592" s="47" t="str">
        <f>IFERROR(__xludf.DUMMYFUNCTION("""COMPUTED_VALUE"""),"dep. Aug. '22")</f>
        <v>dep. Aug. '22</v>
      </c>
      <c r="E1592" s="47" t="b">
        <f>IFERROR(__xludf.DUMMYFUNCTION("""COMPUTED_VALUE"""),TRUE)</f>
        <v>1</v>
      </c>
      <c r="F1592" s="47" t="str">
        <f>IFERROR(__xludf.DUMMYFUNCTION("""COMPUTED_VALUE"""),"")</f>
        <v/>
      </c>
      <c r="G1592" s="47" t="str">
        <f>IFERROR(__xludf.DUMMYFUNCTION("""COMPUTED_VALUE"""),"")</f>
        <v/>
      </c>
      <c r="H1592" s="47"/>
      <c r="I1592" s="47">
        <f>IFERROR(__xludf.DUMMYFUNCTION("""COMPUTED_VALUE"""),2.0)</f>
        <v>2</v>
      </c>
      <c r="J1592" s="47" t="str">
        <f>IFERROR(__xludf.DUMMYFUNCTION("""COMPUTED_VALUE"""),"https:")</f>
        <v>https:</v>
      </c>
      <c r="K1592" s="78" t="str">
        <f>IFERROR(__xludf.DUMMYFUNCTION("""COMPUTED_VALUE"""),"www.munzee.com")</f>
        <v>www.munzee.com</v>
      </c>
      <c r="L1592" s="47" t="str">
        <f>IFERROR(__xludf.DUMMYFUNCTION("""COMPUTED_VALUE"""),"m")</f>
        <v>m</v>
      </c>
      <c r="M1592" s="47" t="str">
        <f>IFERROR(__xludf.DUMMYFUNCTION("""COMPUTED_VALUE"""),"rita85gto")</f>
        <v>rita85gto</v>
      </c>
    </row>
    <row r="1593">
      <c r="A1593" s="47" t="str">
        <f>IFERROR(__xludf.DUMMYFUNCTION("""COMPUTED_VALUE"""),"Virtual Brown")</f>
        <v>Virtual Brown</v>
      </c>
      <c r="B1593" s="47" t="str">
        <f>IFERROR(__xludf.DUMMYFUNCTION("""COMPUTED_VALUE"""),"Djeagle")</f>
        <v>Djeagle</v>
      </c>
      <c r="C1593" s="78" t="str">
        <f>IFERROR(__xludf.DUMMYFUNCTION("""COMPUTED_VALUE"""),"https://www.munzee.com/m/djeagle/7566/")</f>
        <v>https://www.munzee.com/m/djeagle/7566/</v>
      </c>
      <c r="D1593" s="47"/>
      <c r="E1593" s="47" t="b">
        <f>IFERROR(__xludf.DUMMYFUNCTION("""COMPUTED_VALUE"""),TRUE)</f>
        <v>1</v>
      </c>
      <c r="F1593" s="47" t="str">
        <f>IFERROR(__xludf.DUMMYFUNCTION("""COMPUTED_VALUE"""),"")</f>
        <v/>
      </c>
      <c r="G1593" s="47" t="str">
        <f>IFERROR(__xludf.DUMMYFUNCTION("""COMPUTED_VALUE"""),"")</f>
        <v/>
      </c>
      <c r="H1593" s="47"/>
      <c r="I1593" s="47">
        <f>IFERROR(__xludf.DUMMYFUNCTION("""COMPUTED_VALUE"""),2.0)</f>
        <v>2</v>
      </c>
      <c r="J1593" s="47" t="str">
        <f>IFERROR(__xludf.DUMMYFUNCTION("""COMPUTED_VALUE"""),"https:")</f>
        <v>https:</v>
      </c>
      <c r="K1593" s="78" t="str">
        <f>IFERROR(__xludf.DUMMYFUNCTION("""COMPUTED_VALUE"""),"www.munzee.com")</f>
        <v>www.munzee.com</v>
      </c>
      <c r="L1593" s="47" t="str">
        <f>IFERROR(__xludf.DUMMYFUNCTION("""COMPUTED_VALUE"""),"m")</f>
        <v>m</v>
      </c>
      <c r="M1593" s="47" t="str">
        <f>IFERROR(__xludf.DUMMYFUNCTION("""COMPUTED_VALUE"""),"djeagle")</f>
        <v>djeagle</v>
      </c>
    </row>
    <row r="1594">
      <c r="A1594" s="47" t="str">
        <f>IFERROR(__xludf.DUMMYFUNCTION("""COMPUTED_VALUE"""),"Virtual Brown")</f>
        <v>Virtual Brown</v>
      </c>
      <c r="B1594" s="47" t="str">
        <f>IFERROR(__xludf.DUMMYFUNCTION("""COMPUTED_VALUE"""),"IggiePiggie")</f>
        <v>IggiePiggie</v>
      </c>
      <c r="C1594" s="78" t="str">
        <f>IFERROR(__xludf.DUMMYFUNCTION("""COMPUTED_VALUE"""),"https://www.munzee.com/m/IggiePiggie/11108/")</f>
        <v>https://www.munzee.com/m/IggiePiggie/11108/</v>
      </c>
      <c r="D1594" s="47"/>
      <c r="E1594" s="47" t="b">
        <f>IFERROR(__xludf.DUMMYFUNCTION("""COMPUTED_VALUE"""),FALSE)</f>
        <v>0</v>
      </c>
      <c r="F1594" s="47"/>
      <c r="G1594" s="47" t="str">
        <f>IFERROR(__xludf.DUMMYFUNCTION("""COMPUTED_VALUE"""),"Deployed")</f>
        <v>Deployed</v>
      </c>
      <c r="H1594" s="47"/>
      <c r="I1594" s="47">
        <f>IFERROR(__xludf.DUMMYFUNCTION("""COMPUTED_VALUE"""),1.0)</f>
        <v>1</v>
      </c>
      <c r="J1594" s="47" t="str">
        <f>IFERROR(__xludf.DUMMYFUNCTION("""COMPUTED_VALUE"""),"https:")</f>
        <v>https:</v>
      </c>
      <c r="K1594" s="78" t="str">
        <f>IFERROR(__xludf.DUMMYFUNCTION("""COMPUTED_VALUE"""),"www.munzee.com")</f>
        <v>www.munzee.com</v>
      </c>
      <c r="L1594" s="47" t="str">
        <f>IFERROR(__xludf.DUMMYFUNCTION("""COMPUTED_VALUE"""),"m")</f>
        <v>m</v>
      </c>
      <c r="M1594" s="47" t="str">
        <f>IFERROR(__xludf.DUMMYFUNCTION("""COMPUTED_VALUE"""),"IggiePiggie")</f>
        <v>IggiePiggie</v>
      </c>
    </row>
    <row r="1595">
      <c r="A1595" s="47" t="str">
        <f>IFERROR(__xludf.DUMMYFUNCTION("""COMPUTED_VALUE"""),"Virtual Brown")</f>
        <v>Virtual Brown</v>
      </c>
      <c r="B1595" s="47" t="str">
        <f>IFERROR(__xludf.DUMMYFUNCTION("""COMPUTED_VALUE"""),"Bisquick2")</f>
        <v>Bisquick2</v>
      </c>
      <c r="C1595" s="78" t="str">
        <f>IFERROR(__xludf.DUMMYFUNCTION("""COMPUTED_VALUE"""),"https://www.munzee.com/m/Bisquick2/7258/")</f>
        <v>https://www.munzee.com/m/Bisquick2/7258/</v>
      </c>
      <c r="D1595" s="47"/>
      <c r="E1595" s="47" t="b">
        <f>IFERROR(__xludf.DUMMYFUNCTION("""COMPUTED_VALUE"""),TRUE)</f>
        <v>1</v>
      </c>
      <c r="F1595" s="47" t="str">
        <f>IFERROR(__xludf.DUMMYFUNCTION("""COMPUTED_VALUE"""),"")</f>
        <v/>
      </c>
      <c r="G1595" s="47" t="str">
        <f>IFERROR(__xludf.DUMMYFUNCTION("""COMPUTED_VALUE"""),"")</f>
        <v/>
      </c>
      <c r="H1595" s="47"/>
      <c r="I1595" s="47">
        <f>IFERROR(__xludf.DUMMYFUNCTION("""COMPUTED_VALUE"""),2.0)</f>
        <v>2</v>
      </c>
      <c r="J1595" s="47" t="str">
        <f>IFERROR(__xludf.DUMMYFUNCTION("""COMPUTED_VALUE"""),"https:")</f>
        <v>https:</v>
      </c>
      <c r="K1595" s="78" t="str">
        <f>IFERROR(__xludf.DUMMYFUNCTION("""COMPUTED_VALUE"""),"www.munzee.com")</f>
        <v>www.munzee.com</v>
      </c>
      <c r="L1595" s="47" t="str">
        <f>IFERROR(__xludf.DUMMYFUNCTION("""COMPUTED_VALUE"""),"m")</f>
        <v>m</v>
      </c>
      <c r="M1595" s="47" t="str">
        <f>IFERROR(__xludf.DUMMYFUNCTION("""COMPUTED_VALUE"""),"Bisquick2")</f>
        <v>Bisquick2</v>
      </c>
    </row>
    <row r="1596">
      <c r="A1596" s="47" t="str">
        <f>IFERROR(__xludf.DUMMYFUNCTION("""COMPUTED_VALUE"""),"Virtual Brown")</f>
        <v>Virtual Brown</v>
      </c>
      <c r="B1596" s="47" t="str">
        <f>IFERROR(__xludf.DUMMYFUNCTION("""COMPUTED_VALUE"""),"res2100")</f>
        <v>res2100</v>
      </c>
      <c r="C1596" s="78" t="str">
        <f>IFERROR(__xludf.DUMMYFUNCTION("""COMPUTED_VALUE"""),"https://www.munzee.com/m/res2100/836")</f>
        <v>https://www.munzee.com/m/res2100/836</v>
      </c>
      <c r="D1596" s="47"/>
      <c r="E1596" s="47" t="b">
        <f>IFERROR(__xludf.DUMMYFUNCTION("""COMPUTED_VALUE"""),TRUE)</f>
        <v>1</v>
      </c>
      <c r="F1596" s="47" t="str">
        <f>IFERROR(__xludf.DUMMYFUNCTION("""COMPUTED_VALUE"""),"")</f>
        <v/>
      </c>
      <c r="G1596" s="47" t="str">
        <f>IFERROR(__xludf.DUMMYFUNCTION("""COMPUTED_VALUE"""),"")</f>
        <v/>
      </c>
      <c r="H1596" s="47"/>
      <c r="I1596" s="47">
        <f>IFERROR(__xludf.DUMMYFUNCTION("""COMPUTED_VALUE"""),2.0)</f>
        <v>2</v>
      </c>
      <c r="J1596" s="47" t="str">
        <f>IFERROR(__xludf.DUMMYFUNCTION("""COMPUTED_VALUE"""),"https:")</f>
        <v>https:</v>
      </c>
      <c r="K1596" s="78" t="str">
        <f>IFERROR(__xludf.DUMMYFUNCTION("""COMPUTED_VALUE"""),"www.munzee.com")</f>
        <v>www.munzee.com</v>
      </c>
      <c r="L1596" s="47" t="str">
        <f>IFERROR(__xludf.DUMMYFUNCTION("""COMPUTED_VALUE"""),"m")</f>
        <v>m</v>
      </c>
      <c r="M1596" s="47" t="str">
        <f>IFERROR(__xludf.DUMMYFUNCTION("""COMPUTED_VALUE"""),"res2100")</f>
        <v>res2100</v>
      </c>
    </row>
    <row r="1597">
      <c r="A1597" s="47" t="str">
        <f>IFERROR(__xludf.DUMMYFUNCTION("""COMPUTED_VALUE"""),"Virtual Raw Sienna")</f>
        <v>Virtual Raw Sienna</v>
      </c>
      <c r="B1597" s="47" t="str">
        <f>IFERROR(__xludf.DUMMYFUNCTION("""COMPUTED_VALUE"""),"Ellesche")</f>
        <v>Ellesche</v>
      </c>
      <c r="C1597" s="78" t="str">
        <f>IFERROR(__xludf.DUMMYFUNCTION("""COMPUTED_VALUE"""),"https://www.munzee.com/m/Ellesche/797/")</f>
        <v>https://www.munzee.com/m/Ellesche/797/</v>
      </c>
      <c r="D1597" s="47"/>
      <c r="E1597" s="47" t="b">
        <f>IFERROR(__xludf.DUMMYFUNCTION("""COMPUTED_VALUE"""),TRUE)</f>
        <v>1</v>
      </c>
      <c r="F1597" s="47" t="str">
        <f>IFERROR(__xludf.DUMMYFUNCTION("""COMPUTED_VALUE"""),"")</f>
        <v/>
      </c>
      <c r="G1597" s="47" t="str">
        <f>IFERROR(__xludf.DUMMYFUNCTION("""COMPUTED_VALUE"""),"")</f>
        <v/>
      </c>
      <c r="H1597" s="47"/>
      <c r="I1597" s="47">
        <f>IFERROR(__xludf.DUMMYFUNCTION("""COMPUTED_VALUE"""),2.0)</f>
        <v>2</v>
      </c>
      <c r="J1597" s="47" t="str">
        <f>IFERROR(__xludf.DUMMYFUNCTION("""COMPUTED_VALUE"""),"https:")</f>
        <v>https:</v>
      </c>
      <c r="K1597" s="78" t="str">
        <f>IFERROR(__xludf.DUMMYFUNCTION("""COMPUTED_VALUE"""),"www.munzee.com")</f>
        <v>www.munzee.com</v>
      </c>
      <c r="L1597" s="47" t="str">
        <f>IFERROR(__xludf.DUMMYFUNCTION("""COMPUTED_VALUE"""),"m")</f>
        <v>m</v>
      </c>
      <c r="M1597" s="47" t="str">
        <f>IFERROR(__xludf.DUMMYFUNCTION("""COMPUTED_VALUE"""),"Ellesche")</f>
        <v>Ellesche</v>
      </c>
    </row>
    <row r="1598">
      <c r="A1598" s="47" t="str">
        <f>IFERROR(__xludf.DUMMYFUNCTION("""COMPUTED_VALUE"""),"Virtual Brown")</f>
        <v>Virtual Brown</v>
      </c>
      <c r="B1598" s="47" t="str">
        <f>IFERROR(__xludf.DUMMYFUNCTION("""COMPUTED_VALUE"""),"Arendsoog")</f>
        <v>Arendsoog</v>
      </c>
      <c r="C1598" s="78" t="str">
        <f>IFERROR(__xludf.DUMMYFUNCTION("""COMPUTED_VALUE"""),"https://www.munzee.com/m/Arendsoog/9057/")</f>
        <v>https://www.munzee.com/m/Arendsoog/9057/</v>
      </c>
      <c r="D1598" s="47"/>
      <c r="E1598" s="47" t="b">
        <f>IFERROR(__xludf.DUMMYFUNCTION("""COMPUTED_VALUE"""),TRUE)</f>
        <v>1</v>
      </c>
      <c r="F1598" s="47" t="str">
        <f>IFERROR(__xludf.DUMMYFUNCTION("""COMPUTED_VALUE"""),"")</f>
        <v/>
      </c>
      <c r="G1598" s="47" t="str">
        <f>IFERROR(__xludf.DUMMYFUNCTION("""COMPUTED_VALUE"""),"")</f>
        <v/>
      </c>
      <c r="H1598" s="47"/>
      <c r="I1598" s="47">
        <f>IFERROR(__xludf.DUMMYFUNCTION("""COMPUTED_VALUE"""),2.0)</f>
        <v>2</v>
      </c>
      <c r="J1598" s="47" t="str">
        <f>IFERROR(__xludf.DUMMYFUNCTION("""COMPUTED_VALUE"""),"https:")</f>
        <v>https:</v>
      </c>
      <c r="K1598" s="78" t="str">
        <f>IFERROR(__xludf.DUMMYFUNCTION("""COMPUTED_VALUE"""),"www.munzee.com")</f>
        <v>www.munzee.com</v>
      </c>
      <c r="L1598" s="47" t="str">
        <f>IFERROR(__xludf.DUMMYFUNCTION("""COMPUTED_VALUE"""),"m")</f>
        <v>m</v>
      </c>
      <c r="M1598" s="47" t="str">
        <f>IFERROR(__xludf.DUMMYFUNCTION("""COMPUTED_VALUE"""),"Arendsoog")</f>
        <v>Arendsoog</v>
      </c>
    </row>
    <row r="1599">
      <c r="A1599" s="47" t="str">
        <f>IFERROR(__xludf.DUMMYFUNCTION("""COMPUTED_VALUE"""),"Virtual Brown")</f>
        <v>Virtual Brown</v>
      </c>
      <c r="B1599" s="47" t="str">
        <f>IFERROR(__xludf.DUMMYFUNCTION("""COMPUTED_VALUE"""),"Trappertje")</f>
        <v>Trappertje</v>
      </c>
      <c r="C1599" s="78" t="str">
        <f>IFERROR(__xludf.DUMMYFUNCTION("""COMPUTED_VALUE"""),"https://www.munzee.com/m/Trappertje/15205/")</f>
        <v>https://www.munzee.com/m/Trappertje/15205/</v>
      </c>
      <c r="D1599" s="47"/>
      <c r="E1599" s="47" t="b">
        <f>IFERROR(__xludf.DUMMYFUNCTION("""COMPUTED_VALUE"""),TRUE)</f>
        <v>1</v>
      </c>
      <c r="F1599" s="47" t="str">
        <f>IFERROR(__xludf.DUMMYFUNCTION("""COMPUTED_VALUE"""),"")</f>
        <v/>
      </c>
      <c r="G1599" s="47" t="str">
        <f>IFERROR(__xludf.DUMMYFUNCTION("""COMPUTED_VALUE"""),"")</f>
        <v/>
      </c>
      <c r="H1599" s="47"/>
      <c r="I1599" s="47">
        <f>IFERROR(__xludf.DUMMYFUNCTION("""COMPUTED_VALUE"""),2.0)</f>
        <v>2</v>
      </c>
      <c r="J1599" s="47" t="str">
        <f>IFERROR(__xludf.DUMMYFUNCTION("""COMPUTED_VALUE"""),"https:")</f>
        <v>https:</v>
      </c>
      <c r="K1599" s="78" t="str">
        <f>IFERROR(__xludf.DUMMYFUNCTION("""COMPUTED_VALUE"""),"www.munzee.com")</f>
        <v>www.munzee.com</v>
      </c>
      <c r="L1599" s="47" t="str">
        <f>IFERROR(__xludf.DUMMYFUNCTION("""COMPUTED_VALUE"""),"m")</f>
        <v>m</v>
      </c>
      <c r="M1599" s="47" t="str">
        <f>IFERROR(__xludf.DUMMYFUNCTION("""COMPUTED_VALUE"""),"Trappertje")</f>
        <v>Trappertje</v>
      </c>
    </row>
    <row r="1600">
      <c r="A1600" s="47" t="str">
        <f>IFERROR(__xludf.DUMMYFUNCTION("""COMPUTED_VALUE"""),"Virtual Raw Sienna")</f>
        <v>Virtual Raw Sienna</v>
      </c>
      <c r="B1600" s="47"/>
      <c r="C1600" s="47"/>
      <c r="D1600" s="47"/>
      <c r="E1600" s="47" t="b">
        <f>IFERROR(__xludf.DUMMYFUNCTION("""COMPUTED_VALUE"""),FALSE)</f>
        <v>0</v>
      </c>
      <c r="F1600" s="47"/>
      <c r="G1600" s="47" t="str">
        <f>IFERROR(__xludf.DUMMYFUNCTION("""COMPUTED_VALUE"""),"")</f>
        <v/>
      </c>
      <c r="H1600" s="47"/>
      <c r="I1600" s="47">
        <f>IFERROR(__xludf.DUMMYFUNCTION("""COMPUTED_VALUE"""),0.0)</f>
        <v>0</v>
      </c>
      <c r="J1600" s="47" t="str">
        <f>IFERROR(__xludf.DUMMYFUNCTION("""COMPUTED_VALUE"""),"#VALUE!")</f>
        <v>#VALUE!</v>
      </c>
      <c r="K1600" s="47"/>
      <c r="L1600" s="47"/>
      <c r="M1600" s="47"/>
    </row>
    <row r="1601">
      <c r="A1601" s="47" t="str">
        <f>IFERROR(__xludf.DUMMYFUNCTION("""COMPUTED_VALUE"""),"Virtual Brown")</f>
        <v>Virtual Brown</v>
      </c>
      <c r="B1601" s="47" t="str">
        <f>IFERROR(__xludf.DUMMYFUNCTION("""COMPUTED_VALUE"""),"TheFrog")</f>
        <v>TheFrog</v>
      </c>
      <c r="C1601" s="78" t="str">
        <f>IFERROR(__xludf.DUMMYFUNCTION("""COMPUTED_VALUE"""),"https://www.munzee.com/m/TheFrog/6336/")</f>
        <v>https://www.munzee.com/m/TheFrog/6336/</v>
      </c>
      <c r="D1601" s="47"/>
      <c r="E1601" s="47" t="b">
        <f>IFERROR(__xludf.DUMMYFUNCTION("""COMPUTED_VALUE"""),TRUE)</f>
        <v>1</v>
      </c>
      <c r="F1601" s="47" t="str">
        <f>IFERROR(__xludf.DUMMYFUNCTION("""COMPUTED_VALUE"""),"")</f>
        <v/>
      </c>
      <c r="G1601" s="47" t="str">
        <f>IFERROR(__xludf.DUMMYFUNCTION("""COMPUTED_VALUE"""),"")</f>
        <v/>
      </c>
      <c r="H1601" s="47"/>
      <c r="I1601" s="47">
        <f>IFERROR(__xludf.DUMMYFUNCTION("""COMPUTED_VALUE"""),2.0)</f>
        <v>2</v>
      </c>
      <c r="J1601" s="47" t="str">
        <f>IFERROR(__xludf.DUMMYFUNCTION("""COMPUTED_VALUE"""),"https:")</f>
        <v>https:</v>
      </c>
      <c r="K1601" s="78" t="str">
        <f>IFERROR(__xludf.DUMMYFUNCTION("""COMPUTED_VALUE"""),"www.munzee.com")</f>
        <v>www.munzee.com</v>
      </c>
      <c r="L1601" s="47" t="str">
        <f>IFERROR(__xludf.DUMMYFUNCTION("""COMPUTED_VALUE"""),"m")</f>
        <v>m</v>
      </c>
      <c r="M1601" s="47" t="str">
        <f>IFERROR(__xludf.DUMMYFUNCTION("""COMPUTED_VALUE"""),"TheFrog")</f>
        <v>TheFrog</v>
      </c>
    </row>
    <row r="1602">
      <c r="A1602" s="47" t="str">
        <f>IFERROR(__xludf.DUMMYFUNCTION("""COMPUTED_VALUE"""),"Virtual Brown")</f>
        <v>Virtual Brown</v>
      </c>
      <c r="B1602" s="47" t="str">
        <f>IFERROR(__xludf.DUMMYFUNCTION("""COMPUTED_VALUE"""),"123xilef")</f>
        <v>123xilef</v>
      </c>
      <c r="C1602" s="78" t="str">
        <f>IFERROR(__xludf.DUMMYFUNCTION("""COMPUTED_VALUE"""),"https://www.munzee.com/m/123xilef/13708/")</f>
        <v>https://www.munzee.com/m/123xilef/13708/</v>
      </c>
      <c r="D1602" s="47"/>
      <c r="E1602" s="47" t="b">
        <f>IFERROR(__xludf.DUMMYFUNCTION("""COMPUTED_VALUE"""),TRUE)</f>
        <v>1</v>
      </c>
      <c r="F1602" s="47" t="str">
        <f>IFERROR(__xludf.DUMMYFUNCTION("""COMPUTED_VALUE"""),"")</f>
        <v/>
      </c>
      <c r="G1602" s="47" t="str">
        <f>IFERROR(__xludf.DUMMYFUNCTION("""COMPUTED_VALUE"""),"")</f>
        <v/>
      </c>
      <c r="H1602" s="47"/>
      <c r="I1602" s="47">
        <f>IFERROR(__xludf.DUMMYFUNCTION("""COMPUTED_VALUE"""),2.0)</f>
        <v>2</v>
      </c>
      <c r="J1602" s="47" t="str">
        <f>IFERROR(__xludf.DUMMYFUNCTION("""COMPUTED_VALUE"""),"https:")</f>
        <v>https:</v>
      </c>
      <c r="K1602" s="78" t="str">
        <f>IFERROR(__xludf.DUMMYFUNCTION("""COMPUTED_VALUE"""),"www.munzee.com")</f>
        <v>www.munzee.com</v>
      </c>
      <c r="L1602" s="47" t="str">
        <f>IFERROR(__xludf.DUMMYFUNCTION("""COMPUTED_VALUE"""),"m")</f>
        <v>m</v>
      </c>
      <c r="M1602" s="47" t="str">
        <f>IFERROR(__xludf.DUMMYFUNCTION("""COMPUTED_VALUE"""),"123xilef")</f>
        <v>123xilef</v>
      </c>
    </row>
    <row r="1603">
      <c r="A1603" s="47" t="str">
        <f>IFERROR(__xludf.DUMMYFUNCTION("""COMPUTED_VALUE"""),"Virtual Raw Sienna")</f>
        <v>Virtual Raw Sienna</v>
      </c>
      <c r="B1603" s="47"/>
      <c r="C1603" s="47"/>
      <c r="D1603" s="47"/>
      <c r="E1603" s="47" t="b">
        <f>IFERROR(__xludf.DUMMYFUNCTION("""COMPUTED_VALUE"""),FALSE)</f>
        <v>0</v>
      </c>
      <c r="F1603" s="47"/>
      <c r="G1603" s="47" t="str">
        <f>IFERROR(__xludf.DUMMYFUNCTION("""COMPUTED_VALUE"""),"")</f>
        <v/>
      </c>
      <c r="H1603" s="47"/>
      <c r="I1603" s="47">
        <f>IFERROR(__xludf.DUMMYFUNCTION("""COMPUTED_VALUE"""),0.0)</f>
        <v>0</v>
      </c>
      <c r="J1603" s="47" t="str">
        <f>IFERROR(__xludf.DUMMYFUNCTION("""COMPUTED_VALUE"""),"#VALUE!")</f>
        <v>#VALUE!</v>
      </c>
      <c r="K1603" s="47"/>
      <c r="L1603" s="47"/>
      <c r="M1603" s="47"/>
    </row>
    <row r="1604">
      <c r="A1604" s="47" t="str">
        <f>IFERROR(__xludf.DUMMYFUNCTION("""COMPUTED_VALUE"""),"Virtual Brown")</f>
        <v>Virtual Brown</v>
      </c>
      <c r="B1604" s="47"/>
      <c r="C1604" s="47"/>
      <c r="D1604" s="47"/>
      <c r="E1604" s="47" t="b">
        <f>IFERROR(__xludf.DUMMYFUNCTION("""COMPUTED_VALUE"""),FALSE)</f>
        <v>0</v>
      </c>
      <c r="F1604" s="47"/>
      <c r="G1604" s="47" t="str">
        <f>IFERROR(__xludf.DUMMYFUNCTION("""COMPUTED_VALUE"""),"")</f>
        <v/>
      </c>
      <c r="H1604" s="47"/>
      <c r="I1604" s="47">
        <f>IFERROR(__xludf.DUMMYFUNCTION("""COMPUTED_VALUE"""),0.0)</f>
        <v>0</v>
      </c>
      <c r="J1604" s="47" t="str">
        <f>IFERROR(__xludf.DUMMYFUNCTION("""COMPUTED_VALUE"""),"#VALUE!")</f>
        <v>#VALUE!</v>
      </c>
      <c r="K1604" s="47"/>
      <c r="L1604" s="47"/>
      <c r="M1604" s="47"/>
    </row>
    <row r="1605">
      <c r="A1605" s="47" t="str">
        <f>IFERROR(__xludf.DUMMYFUNCTION("""COMPUTED_VALUE"""),"Virtual Brown")</f>
        <v>Virtual Brown</v>
      </c>
      <c r="B1605" s="47"/>
      <c r="C1605" s="47"/>
      <c r="D1605" s="47"/>
      <c r="E1605" s="47" t="b">
        <f>IFERROR(__xludf.DUMMYFUNCTION("""COMPUTED_VALUE"""),FALSE)</f>
        <v>0</v>
      </c>
      <c r="F1605" s="47"/>
      <c r="G1605" s="47" t="str">
        <f>IFERROR(__xludf.DUMMYFUNCTION("""COMPUTED_VALUE"""),"")</f>
        <v/>
      </c>
      <c r="H1605" s="47"/>
      <c r="I1605" s="47">
        <f>IFERROR(__xludf.DUMMYFUNCTION("""COMPUTED_VALUE"""),0.0)</f>
        <v>0</v>
      </c>
      <c r="J1605" s="47" t="str">
        <f>IFERROR(__xludf.DUMMYFUNCTION("""COMPUTED_VALUE"""),"#VALUE!")</f>
        <v>#VALUE!</v>
      </c>
      <c r="K1605" s="47"/>
      <c r="L1605" s="47"/>
      <c r="M1605" s="47"/>
    </row>
    <row r="1606">
      <c r="A1606" s="47" t="str">
        <f>IFERROR(__xludf.DUMMYFUNCTION("""COMPUTED_VALUE"""),"Virtual Brown")</f>
        <v>Virtual Brown</v>
      </c>
      <c r="B1606" s="47" t="str">
        <f>IFERROR(__xludf.DUMMYFUNCTION("""COMPUTED_VALUE"""),"Anetzet ")</f>
        <v>Anetzet </v>
      </c>
      <c r="C1606" s="78" t="str">
        <f>IFERROR(__xludf.DUMMYFUNCTION("""COMPUTED_VALUE"""),"https://www.munzee.com/m/Anetzet/4696/")</f>
        <v>https://www.munzee.com/m/Anetzet/4696/</v>
      </c>
      <c r="D1606" s="47"/>
      <c r="E1606" s="47" t="b">
        <f>IFERROR(__xludf.DUMMYFUNCTION("""COMPUTED_VALUE"""),TRUE)</f>
        <v>1</v>
      </c>
      <c r="F1606" s="47" t="str">
        <f>IFERROR(__xludf.DUMMYFUNCTION("""COMPUTED_VALUE"""),"")</f>
        <v/>
      </c>
      <c r="G1606" s="47" t="str">
        <f>IFERROR(__xludf.DUMMYFUNCTION("""COMPUTED_VALUE"""),"")</f>
        <v/>
      </c>
      <c r="H1606" s="47"/>
      <c r="I1606" s="47">
        <f>IFERROR(__xludf.DUMMYFUNCTION("""COMPUTED_VALUE"""),2.0)</f>
        <v>2</v>
      </c>
      <c r="J1606" s="47" t="str">
        <f>IFERROR(__xludf.DUMMYFUNCTION("""COMPUTED_VALUE"""),"https:")</f>
        <v>https:</v>
      </c>
      <c r="K1606" s="78" t="str">
        <f>IFERROR(__xludf.DUMMYFUNCTION("""COMPUTED_VALUE"""),"www.munzee.com")</f>
        <v>www.munzee.com</v>
      </c>
      <c r="L1606" s="47" t="str">
        <f>IFERROR(__xludf.DUMMYFUNCTION("""COMPUTED_VALUE"""),"m")</f>
        <v>m</v>
      </c>
      <c r="M1606" s="47" t="str">
        <f>IFERROR(__xludf.DUMMYFUNCTION("""COMPUTED_VALUE"""),"Anetzet")</f>
        <v>Anetzet</v>
      </c>
    </row>
    <row r="1607">
      <c r="A1607" s="47" t="str">
        <f>IFERROR(__xludf.DUMMYFUNCTION("""COMPUTED_VALUE"""),"Virtual Brown")</f>
        <v>Virtual Brown</v>
      </c>
      <c r="B1607" s="47"/>
      <c r="C1607" s="47"/>
      <c r="D1607" s="47"/>
      <c r="E1607" s="47" t="b">
        <f>IFERROR(__xludf.DUMMYFUNCTION("""COMPUTED_VALUE"""),FALSE)</f>
        <v>0</v>
      </c>
      <c r="F1607" s="47"/>
      <c r="G1607" s="47" t="str">
        <f>IFERROR(__xludf.DUMMYFUNCTION("""COMPUTED_VALUE"""),"")</f>
        <v/>
      </c>
      <c r="H1607" s="47"/>
      <c r="I1607" s="47">
        <f>IFERROR(__xludf.DUMMYFUNCTION("""COMPUTED_VALUE"""),0.0)</f>
        <v>0</v>
      </c>
      <c r="J1607" s="47" t="str">
        <f>IFERROR(__xludf.DUMMYFUNCTION("""COMPUTED_VALUE"""),"#VALUE!")</f>
        <v>#VALUE!</v>
      </c>
      <c r="K1607" s="47"/>
      <c r="L1607" s="47"/>
      <c r="M1607" s="47"/>
    </row>
    <row r="1608">
      <c r="A1608" s="47" t="str">
        <f>IFERROR(__xludf.DUMMYFUNCTION("""COMPUTED_VALUE"""),"Virtual Brown")</f>
        <v>Virtual Brown</v>
      </c>
      <c r="B1608" s="47" t="str">
        <f>IFERROR(__xludf.DUMMYFUNCTION("""COMPUTED_VALUE"""),"mortonfox")</f>
        <v>mortonfox</v>
      </c>
      <c r="C1608" s="78" t="str">
        <f>IFERROR(__xludf.DUMMYFUNCTION("""COMPUTED_VALUE"""),"https://www.munzee.com/m/mortonfox/23077/")</f>
        <v>https://www.munzee.com/m/mortonfox/23077/</v>
      </c>
      <c r="D1608" s="47"/>
      <c r="E1608" s="47" t="b">
        <f>IFERROR(__xludf.DUMMYFUNCTION("""COMPUTED_VALUE"""),TRUE)</f>
        <v>1</v>
      </c>
      <c r="F1608" s="47" t="str">
        <f>IFERROR(__xludf.DUMMYFUNCTION("""COMPUTED_VALUE"""),"")</f>
        <v/>
      </c>
      <c r="G1608" s="47" t="str">
        <f>IFERROR(__xludf.DUMMYFUNCTION("""COMPUTED_VALUE"""),"")</f>
        <v/>
      </c>
      <c r="H1608" s="47"/>
      <c r="I1608" s="47">
        <f>IFERROR(__xludf.DUMMYFUNCTION("""COMPUTED_VALUE"""),2.0)</f>
        <v>2</v>
      </c>
      <c r="J1608" s="47" t="str">
        <f>IFERROR(__xludf.DUMMYFUNCTION("""COMPUTED_VALUE"""),"https:")</f>
        <v>https:</v>
      </c>
      <c r="K1608" s="78" t="str">
        <f>IFERROR(__xludf.DUMMYFUNCTION("""COMPUTED_VALUE"""),"www.munzee.com")</f>
        <v>www.munzee.com</v>
      </c>
      <c r="L1608" s="47" t="str">
        <f>IFERROR(__xludf.DUMMYFUNCTION("""COMPUTED_VALUE"""),"m")</f>
        <v>m</v>
      </c>
      <c r="M1608" s="47" t="str">
        <f>IFERROR(__xludf.DUMMYFUNCTION("""COMPUTED_VALUE"""),"mortonfox")</f>
        <v>mortonfox</v>
      </c>
    </row>
    <row r="1609">
      <c r="A1609" s="47" t="str">
        <f>IFERROR(__xludf.DUMMYFUNCTION("""COMPUTED_VALUE"""),"Virtual Brown")</f>
        <v>Virtual Brown</v>
      </c>
      <c r="B1609" s="47" t="str">
        <f>IFERROR(__xludf.DUMMYFUNCTION("""COMPUTED_VALUE"""),"Djeagle")</f>
        <v>Djeagle</v>
      </c>
      <c r="C1609" s="78" t="str">
        <f>IFERROR(__xludf.DUMMYFUNCTION("""COMPUTED_VALUE"""),"https://www.munzee.com/m/djeagle/7559/")</f>
        <v>https://www.munzee.com/m/djeagle/7559/</v>
      </c>
      <c r="D1609" s="47"/>
      <c r="E1609" s="47" t="b">
        <f>IFERROR(__xludf.DUMMYFUNCTION("""COMPUTED_VALUE"""),TRUE)</f>
        <v>1</v>
      </c>
      <c r="F1609" s="47" t="str">
        <f>IFERROR(__xludf.DUMMYFUNCTION("""COMPUTED_VALUE"""),"")</f>
        <v/>
      </c>
      <c r="G1609" s="47" t="str">
        <f>IFERROR(__xludf.DUMMYFUNCTION("""COMPUTED_VALUE"""),"")</f>
        <v/>
      </c>
      <c r="H1609" s="47"/>
      <c r="I1609" s="47">
        <f>IFERROR(__xludf.DUMMYFUNCTION("""COMPUTED_VALUE"""),2.0)</f>
        <v>2</v>
      </c>
      <c r="J1609" s="47" t="str">
        <f>IFERROR(__xludf.DUMMYFUNCTION("""COMPUTED_VALUE"""),"https:")</f>
        <v>https:</v>
      </c>
      <c r="K1609" s="78" t="str">
        <f>IFERROR(__xludf.DUMMYFUNCTION("""COMPUTED_VALUE"""),"www.munzee.com")</f>
        <v>www.munzee.com</v>
      </c>
      <c r="L1609" s="47" t="str">
        <f>IFERROR(__xludf.DUMMYFUNCTION("""COMPUTED_VALUE"""),"m")</f>
        <v>m</v>
      </c>
      <c r="M1609" s="47" t="str">
        <f>IFERROR(__xludf.DUMMYFUNCTION("""COMPUTED_VALUE"""),"djeagle")</f>
        <v>djeagle</v>
      </c>
    </row>
    <row r="1610">
      <c r="A1610" s="47" t="str">
        <f>IFERROR(__xludf.DUMMYFUNCTION("""COMPUTED_VALUE"""),"Virtual Raw Sienna")</f>
        <v>Virtual Raw Sienna</v>
      </c>
      <c r="B1610" s="47" t="str">
        <f>IFERROR(__xludf.DUMMYFUNCTION("""COMPUTED_VALUE"""),"lison55")</f>
        <v>lison55</v>
      </c>
      <c r="C1610" s="78" t="str">
        <f>IFERROR(__xludf.DUMMYFUNCTION("""COMPUTED_VALUE"""),"https://www.munzee.com/m/lison55/23778/")</f>
        <v>https://www.munzee.com/m/lison55/23778/</v>
      </c>
      <c r="D1610" s="47"/>
      <c r="E1610" s="47" t="b">
        <f>IFERROR(__xludf.DUMMYFUNCTION("""COMPUTED_VALUE"""),TRUE)</f>
        <v>1</v>
      </c>
      <c r="F1610" s="47" t="str">
        <f>IFERROR(__xludf.DUMMYFUNCTION("""COMPUTED_VALUE"""),"")</f>
        <v/>
      </c>
      <c r="G1610" s="47" t="str">
        <f>IFERROR(__xludf.DUMMYFUNCTION("""COMPUTED_VALUE"""),"")</f>
        <v/>
      </c>
      <c r="H1610" s="47"/>
      <c r="I1610" s="47">
        <f>IFERROR(__xludf.DUMMYFUNCTION("""COMPUTED_VALUE"""),2.0)</f>
        <v>2</v>
      </c>
      <c r="J1610" s="47" t="str">
        <f>IFERROR(__xludf.DUMMYFUNCTION("""COMPUTED_VALUE"""),"https:")</f>
        <v>https:</v>
      </c>
      <c r="K1610" s="78" t="str">
        <f>IFERROR(__xludf.DUMMYFUNCTION("""COMPUTED_VALUE"""),"www.munzee.com")</f>
        <v>www.munzee.com</v>
      </c>
      <c r="L1610" s="47" t="str">
        <f>IFERROR(__xludf.DUMMYFUNCTION("""COMPUTED_VALUE"""),"m")</f>
        <v>m</v>
      </c>
      <c r="M1610" s="47" t="str">
        <f>IFERROR(__xludf.DUMMYFUNCTION("""COMPUTED_VALUE"""),"lison55")</f>
        <v>lison55</v>
      </c>
    </row>
    <row r="1611">
      <c r="A1611" s="47" t="str">
        <f>IFERROR(__xludf.DUMMYFUNCTION("""COMPUTED_VALUE"""),"Virtual Raw Sienna")</f>
        <v>Virtual Raw Sienna</v>
      </c>
      <c r="B1611" s="47"/>
      <c r="C1611" s="47"/>
      <c r="D1611" s="47"/>
      <c r="E1611" s="47" t="b">
        <f>IFERROR(__xludf.DUMMYFUNCTION("""COMPUTED_VALUE"""),FALSE)</f>
        <v>0</v>
      </c>
      <c r="F1611" s="47"/>
      <c r="G1611" s="47" t="str">
        <f>IFERROR(__xludf.DUMMYFUNCTION("""COMPUTED_VALUE"""),"")</f>
        <v/>
      </c>
      <c r="H1611" s="47"/>
      <c r="I1611" s="47">
        <f>IFERROR(__xludf.DUMMYFUNCTION("""COMPUTED_VALUE"""),0.0)</f>
        <v>0</v>
      </c>
      <c r="J1611" s="47" t="str">
        <f>IFERROR(__xludf.DUMMYFUNCTION("""COMPUTED_VALUE"""),"#VALUE!")</f>
        <v>#VALUE!</v>
      </c>
      <c r="K1611" s="47"/>
      <c r="L1611" s="47"/>
      <c r="M1611" s="47"/>
    </row>
    <row r="1612">
      <c r="A1612" s="47" t="str">
        <f>IFERROR(__xludf.DUMMYFUNCTION("""COMPUTED_VALUE"""),"Virtual Brown")</f>
        <v>Virtual Brown</v>
      </c>
      <c r="B1612" s="47" t="str">
        <f>IFERROR(__xludf.DUMMYFUNCTION("""COMPUTED_VALUE"""),"Djeagle")</f>
        <v>Djeagle</v>
      </c>
      <c r="C1612" s="78" t="str">
        <f>IFERROR(__xludf.DUMMYFUNCTION("""COMPUTED_VALUE"""),"https://www.munzee.com/m/djeagle/7415/")</f>
        <v>https://www.munzee.com/m/djeagle/7415/</v>
      </c>
      <c r="D1612" s="47"/>
      <c r="E1612" s="47" t="b">
        <f>IFERROR(__xludf.DUMMYFUNCTION("""COMPUTED_VALUE"""),TRUE)</f>
        <v>1</v>
      </c>
      <c r="F1612" s="47" t="str">
        <f>IFERROR(__xludf.DUMMYFUNCTION("""COMPUTED_VALUE"""),"")</f>
        <v/>
      </c>
      <c r="G1612" s="47" t="str">
        <f>IFERROR(__xludf.DUMMYFUNCTION("""COMPUTED_VALUE"""),"")</f>
        <v/>
      </c>
      <c r="H1612" s="47"/>
      <c r="I1612" s="47">
        <f>IFERROR(__xludf.DUMMYFUNCTION("""COMPUTED_VALUE"""),2.0)</f>
        <v>2</v>
      </c>
      <c r="J1612" s="47" t="str">
        <f>IFERROR(__xludf.DUMMYFUNCTION("""COMPUTED_VALUE"""),"https:")</f>
        <v>https:</v>
      </c>
      <c r="K1612" s="78" t="str">
        <f>IFERROR(__xludf.DUMMYFUNCTION("""COMPUTED_VALUE"""),"www.munzee.com")</f>
        <v>www.munzee.com</v>
      </c>
      <c r="L1612" s="47" t="str">
        <f>IFERROR(__xludf.DUMMYFUNCTION("""COMPUTED_VALUE"""),"m")</f>
        <v>m</v>
      </c>
      <c r="M1612" s="47" t="str">
        <f>IFERROR(__xludf.DUMMYFUNCTION("""COMPUTED_VALUE"""),"djeagle")</f>
        <v>djeagle</v>
      </c>
    </row>
    <row r="1613">
      <c r="A1613" s="47" t="str">
        <f>IFERROR(__xludf.DUMMYFUNCTION("""COMPUTED_VALUE"""),"Virtual Brown")</f>
        <v>Virtual Brown</v>
      </c>
      <c r="B1613" s="47" t="str">
        <f>IFERROR(__xludf.DUMMYFUNCTION("""COMPUTED_VALUE"""),"Belladivadee")</f>
        <v>Belladivadee</v>
      </c>
      <c r="C1613" s="78" t="str">
        <f>IFERROR(__xludf.DUMMYFUNCTION("""COMPUTED_VALUE"""),"https://www.munzee.com/m/Belladivadee/3180")</f>
        <v>https://www.munzee.com/m/Belladivadee/3180</v>
      </c>
      <c r="D1613" s="47"/>
      <c r="E1613" s="47" t="b">
        <f>IFERROR(__xludf.DUMMYFUNCTION("""COMPUTED_VALUE"""),TRUE)</f>
        <v>1</v>
      </c>
      <c r="F1613" s="86" t="str">
        <f>IFERROR(__xludf.DUMMYFUNCTION("""COMPUTED_VALUE"""),"")</f>
        <v/>
      </c>
      <c r="G1613" s="47" t="str">
        <f>IFERROR(__xludf.DUMMYFUNCTION("""COMPUTED_VALUE"""),"")</f>
        <v/>
      </c>
      <c r="H1613" s="47"/>
      <c r="I1613" s="47">
        <f>IFERROR(__xludf.DUMMYFUNCTION("""COMPUTED_VALUE"""),2.0)</f>
        <v>2</v>
      </c>
      <c r="J1613" s="47" t="str">
        <f>IFERROR(__xludf.DUMMYFUNCTION("""COMPUTED_VALUE"""),"https:")</f>
        <v>https:</v>
      </c>
      <c r="K1613" s="78" t="str">
        <f>IFERROR(__xludf.DUMMYFUNCTION("""COMPUTED_VALUE"""),"www.munzee.com")</f>
        <v>www.munzee.com</v>
      </c>
      <c r="L1613" s="47" t="str">
        <f>IFERROR(__xludf.DUMMYFUNCTION("""COMPUTED_VALUE"""),"m")</f>
        <v>m</v>
      </c>
      <c r="M1613" s="47" t="str">
        <f>IFERROR(__xludf.DUMMYFUNCTION("""COMPUTED_VALUE"""),"Belladivadee")</f>
        <v>Belladivadee</v>
      </c>
    </row>
    <row r="1614">
      <c r="A1614" s="47" t="str">
        <f>IFERROR(__xludf.DUMMYFUNCTION("""COMPUTED_VALUE"""),"Virtual Brown")</f>
        <v>Virtual Brown</v>
      </c>
      <c r="B1614" s="47" t="str">
        <f>IFERROR(__xludf.DUMMYFUNCTION("""COMPUTED_VALUE"""),"sverlaan")</f>
        <v>sverlaan</v>
      </c>
      <c r="C1614" s="78" t="str">
        <f>IFERROR(__xludf.DUMMYFUNCTION("""COMPUTED_VALUE"""),"https://www.munzee.com/m/sverlaan/5335/")</f>
        <v>https://www.munzee.com/m/sverlaan/5335/</v>
      </c>
      <c r="D1614" s="47"/>
      <c r="E1614" s="47" t="b">
        <f>IFERROR(__xludf.DUMMYFUNCTION("""COMPUTED_VALUE"""),TRUE)</f>
        <v>1</v>
      </c>
      <c r="F1614" s="86" t="str">
        <f>IFERROR(__xludf.DUMMYFUNCTION("""COMPUTED_VALUE"""),"")</f>
        <v/>
      </c>
      <c r="G1614" s="47" t="str">
        <f>IFERROR(__xludf.DUMMYFUNCTION("""COMPUTED_VALUE"""),"")</f>
        <v/>
      </c>
      <c r="H1614" s="47"/>
      <c r="I1614" s="47">
        <f>IFERROR(__xludf.DUMMYFUNCTION("""COMPUTED_VALUE"""),2.0)</f>
        <v>2</v>
      </c>
      <c r="J1614" s="47" t="str">
        <f>IFERROR(__xludf.DUMMYFUNCTION("""COMPUTED_VALUE"""),"https:")</f>
        <v>https:</v>
      </c>
      <c r="K1614" s="78" t="str">
        <f>IFERROR(__xludf.DUMMYFUNCTION("""COMPUTED_VALUE"""),"www.munzee.com")</f>
        <v>www.munzee.com</v>
      </c>
      <c r="L1614" s="47" t="str">
        <f>IFERROR(__xludf.DUMMYFUNCTION("""COMPUTED_VALUE"""),"m")</f>
        <v>m</v>
      </c>
      <c r="M1614" s="47" t="str">
        <f>IFERROR(__xludf.DUMMYFUNCTION("""COMPUTED_VALUE"""),"sverlaan")</f>
        <v>sverlaan</v>
      </c>
    </row>
    <row r="1615">
      <c r="A1615" s="47" t="str">
        <f>IFERROR(__xludf.DUMMYFUNCTION("""COMPUTED_VALUE"""),"Virtual Raw Sienna")</f>
        <v>Virtual Raw Sienna</v>
      </c>
      <c r="B1615" s="47" t="str">
        <f>IFERROR(__xludf.DUMMYFUNCTION("""COMPUTED_VALUE"""),"Pawpatrolthomas")</f>
        <v>Pawpatrolthomas</v>
      </c>
      <c r="C1615" s="78" t="str">
        <f>IFERROR(__xludf.DUMMYFUNCTION("""COMPUTED_VALUE"""),"https://www.munzee.com/m/PawPatrolThomas/3302/")</f>
        <v>https://www.munzee.com/m/PawPatrolThomas/3302/</v>
      </c>
      <c r="D1615" s="47"/>
      <c r="E1615" s="47" t="b">
        <f>IFERROR(__xludf.DUMMYFUNCTION("""COMPUTED_VALUE"""),TRUE)</f>
        <v>1</v>
      </c>
      <c r="F1615" s="86" t="str">
        <f>IFERROR(__xludf.DUMMYFUNCTION("""COMPUTED_VALUE"""),"")</f>
        <v/>
      </c>
      <c r="G1615" s="47" t="str">
        <f>IFERROR(__xludf.DUMMYFUNCTION("""COMPUTED_VALUE"""),"")</f>
        <v/>
      </c>
      <c r="H1615" s="47"/>
      <c r="I1615" s="47">
        <f>IFERROR(__xludf.DUMMYFUNCTION("""COMPUTED_VALUE"""),2.0)</f>
        <v>2</v>
      </c>
      <c r="J1615" s="47" t="str">
        <f>IFERROR(__xludf.DUMMYFUNCTION("""COMPUTED_VALUE"""),"https:")</f>
        <v>https:</v>
      </c>
      <c r="K1615" s="78" t="str">
        <f>IFERROR(__xludf.DUMMYFUNCTION("""COMPUTED_VALUE"""),"www.munzee.com")</f>
        <v>www.munzee.com</v>
      </c>
      <c r="L1615" s="47" t="str">
        <f>IFERROR(__xludf.DUMMYFUNCTION("""COMPUTED_VALUE"""),"m")</f>
        <v>m</v>
      </c>
      <c r="M1615" s="47" t="str">
        <f>IFERROR(__xludf.DUMMYFUNCTION("""COMPUTED_VALUE"""),"PawPatrolThomas")</f>
        <v>PawPatrolThomas</v>
      </c>
    </row>
    <row r="1616">
      <c r="A1616" s="47" t="str">
        <f>IFERROR(__xludf.DUMMYFUNCTION("""COMPUTED_VALUE"""),"Virtual Raw Sienna")</f>
        <v>Virtual Raw Sienna</v>
      </c>
      <c r="B1616" s="47" t="str">
        <f>IFERROR(__xludf.DUMMYFUNCTION("""COMPUTED_VALUE"""),"EmileP68")</f>
        <v>EmileP68</v>
      </c>
      <c r="C1616" s="78" t="str">
        <f>IFERROR(__xludf.DUMMYFUNCTION("""COMPUTED_VALUE"""),"https://www.munzee.com/m/EmileP68/4066/")</f>
        <v>https://www.munzee.com/m/EmileP68/4066/</v>
      </c>
      <c r="D1616" s="47"/>
      <c r="E1616" s="47" t="b">
        <f>IFERROR(__xludf.DUMMYFUNCTION("""COMPUTED_VALUE"""),TRUE)</f>
        <v>1</v>
      </c>
      <c r="F1616" s="86" t="str">
        <f>IFERROR(__xludf.DUMMYFUNCTION("""COMPUTED_VALUE"""),"")</f>
        <v/>
      </c>
      <c r="G1616" s="47" t="str">
        <f>IFERROR(__xludf.DUMMYFUNCTION("""COMPUTED_VALUE"""),"")</f>
        <v/>
      </c>
      <c r="H1616" s="47"/>
      <c r="I1616" s="47">
        <f>IFERROR(__xludf.DUMMYFUNCTION("""COMPUTED_VALUE"""),2.0)</f>
        <v>2</v>
      </c>
      <c r="J1616" s="47" t="str">
        <f>IFERROR(__xludf.DUMMYFUNCTION("""COMPUTED_VALUE"""),"https:")</f>
        <v>https:</v>
      </c>
      <c r="K1616" s="78" t="str">
        <f>IFERROR(__xludf.DUMMYFUNCTION("""COMPUTED_VALUE"""),"www.munzee.com")</f>
        <v>www.munzee.com</v>
      </c>
      <c r="L1616" s="47" t="str">
        <f>IFERROR(__xludf.DUMMYFUNCTION("""COMPUTED_VALUE"""),"m")</f>
        <v>m</v>
      </c>
      <c r="M1616" s="47" t="str">
        <f>IFERROR(__xludf.DUMMYFUNCTION("""COMPUTED_VALUE"""),"EmileP68")</f>
        <v>EmileP68</v>
      </c>
    </row>
    <row r="1617">
      <c r="A1617" s="47" t="str">
        <f>IFERROR(__xludf.DUMMYFUNCTION("""COMPUTED_VALUE"""),"Virtual Brown")</f>
        <v>Virtual Brown</v>
      </c>
      <c r="B1617" s="47" t="str">
        <f>IFERROR(__xludf.DUMMYFUNCTION("""COMPUTED_VALUE"""),"Fossillady")</f>
        <v>Fossillady</v>
      </c>
      <c r="C1617" s="78" t="str">
        <f>IFERROR(__xludf.DUMMYFUNCTION("""COMPUTED_VALUE"""),"https://www.munzee.com/m/Fossillady/4419")</f>
        <v>https://www.munzee.com/m/Fossillady/4419</v>
      </c>
      <c r="D1617" s="47"/>
      <c r="E1617" s="47" t="b">
        <f>IFERROR(__xludf.DUMMYFUNCTION("""COMPUTED_VALUE"""),TRUE)</f>
        <v>1</v>
      </c>
      <c r="F1617" s="86" t="str">
        <f>IFERROR(__xludf.DUMMYFUNCTION("""COMPUTED_VALUE"""),"")</f>
        <v/>
      </c>
      <c r="G1617" s="47" t="str">
        <f>IFERROR(__xludf.DUMMYFUNCTION("""COMPUTED_VALUE"""),"")</f>
        <v/>
      </c>
      <c r="H1617" s="47"/>
      <c r="I1617" s="47">
        <f>IFERROR(__xludf.DUMMYFUNCTION("""COMPUTED_VALUE"""),2.0)</f>
        <v>2</v>
      </c>
      <c r="J1617" s="47" t="str">
        <f>IFERROR(__xludf.DUMMYFUNCTION("""COMPUTED_VALUE"""),"https:")</f>
        <v>https:</v>
      </c>
      <c r="K1617" s="78" t="str">
        <f>IFERROR(__xludf.DUMMYFUNCTION("""COMPUTED_VALUE"""),"www.munzee.com")</f>
        <v>www.munzee.com</v>
      </c>
      <c r="L1617" s="47" t="str">
        <f>IFERROR(__xludf.DUMMYFUNCTION("""COMPUTED_VALUE"""),"m")</f>
        <v>m</v>
      </c>
      <c r="M1617" s="47" t="str">
        <f>IFERROR(__xludf.DUMMYFUNCTION("""COMPUTED_VALUE"""),"Fossillady")</f>
        <v>Fossillady</v>
      </c>
    </row>
    <row r="1618">
      <c r="A1618" s="47" t="str">
        <f>IFERROR(__xludf.DUMMYFUNCTION("""COMPUTED_VALUE"""),"Virtual Brown")</f>
        <v>Virtual Brown</v>
      </c>
      <c r="B1618" s="47" t="str">
        <f>IFERROR(__xludf.DUMMYFUNCTION("""COMPUTED_VALUE"""),"xrayneex")</f>
        <v>xrayneex</v>
      </c>
      <c r="C1618" s="78" t="str">
        <f>IFERROR(__xludf.DUMMYFUNCTION("""COMPUTED_VALUE"""),"https://www.munzee.com/m/xrayneex/2281/")</f>
        <v>https://www.munzee.com/m/xrayneex/2281/</v>
      </c>
      <c r="D1618" s="47"/>
      <c r="E1618" s="47" t="b">
        <f>IFERROR(__xludf.DUMMYFUNCTION("""COMPUTED_VALUE"""),TRUE)</f>
        <v>1</v>
      </c>
      <c r="F1618" s="86" t="str">
        <f>IFERROR(__xludf.DUMMYFUNCTION("""COMPUTED_VALUE"""),"")</f>
        <v/>
      </c>
      <c r="G1618" s="47" t="str">
        <f>IFERROR(__xludf.DUMMYFUNCTION("""COMPUTED_VALUE"""),"")</f>
        <v/>
      </c>
      <c r="H1618" s="47"/>
      <c r="I1618" s="47">
        <f>IFERROR(__xludf.DUMMYFUNCTION("""COMPUTED_VALUE"""),2.0)</f>
        <v>2</v>
      </c>
      <c r="J1618" s="47" t="str">
        <f>IFERROR(__xludf.DUMMYFUNCTION("""COMPUTED_VALUE"""),"https:")</f>
        <v>https:</v>
      </c>
      <c r="K1618" s="78" t="str">
        <f>IFERROR(__xludf.DUMMYFUNCTION("""COMPUTED_VALUE"""),"www.munzee.com")</f>
        <v>www.munzee.com</v>
      </c>
      <c r="L1618" s="47" t="str">
        <f>IFERROR(__xludf.DUMMYFUNCTION("""COMPUTED_VALUE"""),"m")</f>
        <v>m</v>
      </c>
      <c r="M1618" s="47" t="str">
        <f>IFERROR(__xludf.DUMMYFUNCTION("""COMPUTED_VALUE"""),"xrayneex")</f>
        <v>xrayneex</v>
      </c>
    </row>
    <row r="1619">
      <c r="A1619" s="47" t="str">
        <f>IFERROR(__xludf.DUMMYFUNCTION("""COMPUTED_VALUE"""),"Virtual Brown")</f>
        <v>Virtual Brown</v>
      </c>
      <c r="B1619" s="47" t="str">
        <f>IFERROR(__xludf.DUMMYFUNCTION("""COMPUTED_VALUE"""),"5star")</f>
        <v>5star</v>
      </c>
      <c r="C1619" s="78" t="str">
        <f>IFERROR(__xludf.DUMMYFUNCTION("""COMPUTED_VALUE"""),"https://www.munzee.com/m/5Star/7451/")</f>
        <v>https://www.munzee.com/m/5Star/7451/</v>
      </c>
      <c r="D1619" s="47"/>
      <c r="E1619" s="47" t="b">
        <f>IFERROR(__xludf.DUMMYFUNCTION("""COMPUTED_VALUE"""),TRUE)</f>
        <v>1</v>
      </c>
      <c r="F1619" s="86" t="str">
        <f>IFERROR(__xludf.DUMMYFUNCTION("""COMPUTED_VALUE"""),"")</f>
        <v/>
      </c>
      <c r="G1619" s="47" t="str">
        <f>IFERROR(__xludf.DUMMYFUNCTION("""COMPUTED_VALUE"""),"")</f>
        <v/>
      </c>
      <c r="H1619" s="47"/>
      <c r="I1619" s="47">
        <f>IFERROR(__xludf.DUMMYFUNCTION("""COMPUTED_VALUE"""),2.0)</f>
        <v>2</v>
      </c>
      <c r="J1619" s="47" t="str">
        <f>IFERROR(__xludf.DUMMYFUNCTION("""COMPUTED_VALUE"""),"https:")</f>
        <v>https:</v>
      </c>
      <c r="K1619" s="78" t="str">
        <f>IFERROR(__xludf.DUMMYFUNCTION("""COMPUTED_VALUE"""),"www.munzee.com")</f>
        <v>www.munzee.com</v>
      </c>
      <c r="L1619" s="47" t="str">
        <f>IFERROR(__xludf.DUMMYFUNCTION("""COMPUTED_VALUE"""),"m")</f>
        <v>m</v>
      </c>
      <c r="M1619" s="47" t="str">
        <f>IFERROR(__xludf.DUMMYFUNCTION("""COMPUTED_VALUE"""),"5Star")</f>
        <v>5Star</v>
      </c>
    </row>
    <row r="1620">
      <c r="A1620" s="47" t="str">
        <f>IFERROR(__xludf.DUMMYFUNCTION("""COMPUTED_VALUE"""),"Virtual Raw Sienna")</f>
        <v>Virtual Raw Sienna</v>
      </c>
      <c r="B1620" s="47" t="str">
        <f>IFERROR(__xludf.DUMMYFUNCTION("""COMPUTED_VALUE"""),"lison55")</f>
        <v>lison55</v>
      </c>
      <c r="C1620" s="78" t="str">
        <f>IFERROR(__xludf.DUMMYFUNCTION("""COMPUTED_VALUE"""),"https://www.munzee.com/m/lison55/6322/")</f>
        <v>https://www.munzee.com/m/lison55/6322/</v>
      </c>
      <c r="D1620" s="47"/>
      <c r="E1620" s="47" t="b">
        <f>IFERROR(__xludf.DUMMYFUNCTION("""COMPUTED_VALUE"""),TRUE)</f>
        <v>1</v>
      </c>
      <c r="F1620" s="86" t="str">
        <f>IFERROR(__xludf.DUMMYFUNCTION("""COMPUTED_VALUE"""),"")</f>
        <v/>
      </c>
      <c r="G1620" s="47" t="str">
        <f>IFERROR(__xludf.DUMMYFUNCTION("""COMPUTED_VALUE"""),"")</f>
        <v/>
      </c>
      <c r="H1620" s="47"/>
      <c r="I1620" s="47">
        <f>IFERROR(__xludf.DUMMYFUNCTION("""COMPUTED_VALUE"""),2.0)</f>
        <v>2</v>
      </c>
      <c r="J1620" s="47" t="str">
        <f>IFERROR(__xludf.DUMMYFUNCTION("""COMPUTED_VALUE"""),"https:")</f>
        <v>https:</v>
      </c>
      <c r="K1620" s="78" t="str">
        <f>IFERROR(__xludf.DUMMYFUNCTION("""COMPUTED_VALUE"""),"www.munzee.com")</f>
        <v>www.munzee.com</v>
      </c>
      <c r="L1620" s="47" t="str">
        <f>IFERROR(__xludf.DUMMYFUNCTION("""COMPUTED_VALUE"""),"m")</f>
        <v>m</v>
      </c>
      <c r="M1620" s="47" t="str">
        <f>IFERROR(__xludf.DUMMYFUNCTION("""COMPUTED_VALUE"""),"lison55")</f>
        <v>lison55</v>
      </c>
    </row>
    <row r="1621">
      <c r="A1621" s="47" t="str">
        <f>IFERROR(__xludf.DUMMYFUNCTION("""COMPUTED_VALUE"""),"Virtual Brown")</f>
        <v>Virtual Brown</v>
      </c>
      <c r="B1621" s="47" t="str">
        <f>IFERROR(__xludf.DUMMYFUNCTION("""COMPUTED_VALUE"""),"jwg68")</f>
        <v>jwg68</v>
      </c>
      <c r="C1621" s="78" t="str">
        <f>IFERROR(__xludf.DUMMYFUNCTION("""COMPUTED_VALUE"""),"https://www.munzee.com/m/jwg68/1652/")</f>
        <v>https://www.munzee.com/m/jwg68/1652/</v>
      </c>
      <c r="D1621" s="47"/>
      <c r="E1621" s="47" t="b">
        <f>IFERROR(__xludf.DUMMYFUNCTION("""COMPUTED_VALUE"""),TRUE)</f>
        <v>1</v>
      </c>
      <c r="F1621" s="86" t="str">
        <f>IFERROR(__xludf.DUMMYFUNCTION("""COMPUTED_VALUE"""),"")</f>
        <v/>
      </c>
      <c r="G1621" s="47" t="str">
        <f>IFERROR(__xludf.DUMMYFUNCTION("""COMPUTED_VALUE"""),"")</f>
        <v/>
      </c>
      <c r="H1621" s="47"/>
      <c r="I1621" s="47">
        <f>IFERROR(__xludf.DUMMYFUNCTION("""COMPUTED_VALUE"""),2.0)</f>
        <v>2</v>
      </c>
      <c r="J1621" s="47" t="str">
        <f>IFERROR(__xludf.DUMMYFUNCTION("""COMPUTED_VALUE"""),"https:")</f>
        <v>https:</v>
      </c>
      <c r="K1621" s="78" t="str">
        <f>IFERROR(__xludf.DUMMYFUNCTION("""COMPUTED_VALUE"""),"www.munzee.com")</f>
        <v>www.munzee.com</v>
      </c>
      <c r="L1621" s="47" t="str">
        <f>IFERROR(__xludf.DUMMYFUNCTION("""COMPUTED_VALUE"""),"m")</f>
        <v>m</v>
      </c>
      <c r="M1621" s="47" t="str">
        <f>IFERROR(__xludf.DUMMYFUNCTION("""COMPUTED_VALUE"""),"jwg68")</f>
        <v>jwg68</v>
      </c>
    </row>
    <row r="1622">
      <c r="A1622" s="47" t="str">
        <f>IFERROR(__xludf.DUMMYFUNCTION("""COMPUTED_VALUE"""),"Virtual Brown")</f>
        <v>Virtual Brown</v>
      </c>
      <c r="B1622" s="47" t="str">
        <f>IFERROR(__xludf.DUMMYFUNCTION("""COMPUTED_VALUE"""),"fsafranek")</f>
        <v>fsafranek</v>
      </c>
      <c r="C1622" s="78" t="str">
        <f>IFERROR(__xludf.DUMMYFUNCTION("""COMPUTED_VALUE"""),"https://www.munzee.com/m/fsafranek/5302/")</f>
        <v>https://www.munzee.com/m/fsafranek/5302/</v>
      </c>
      <c r="D1622" s="47"/>
      <c r="E1622" s="47" t="b">
        <f>IFERROR(__xludf.DUMMYFUNCTION("""COMPUTED_VALUE"""),TRUE)</f>
        <v>1</v>
      </c>
      <c r="F1622" s="86" t="str">
        <f>IFERROR(__xludf.DUMMYFUNCTION("""COMPUTED_VALUE"""),"")</f>
        <v/>
      </c>
      <c r="G1622" s="47" t="str">
        <f>IFERROR(__xludf.DUMMYFUNCTION("""COMPUTED_VALUE"""),"")</f>
        <v/>
      </c>
      <c r="H1622" s="47"/>
      <c r="I1622" s="47">
        <f>IFERROR(__xludf.DUMMYFUNCTION("""COMPUTED_VALUE"""),2.0)</f>
        <v>2</v>
      </c>
      <c r="J1622" s="47" t="str">
        <f>IFERROR(__xludf.DUMMYFUNCTION("""COMPUTED_VALUE"""),"https:")</f>
        <v>https:</v>
      </c>
      <c r="K1622" s="78" t="str">
        <f>IFERROR(__xludf.DUMMYFUNCTION("""COMPUTED_VALUE"""),"www.munzee.com")</f>
        <v>www.munzee.com</v>
      </c>
      <c r="L1622" s="47" t="str">
        <f>IFERROR(__xludf.DUMMYFUNCTION("""COMPUTED_VALUE"""),"m")</f>
        <v>m</v>
      </c>
      <c r="M1622" s="47" t="str">
        <f>IFERROR(__xludf.DUMMYFUNCTION("""COMPUTED_VALUE"""),"fsafranek")</f>
        <v>fsafranek</v>
      </c>
    </row>
    <row r="1623">
      <c r="A1623" s="47" t="str">
        <f>IFERROR(__xludf.DUMMYFUNCTION("""COMPUTED_VALUE"""),"Virtual Brown")</f>
        <v>Virtual Brown</v>
      </c>
      <c r="B1623" s="47" t="str">
        <f>IFERROR(__xludf.DUMMYFUNCTION("""COMPUTED_VALUE"""),"Drazoria")</f>
        <v>Drazoria</v>
      </c>
      <c r="C1623" s="78" t="str">
        <f>IFERROR(__xludf.DUMMYFUNCTION("""COMPUTED_VALUE"""),"https://www.munzee.com/m/Drazoria/1545/")</f>
        <v>https://www.munzee.com/m/Drazoria/1545/</v>
      </c>
      <c r="D1623" s="84"/>
      <c r="E1623" s="47" t="b">
        <f>IFERROR(__xludf.DUMMYFUNCTION("""COMPUTED_VALUE"""),TRUE)</f>
        <v>1</v>
      </c>
      <c r="F1623" s="86" t="str">
        <f>IFERROR(__xludf.DUMMYFUNCTION("""COMPUTED_VALUE"""),"")</f>
        <v/>
      </c>
      <c r="G1623" s="47" t="str">
        <f>IFERROR(__xludf.DUMMYFUNCTION("""COMPUTED_VALUE"""),"")</f>
        <v/>
      </c>
      <c r="H1623" s="47"/>
      <c r="I1623" s="47">
        <f>IFERROR(__xludf.DUMMYFUNCTION("""COMPUTED_VALUE"""),2.0)</f>
        <v>2</v>
      </c>
      <c r="J1623" s="47" t="str">
        <f>IFERROR(__xludf.DUMMYFUNCTION("""COMPUTED_VALUE"""),"https:")</f>
        <v>https:</v>
      </c>
      <c r="K1623" s="78" t="str">
        <f>IFERROR(__xludf.DUMMYFUNCTION("""COMPUTED_VALUE"""),"www.munzee.com")</f>
        <v>www.munzee.com</v>
      </c>
      <c r="L1623" s="47" t="str">
        <f>IFERROR(__xludf.DUMMYFUNCTION("""COMPUTED_VALUE"""),"m")</f>
        <v>m</v>
      </c>
      <c r="M1623" s="47" t="str">
        <f>IFERROR(__xludf.DUMMYFUNCTION("""COMPUTED_VALUE"""),"Drazoria")</f>
        <v>Drazoria</v>
      </c>
    </row>
    <row r="1624">
      <c r="A1624" s="47" t="str">
        <f>IFERROR(__xludf.DUMMYFUNCTION("""COMPUTED_VALUE"""),"Virtual Brown")</f>
        <v>Virtual Brown</v>
      </c>
      <c r="B1624" s="47" t="str">
        <f>IFERROR(__xludf.DUMMYFUNCTION("""COMPUTED_VALUE"""),"Tinale1309")</f>
        <v>Tinale1309</v>
      </c>
      <c r="C1624" s="78" t="str">
        <f>IFERROR(__xludf.DUMMYFUNCTION("""COMPUTED_VALUE"""),"https://www.munzee.com/m/Tinake1309/1582/")</f>
        <v>https://www.munzee.com/m/Tinake1309/1582/</v>
      </c>
      <c r="D1624" s="84"/>
      <c r="E1624" s="47" t="b">
        <f>IFERROR(__xludf.DUMMYFUNCTION("""COMPUTED_VALUE"""),TRUE)</f>
        <v>1</v>
      </c>
      <c r="F1624" s="86" t="str">
        <f>IFERROR(__xludf.DUMMYFUNCTION("""COMPUTED_VALUE"""),"")</f>
        <v/>
      </c>
      <c r="G1624" s="47" t="str">
        <f>IFERROR(__xludf.DUMMYFUNCTION("""COMPUTED_VALUE"""),"")</f>
        <v/>
      </c>
      <c r="H1624" s="47"/>
      <c r="I1624" s="47">
        <f>IFERROR(__xludf.DUMMYFUNCTION("""COMPUTED_VALUE"""),2.0)</f>
        <v>2</v>
      </c>
      <c r="J1624" s="47" t="str">
        <f>IFERROR(__xludf.DUMMYFUNCTION("""COMPUTED_VALUE"""),"https:")</f>
        <v>https:</v>
      </c>
      <c r="K1624" s="78" t="str">
        <f>IFERROR(__xludf.DUMMYFUNCTION("""COMPUTED_VALUE"""),"www.munzee.com")</f>
        <v>www.munzee.com</v>
      </c>
      <c r="L1624" s="47" t="str">
        <f>IFERROR(__xludf.DUMMYFUNCTION("""COMPUTED_VALUE"""),"m")</f>
        <v>m</v>
      </c>
      <c r="M1624" s="47" t="str">
        <f>IFERROR(__xludf.DUMMYFUNCTION("""COMPUTED_VALUE"""),"Tinake1309")</f>
        <v>Tinake1309</v>
      </c>
    </row>
    <row r="1625">
      <c r="A1625" s="47" t="str">
        <f>IFERROR(__xludf.DUMMYFUNCTION("""COMPUTED_VALUE"""),"Virtual Brown")</f>
        <v>Virtual Brown</v>
      </c>
      <c r="B1625" s="47" t="str">
        <f>IFERROR(__xludf.DUMMYFUNCTION("""COMPUTED_VALUE"""),"Berg14")</f>
        <v>Berg14</v>
      </c>
      <c r="C1625" s="78" t="str">
        <f>IFERROR(__xludf.DUMMYFUNCTION("""COMPUTED_VALUE"""),"https://www.munzee.com/m/Berg14/1372/")</f>
        <v>https://www.munzee.com/m/Berg14/1372/</v>
      </c>
      <c r="D1625" s="84"/>
      <c r="E1625" s="47" t="b">
        <f>IFERROR(__xludf.DUMMYFUNCTION("""COMPUTED_VALUE"""),TRUE)</f>
        <v>1</v>
      </c>
      <c r="F1625" s="86" t="str">
        <f>IFERROR(__xludf.DUMMYFUNCTION("""COMPUTED_VALUE"""),"")</f>
        <v/>
      </c>
      <c r="G1625" s="47" t="str">
        <f>IFERROR(__xludf.DUMMYFUNCTION("""COMPUTED_VALUE"""),"")</f>
        <v/>
      </c>
      <c r="H1625" s="47"/>
      <c r="I1625" s="47">
        <f>IFERROR(__xludf.DUMMYFUNCTION("""COMPUTED_VALUE"""),2.0)</f>
        <v>2</v>
      </c>
      <c r="J1625" s="47" t="str">
        <f>IFERROR(__xludf.DUMMYFUNCTION("""COMPUTED_VALUE"""),"https:")</f>
        <v>https:</v>
      </c>
      <c r="K1625" s="78" t="str">
        <f>IFERROR(__xludf.DUMMYFUNCTION("""COMPUTED_VALUE"""),"www.munzee.com")</f>
        <v>www.munzee.com</v>
      </c>
      <c r="L1625" s="47" t="str">
        <f>IFERROR(__xludf.DUMMYFUNCTION("""COMPUTED_VALUE"""),"m")</f>
        <v>m</v>
      </c>
      <c r="M1625" s="47" t="str">
        <f>IFERROR(__xludf.DUMMYFUNCTION("""COMPUTED_VALUE"""),"Berg14")</f>
        <v>Berg14</v>
      </c>
    </row>
    <row r="1626">
      <c r="A1626" s="47" t="str">
        <f>IFERROR(__xludf.DUMMYFUNCTION("""COMPUTED_VALUE"""),"Virtual Brown")</f>
        <v>Virtual Brown</v>
      </c>
      <c r="B1626" s="47" t="str">
        <f>IFERROR(__xludf.DUMMYFUNCTION("""COMPUTED_VALUE"""),"Niks13")</f>
        <v>Niks13</v>
      </c>
      <c r="C1626" s="78" t="str">
        <f>IFERROR(__xludf.DUMMYFUNCTION("""COMPUTED_VALUE"""),"https://www.munzee.com/m/Niks13/1409/")</f>
        <v>https://www.munzee.com/m/Niks13/1409/</v>
      </c>
      <c r="D1626" s="84"/>
      <c r="E1626" s="47" t="b">
        <f>IFERROR(__xludf.DUMMYFUNCTION("""COMPUTED_VALUE"""),TRUE)</f>
        <v>1</v>
      </c>
      <c r="F1626" s="86" t="str">
        <f>IFERROR(__xludf.DUMMYFUNCTION("""COMPUTED_VALUE"""),"")</f>
        <v/>
      </c>
      <c r="G1626" s="47" t="str">
        <f>IFERROR(__xludf.DUMMYFUNCTION("""COMPUTED_VALUE"""),"")</f>
        <v/>
      </c>
      <c r="H1626" s="47"/>
      <c r="I1626" s="47">
        <f>IFERROR(__xludf.DUMMYFUNCTION("""COMPUTED_VALUE"""),2.0)</f>
        <v>2</v>
      </c>
      <c r="J1626" s="47" t="str">
        <f>IFERROR(__xludf.DUMMYFUNCTION("""COMPUTED_VALUE"""),"https:")</f>
        <v>https:</v>
      </c>
      <c r="K1626" s="78" t="str">
        <f>IFERROR(__xludf.DUMMYFUNCTION("""COMPUTED_VALUE"""),"www.munzee.com")</f>
        <v>www.munzee.com</v>
      </c>
      <c r="L1626" s="47" t="str">
        <f>IFERROR(__xludf.DUMMYFUNCTION("""COMPUTED_VALUE"""),"m")</f>
        <v>m</v>
      </c>
      <c r="M1626" s="47" t="str">
        <f>IFERROR(__xludf.DUMMYFUNCTION("""COMPUTED_VALUE"""),"Niks13")</f>
        <v>Niks13</v>
      </c>
    </row>
    <row r="1627">
      <c r="A1627" s="47" t="str">
        <f>IFERROR(__xludf.DUMMYFUNCTION("""COMPUTED_VALUE"""),"Virtual Brown")</f>
        <v>Virtual Brown</v>
      </c>
      <c r="B1627" s="47" t="str">
        <f>IFERROR(__xludf.DUMMYFUNCTION("""COMPUTED_VALUE"""),"WetCoaster")</f>
        <v>WetCoaster</v>
      </c>
      <c r="C1627" s="78" t="str">
        <f>IFERROR(__xludf.DUMMYFUNCTION("""COMPUTED_VALUE"""),"https://www.munzee.com/m/WetCoaster/4100/")</f>
        <v>https://www.munzee.com/m/WetCoaster/4100/</v>
      </c>
      <c r="D1627" s="47"/>
      <c r="E1627" s="47" t="b">
        <f>IFERROR(__xludf.DUMMYFUNCTION("""COMPUTED_VALUE"""),TRUE)</f>
        <v>1</v>
      </c>
      <c r="F1627" s="86" t="str">
        <f>IFERROR(__xludf.DUMMYFUNCTION("""COMPUTED_VALUE"""),"")</f>
        <v/>
      </c>
      <c r="G1627" s="47" t="str">
        <f>IFERROR(__xludf.DUMMYFUNCTION("""COMPUTED_VALUE"""),"")</f>
        <v/>
      </c>
      <c r="H1627" s="47"/>
      <c r="I1627" s="47">
        <f>IFERROR(__xludf.DUMMYFUNCTION("""COMPUTED_VALUE"""),2.0)</f>
        <v>2</v>
      </c>
      <c r="J1627" s="47" t="str">
        <f>IFERROR(__xludf.DUMMYFUNCTION("""COMPUTED_VALUE"""),"https:")</f>
        <v>https:</v>
      </c>
      <c r="K1627" s="78" t="str">
        <f>IFERROR(__xludf.DUMMYFUNCTION("""COMPUTED_VALUE"""),"www.munzee.com")</f>
        <v>www.munzee.com</v>
      </c>
      <c r="L1627" s="47" t="str">
        <f>IFERROR(__xludf.DUMMYFUNCTION("""COMPUTED_VALUE"""),"m")</f>
        <v>m</v>
      </c>
      <c r="M1627" s="47" t="str">
        <f>IFERROR(__xludf.DUMMYFUNCTION("""COMPUTED_VALUE"""),"WetCoaster")</f>
        <v>WetCoaster</v>
      </c>
    </row>
    <row r="1628">
      <c r="A1628" s="47" t="str">
        <f>IFERROR(__xludf.DUMMYFUNCTION("""COMPUTED_VALUE"""),"Virtual Brown")</f>
        <v>Virtual Brown</v>
      </c>
      <c r="B1628" s="47" t="str">
        <f>IFERROR(__xludf.DUMMYFUNCTION("""COMPUTED_VALUE"""),"GroteSufferd")</f>
        <v>GroteSufferd</v>
      </c>
      <c r="C1628" s="78" t="str">
        <f>IFERROR(__xludf.DUMMYFUNCTION("""COMPUTED_VALUE"""),"https://www.munzee.com/m/GroteSufferd/739/")</f>
        <v>https://www.munzee.com/m/GroteSufferd/739/</v>
      </c>
      <c r="D1628" s="47"/>
      <c r="E1628" s="47" t="b">
        <f>IFERROR(__xludf.DUMMYFUNCTION("""COMPUTED_VALUE"""),TRUE)</f>
        <v>1</v>
      </c>
      <c r="F1628" s="86" t="str">
        <f>IFERROR(__xludf.DUMMYFUNCTION("""COMPUTED_VALUE"""),"")</f>
        <v/>
      </c>
      <c r="G1628" s="47" t="str">
        <f>IFERROR(__xludf.DUMMYFUNCTION("""COMPUTED_VALUE"""),"")</f>
        <v/>
      </c>
      <c r="H1628" s="47"/>
      <c r="I1628" s="47">
        <f>IFERROR(__xludf.DUMMYFUNCTION("""COMPUTED_VALUE"""),2.0)</f>
        <v>2</v>
      </c>
      <c r="J1628" s="47" t="str">
        <f>IFERROR(__xludf.DUMMYFUNCTION("""COMPUTED_VALUE"""),"https:")</f>
        <v>https:</v>
      </c>
      <c r="K1628" s="78" t="str">
        <f>IFERROR(__xludf.DUMMYFUNCTION("""COMPUTED_VALUE"""),"www.munzee.com")</f>
        <v>www.munzee.com</v>
      </c>
      <c r="L1628" s="47" t="str">
        <f>IFERROR(__xludf.DUMMYFUNCTION("""COMPUTED_VALUE"""),"m")</f>
        <v>m</v>
      </c>
      <c r="M1628" s="47" t="str">
        <f>IFERROR(__xludf.DUMMYFUNCTION("""COMPUTED_VALUE"""),"GroteSufferd")</f>
        <v>GroteSufferd</v>
      </c>
    </row>
    <row r="1629">
      <c r="A1629" s="47" t="str">
        <f>IFERROR(__xludf.DUMMYFUNCTION("""COMPUTED_VALUE"""),"Virtual Brown")</f>
        <v>Virtual Brown</v>
      </c>
      <c r="B1629" s="47" t="str">
        <f>IFERROR(__xludf.DUMMYFUNCTION("""COMPUTED_VALUE"""),"ArtofEco")</f>
        <v>ArtofEco</v>
      </c>
      <c r="C1629" s="78" t="str">
        <f>IFERROR(__xludf.DUMMYFUNCTION("""COMPUTED_VALUE"""),"https://www.munzee.com/m/ArtofEco/3500/")</f>
        <v>https://www.munzee.com/m/ArtofEco/3500/</v>
      </c>
      <c r="D1629" s="47"/>
      <c r="E1629" s="47" t="b">
        <f>IFERROR(__xludf.DUMMYFUNCTION("""COMPUTED_VALUE"""),TRUE)</f>
        <v>1</v>
      </c>
      <c r="F1629" s="86" t="str">
        <f>IFERROR(__xludf.DUMMYFUNCTION("""COMPUTED_VALUE"""),"")</f>
        <v/>
      </c>
      <c r="G1629" s="47" t="str">
        <f>IFERROR(__xludf.DUMMYFUNCTION("""COMPUTED_VALUE"""),"")</f>
        <v/>
      </c>
      <c r="H1629" s="47"/>
      <c r="I1629" s="47">
        <f>IFERROR(__xludf.DUMMYFUNCTION("""COMPUTED_VALUE"""),2.0)</f>
        <v>2</v>
      </c>
      <c r="J1629" s="47" t="str">
        <f>IFERROR(__xludf.DUMMYFUNCTION("""COMPUTED_VALUE"""),"https:")</f>
        <v>https:</v>
      </c>
      <c r="K1629" s="78" t="str">
        <f>IFERROR(__xludf.DUMMYFUNCTION("""COMPUTED_VALUE"""),"www.munzee.com")</f>
        <v>www.munzee.com</v>
      </c>
      <c r="L1629" s="47" t="str">
        <f>IFERROR(__xludf.DUMMYFUNCTION("""COMPUTED_VALUE"""),"m")</f>
        <v>m</v>
      </c>
      <c r="M1629" s="47" t="str">
        <f>IFERROR(__xludf.DUMMYFUNCTION("""COMPUTED_VALUE"""),"ArtofEco")</f>
        <v>ArtofEco</v>
      </c>
    </row>
    <row r="1630">
      <c r="A1630" s="47" t="str">
        <f>IFERROR(__xludf.DUMMYFUNCTION("""COMPUTED_VALUE"""),"Virtual Brown")</f>
        <v>Virtual Brown</v>
      </c>
      <c r="B1630" s="47" t="str">
        <f>IFERROR(__xludf.DUMMYFUNCTION("""COMPUTED_VALUE"""),"BrotherWiliam")</f>
        <v>BrotherWiliam</v>
      </c>
      <c r="C1630" s="78" t="str">
        <f>IFERROR(__xludf.DUMMYFUNCTION("""COMPUTED_VALUE"""),"https://www.munzee.com/m/BrotherWilliam/4895/")</f>
        <v>https://www.munzee.com/m/BrotherWilliam/4895/</v>
      </c>
      <c r="D1630" s="47"/>
      <c r="E1630" s="47" t="b">
        <f>IFERROR(__xludf.DUMMYFUNCTION("""COMPUTED_VALUE"""),TRUE)</f>
        <v>1</v>
      </c>
      <c r="F1630" s="86" t="str">
        <f>IFERROR(__xludf.DUMMYFUNCTION("""COMPUTED_VALUE"""),"")</f>
        <v/>
      </c>
      <c r="G1630" s="47" t="str">
        <f>IFERROR(__xludf.DUMMYFUNCTION("""COMPUTED_VALUE"""),"")</f>
        <v/>
      </c>
      <c r="H1630" s="47"/>
      <c r="I1630" s="47">
        <f>IFERROR(__xludf.DUMMYFUNCTION("""COMPUTED_VALUE"""),2.0)</f>
        <v>2</v>
      </c>
      <c r="J1630" s="47" t="str">
        <f>IFERROR(__xludf.DUMMYFUNCTION("""COMPUTED_VALUE"""),"https:")</f>
        <v>https:</v>
      </c>
      <c r="K1630" s="78" t="str">
        <f>IFERROR(__xludf.DUMMYFUNCTION("""COMPUTED_VALUE"""),"www.munzee.com")</f>
        <v>www.munzee.com</v>
      </c>
      <c r="L1630" s="47" t="str">
        <f>IFERROR(__xludf.DUMMYFUNCTION("""COMPUTED_VALUE"""),"m")</f>
        <v>m</v>
      </c>
      <c r="M1630" s="47" t="str">
        <f>IFERROR(__xludf.DUMMYFUNCTION("""COMPUTED_VALUE"""),"BrotherWilliam")</f>
        <v>BrotherWilliam</v>
      </c>
    </row>
    <row r="1631">
      <c r="A1631" s="47" t="str">
        <f>IFERROR(__xludf.DUMMYFUNCTION("""COMPUTED_VALUE"""),"Virtual Brown")</f>
        <v>Virtual Brown</v>
      </c>
      <c r="B1631" s="47" t="str">
        <f>IFERROR(__xludf.DUMMYFUNCTION("""COMPUTED_VALUE"""),"cbf600")</f>
        <v>cbf600</v>
      </c>
      <c r="C1631" s="78" t="str">
        <f>IFERROR(__xludf.DUMMYFUNCTION("""COMPUTED_VALUE"""),"https://www.munzee.com/m/cbf600/3013/")</f>
        <v>https://www.munzee.com/m/cbf600/3013/</v>
      </c>
      <c r="D1631" s="47"/>
      <c r="E1631" s="47" t="b">
        <f>IFERROR(__xludf.DUMMYFUNCTION("""COMPUTED_VALUE"""),TRUE)</f>
        <v>1</v>
      </c>
      <c r="F1631" s="86" t="str">
        <f>IFERROR(__xludf.DUMMYFUNCTION("""COMPUTED_VALUE"""),"")</f>
        <v/>
      </c>
      <c r="G1631" s="47" t="str">
        <f>IFERROR(__xludf.DUMMYFUNCTION("""COMPUTED_VALUE"""),"")</f>
        <v/>
      </c>
      <c r="H1631" s="47"/>
      <c r="I1631" s="47">
        <f>IFERROR(__xludf.DUMMYFUNCTION("""COMPUTED_VALUE"""),2.0)</f>
        <v>2</v>
      </c>
      <c r="J1631" s="47" t="str">
        <f>IFERROR(__xludf.DUMMYFUNCTION("""COMPUTED_VALUE"""),"https:")</f>
        <v>https:</v>
      </c>
      <c r="K1631" s="78" t="str">
        <f>IFERROR(__xludf.DUMMYFUNCTION("""COMPUTED_VALUE"""),"www.munzee.com")</f>
        <v>www.munzee.com</v>
      </c>
      <c r="L1631" s="47" t="str">
        <f>IFERROR(__xludf.DUMMYFUNCTION("""COMPUTED_VALUE"""),"m")</f>
        <v>m</v>
      </c>
      <c r="M1631" s="47" t="str">
        <f>IFERROR(__xludf.DUMMYFUNCTION("""COMPUTED_VALUE"""),"cbf600")</f>
        <v>cbf600</v>
      </c>
    </row>
    <row r="1632">
      <c r="A1632" s="47" t="str">
        <f>IFERROR(__xludf.DUMMYFUNCTION("""COMPUTED_VALUE"""),"Virtual Raw Sienna")</f>
        <v>Virtual Raw Sienna</v>
      </c>
      <c r="B1632" s="47" t="str">
        <f>IFERROR(__xludf.DUMMYFUNCTION("""COMPUTED_VALUE"""),"J1Huisman")</f>
        <v>J1Huisman</v>
      </c>
      <c r="C1632" s="78" t="str">
        <f>IFERROR(__xludf.DUMMYFUNCTION("""COMPUTED_VALUE"""),"https://www.munzee.com/m/J1Huisman/14700/")</f>
        <v>https://www.munzee.com/m/J1Huisman/14700/</v>
      </c>
      <c r="D1632" s="47"/>
      <c r="E1632" s="47" t="b">
        <f>IFERROR(__xludf.DUMMYFUNCTION("""COMPUTED_VALUE"""),TRUE)</f>
        <v>1</v>
      </c>
      <c r="F1632" s="86" t="str">
        <f>IFERROR(__xludf.DUMMYFUNCTION("""COMPUTED_VALUE"""),"")</f>
        <v/>
      </c>
      <c r="G1632" s="47" t="str">
        <f>IFERROR(__xludf.DUMMYFUNCTION("""COMPUTED_VALUE"""),"")</f>
        <v/>
      </c>
      <c r="H1632" s="47"/>
      <c r="I1632" s="47">
        <f>IFERROR(__xludf.DUMMYFUNCTION("""COMPUTED_VALUE"""),2.0)</f>
        <v>2</v>
      </c>
      <c r="J1632" s="47" t="str">
        <f>IFERROR(__xludf.DUMMYFUNCTION("""COMPUTED_VALUE"""),"https:")</f>
        <v>https:</v>
      </c>
      <c r="K1632" s="78" t="str">
        <f>IFERROR(__xludf.DUMMYFUNCTION("""COMPUTED_VALUE"""),"www.munzee.com")</f>
        <v>www.munzee.com</v>
      </c>
      <c r="L1632" s="47" t="str">
        <f>IFERROR(__xludf.DUMMYFUNCTION("""COMPUTED_VALUE"""),"m")</f>
        <v>m</v>
      </c>
      <c r="M1632" s="47" t="str">
        <f>IFERROR(__xludf.DUMMYFUNCTION("""COMPUTED_VALUE"""),"J1Huisman")</f>
        <v>J1Huisman</v>
      </c>
    </row>
    <row r="1633">
      <c r="A1633" s="47" t="str">
        <f>IFERROR(__xludf.DUMMYFUNCTION("""COMPUTED_VALUE"""),"Virtual Brown")</f>
        <v>Virtual Brown</v>
      </c>
      <c r="B1633" s="47" t="str">
        <f>IFERROR(__xludf.DUMMYFUNCTION("""COMPUTED_VALUE"""),"raunas")</f>
        <v>raunas</v>
      </c>
      <c r="C1633" s="78" t="str">
        <f>IFERROR(__xludf.DUMMYFUNCTION("""COMPUTED_VALUE"""),"https://www.munzee.com/m/raunas/7130")</f>
        <v>https://www.munzee.com/m/raunas/7130</v>
      </c>
      <c r="D1633" s="47"/>
      <c r="E1633" s="47" t="b">
        <f>IFERROR(__xludf.DUMMYFUNCTION("""COMPUTED_VALUE"""),TRUE)</f>
        <v>1</v>
      </c>
      <c r="F1633" s="86" t="str">
        <f>IFERROR(__xludf.DUMMYFUNCTION("""COMPUTED_VALUE"""),"")</f>
        <v/>
      </c>
      <c r="G1633" s="47" t="str">
        <f>IFERROR(__xludf.DUMMYFUNCTION("""COMPUTED_VALUE"""),"")</f>
        <v/>
      </c>
      <c r="H1633" s="47"/>
      <c r="I1633" s="47">
        <f>IFERROR(__xludf.DUMMYFUNCTION("""COMPUTED_VALUE"""),2.0)</f>
        <v>2</v>
      </c>
      <c r="J1633" s="47" t="str">
        <f>IFERROR(__xludf.DUMMYFUNCTION("""COMPUTED_VALUE"""),"https:")</f>
        <v>https:</v>
      </c>
      <c r="K1633" s="78" t="str">
        <f>IFERROR(__xludf.DUMMYFUNCTION("""COMPUTED_VALUE"""),"www.munzee.com")</f>
        <v>www.munzee.com</v>
      </c>
      <c r="L1633" s="47" t="str">
        <f>IFERROR(__xludf.DUMMYFUNCTION("""COMPUTED_VALUE"""),"m")</f>
        <v>m</v>
      </c>
      <c r="M1633" s="47" t="str">
        <f>IFERROR(__xludf.DUMMYFUNCTION("""COMPUTED_VALUE"""),"raunas")</f>
        <v>raunas</v>
      </c>
    </row>
    <row r="1634">
      <c r="A1634" s="47" t="str">
        <f>IFERROR(__xludf.DUMMYFUNCTION("""COMPUTED_VALUE"""),"Virtual Brown")</f>
        <v>Virtual Brown</v>
      </c>
      <c r="B1634" s="47" t="str">
        <f>IFERROR(__xludf.DUMMYFUNCTION("""COMPUTED_VALUE"""),"Anetzet ")</f>
        <v>Anetzet </v>
      </c>
      <c r="C1634" s="78" t="str">
        <f>IFERROR(__xludf.DUMMYFUNCTION("""COMPUTED_VALUE"""),"https://www.munzee.com/m/Anetzet/4281/")</f>
        <v>https://www.munzee.com/m/Anetzet/4281/</v>
      </c>
      <c r="D1634" s="47"/>
      <c r="E1634" s="47" t="b">
        <f>IFERROR(__xludf.DUMMYFUNCTION("""COMPUTED_VALUE"""),TRUE)</f>
        <v>1</v>
      </c>
      <c r="F1634" s="86"/>
      <c r="G1634" s="47" t="str">
        <f>IFERROR(__xludf.DUMMYFUNCTION("""COMPUTED_VALUE"""),"")</f>
        <v/>
      </c>
      <c r="H1634" s="47"/>
      <c r="I1634" s="47">
        <f>IFERROR(__xludf.DUMMYFUNCTION("""COMPUTED_VALUE"""),2.0)</f>
        <v>2</v>
      </c>
      <c r="J1634" s="47" t="str">
        <f>IFERROR(__xludf.DUMMYFUNCTION("""COMPUTED_VALUE"""),"https:")</f>
        <v>https:</v>
      </c>
      <c r="K1634" s="78" t="str">
        <f>IFERROR(__xludf.DUMMYFUNCTION("""COMPUTED_VALUE"""),"www.munzee.com")</f>
        <v>www.munzee.com</v>
      </c>
      <c r="L1634" s="47" t="str">
        <f>IFERROR(__xludf.DUMMYFUNCTION("""COMPUTED_VALUE"""),"m")</f>
        <v>m</v>
      </c>
      <c r="M1634" s="47" t="str">
        <f>IFERROR(__xludf.DUMMYFUNCTION("""COMPUTED_VALUE"""),"Anetzet")</f>
        <v>Anetzet</v>
      </c>
    </row>
    <row r="1635">
      <c r="A1635" s="47" t="str">
        <f>IFERROR(__xludf.DUMMYFUNCTION("""COMPUTED_VALUE"""),"Virtual Brown")</f>
        <v>Virtual Brown</v>
      </c>
      <c r="B1635" s="47" t="str">
        <f>IFERROR(__xludf.DUMMYFUNCTION("""COMPUTED_VALUE"""),"lupo6")</f>
        <v>lupo6</v>
      </c>
      <c r="C1635" s="78" t="str">
        <f>IFERROR(__xludf.DUMMYFUNCTION("""COMPUTED_VALUE"""),"https://www.munzee.com/m/lupo6/6880")</f>
        <v>https://www.munzee.com/m/lupo6/6880</v>
      </c>
      <c r="D1635" s="47"/>
      <c r="E1635" s="47" t="b">
        <f>IFERROR(__xludf.DUMMYFUNCTION("""COMPUTED_VALUE"""),TRUE)</f>
        <v>1</v>
      </c>
      <c r="F1635" s="86" t="str">
        <f>IFERROR(__xludf.DUMMYFUNCTION("""COMPUTED_VALUE"""),"")</f>
        <v/>
      </c>
      <c r="G1635" s="47" t="str">
        <f>IFERROR(__xludf.DUMMYFUNCTION("""COMPUTED_VALUE"""),"")</f>
        <v/>
      </c>
      <c r="H1635" s="47"/>
      <c r="I1635" s="47">
        <f>IFERROR(__xludf.DUMMYFUNCTION("""COMPUTED_VALUE"""),2.0)</f>
        <v>2</v>
      </c>
      <c r="J1635" s="47" t="str">
        <f>IFERROR(__xludf.DUMMYFUNCTION("""COMPUTED_VALUE"""),"https:")</f>
        <v>https:</v>
      </c>
      <c r="K1635" s="78" t="str">
        <f>IFERROR(__xludf.DUMMYFUNCTION("""COMPUTED_VALUE"""),"www.munzee.com")</f>
        <v>www.munzee.com</v>
      </c>
      <c r="L1635" s="47" t="str">
        <f>IFERROR(__xludf.DUMMYFUNCTION("""COMPUTED_VALUE"""),"m")</f>
        <v>m</v>
      </c>
      <c r="M1635" s="47" t="str">
        <f>IFERROR(__xludf.DUMMYFUNCTION("""COMPUTED_VALUE"""),"lupo6")</f>
        <v>lupo6</v>
      </c>
    </row>
    <row r="1636">
      <c r="A1636" s="47" t="str">
        <f>IFERROR(__xludf.DUMMYFUNCTION("""COMPUTED_VALUE"""),"Virtual Raw Sienna")</f>
        <v>Virtual Raw Sienna</v>
      </c>
      <c r="B1636" s="47" t="str">
        <f>IFERROR(__xludf.DUMMYFUNCTION("""COMPUTED_VALUE"""),"Reart")</f>
        <v>Reart</v>
      </c>
      <c r="C1636" s="78" t="str">
        <f>IFERROR(__xludf.DUMMYFUNCTION("""COMPUTED_VALUE"""),"https://www.munzee.com/m/Reart/917/")</f>
        <v>https://www.munzee.com/m/Reart/917/</v>
      </c>
      <c r="D1636" s="47"/>
      <c r="E1636" s="47" t="b">
        <f>IFERROR(__xludf.DUMMYFUNCTION("""COMPUTED_VALUE"""),TRUE)</f>
        <v>1</v>
      </c>
      <c r="F1636" s="86"/>
      <c r="G1636" s="47" t="str">
        <f>IFERROR(__xludf.DUMMYFUNCTION("""COMPUTED_VALUE"""),"")</f>
        <v/>
      </c>
      <c r="H1636" s="47"/>
      <c r="I1636" s="47">
        <f>IFERROR(__xludf.DUMMYFUNCTION("""COMPUTED_VALUE"""),2.0)</f>
        <v>2</v>
      </c>
      <c r="J1636" s="47" t="str">
        <f>IFERROR(__xludf.DUMMYFUNCTION("""COMPUTED_VALUE"""),"https:")</f>
        <v>https:</v>
      </c>
      <c r="K1636" s="78" t="str">
        <f>IFERROR(__xludf.DUMMYFUNCTION("""COMPUTED_VALUE"""),"www.munzee.com")</f>
        <v>www.munzee.com</v>
      </c>
      <c r="L1636" s="47" t="str">
        <f>IFERROR(__xludf.DUMMYFUNCTION("""COMPUTED_VALUE"""),"m")</f>
        <v>m</v>
      </c>
      <c r="M1636" s="47" t="str">
        <f>IFERROR(__xludf.DUMMYFUNCTION("""COMPUTED_VALUE"""),"Reart")</f>
        <v>Reart</v>
      </c>
    </row>
    <row r="1637">
      <c r="A1637" s="47" t="str">
        <f>IFERROR(__xludf.DUMMYFUNCTION("""COMPUTED_VALUE"""),"Virtual Brown")</f>
        <v>Virtual Brown</v>
      </c>
      <c r="B1637" s="47" t="str">
        <f>IFERROR(__xludf.DUMMYFUNCTION("""COMPUTED_VALUE"""),"OdinsFiRe")</f>
        <v>OdinsFiRe</v>
      </c>
      <c r="C1637" s="78" t="str">
        <f>IFERROR(__xludf.DUMMYFUNCTION("""COMPUTED_VALUE"""),"https://www.munzee.com/m/OdinsFiRe/2019/")</f>
        <v>https://www.munzee.com/m/OdinsFiRe/2019/</v>
      </c>
      <c r="D1637" s="47"/>
      <c r="E1637" s="47" t="b">
        <f>IFERROR(__xludf.DUMMYFUNCTION("""COMPUTED_VALUE"""),TRUE)</f>
        <v>1</v>
      </c>
      <c r="F1637" s="86" t="str">
        <f>IFERROR(__xludf.DUMMYFUNCTION("""COMPUTED_VALUE"""),"")</f>
        <v/>
      </c>
      <c r="G1637" s="47" t="str">
        <f>IFERROR(__xludf.DUMMYFUNCTION("""COMPUTED_VALUE"""),"")</f>
        <v/>
      </c>
      <c r="H1637" s="47"/>
      <c r="I1637" s="47">
        <f>IFERROR(__xludf.DUMMYFUNCTION("""COMPUTED_VALUE"""),2.0)</f>
        <v>2</v>
      </c>
      <c r="J1637" s="47" t="str">
        <f>IFERROR(__xludf.DUMMYFUNCTION("""COMPUTED_VALUE"""),"https:")</f>
        <v>https:</v>
      </c>
      <c r="K1637" s="78" t="str">
        <f>IFERROR(__xludf.DUMMYFUNCTION("""COMPUTED_VALUE"""),"www.munzee.com")</f>
        <v>www.munzee.com</v>
      </c>
      <c r="L1637" s="47" t="str">
        <f>IFERROR(__xludf.DUMMYFUNCTION("""COMPUTED_VALUE"""),"m")</f>
        <v>m</v>
      </c>
      <c r="M1637" s="47" t="str">
        <f>IFERROR(__xludf.DUMMYFUNCTION("""COMPUTED_VALUE"""),"OdinsFiRe")</f>
        <v>OdinsFiRe</v>
      </c>
    </row>
    <row r="1638">
      <c r="A1638" s="47" t="str">
        <f>IFERROR(__xludf.DUMMYFUNCTION("""COMPUTED_VALUE"""),"Virtual Brown")</f>
        <v>Virtual Brown</v>
      </c>
      <c r="B1638" s="47" t="str">
        <f>IFERROR(__xludf.DUMMYFUNCTION("""COMPUTED_VALUE"""),"cbf600")</f>
        <v>cbf600</v>
      </c>
      <c r="C1638" s="78" t="str">
        <f>IFERROR(__xludf.DUMMYFUNCTION("""COMPUTED_VALUE"""),"https://www.munzee.com/m/cbf600/3018/")</f>
        <v>https://www.munzee.com/m/cbf600/3018/</v>
      </c>
      <c r="D1638" s="47"/>
      <c r="E1638" s="47" t="b">
        <f>IFERROR(__xludf.DUMMYFUNCTION("""COMPUTED_VALUE"""),TRUE)</f>
        <v>1</v>
      </c>
      <c r="F1638" s="86" t="str">
        <f>IFERROR(__xludf.DUMMYFUNCTION("""COMPUTED_VALUE"""),"")</f>
        <v/>
      </c>
      <c r="G1638" s="47" t="str">
        <f>IFERROR(__xludf.DUMMYFUNCTION("""COMPUTED_VALUE"""),"")</f>
        <v/>
      </c>
      <c r="H1638" s="47"/>
      <c r="I1638" s="47">
        <f>IFERROR(__xludf.DUMMYFUNCTION("""COMPUTED_VALUE"""),2.0)</f>
        <v>2</v>
      </c>
      <c r="J1638" s="47" t="str">
        <f>IFERROR(__xludf.DUMMYFUNCTION("""COMPUTED_VALUE"""),"https:")</f>
        <v>https:</v>
      </c>
      <c r="K1638" s="78" t="str">
        <f>IFERROR(__xludf.DUMMYFUNCTION("""COMPUTED_VALUE"""),"www.munzee.com")</f>
        <v>www.munzee.com</v>
      </c>
      <c r="L1638" s="47" t="str">
        <f>IFERROR(__xludf.DUMMYFUNCTION("""COMPUTED_VALUE"""),"m")</f>
        <v>m</v>
      </c>
      <c r="M1638" s="47" t="str">
        <f>IFERROR(__xludf.DUMMYFUNCTION("""COMPUTED_VALUE"""),"cbf600")</f>
        <v>cbf600</v>
      </c>
    </row>
    <row r="1639">
      <c r="A1639" s="47" t="str">
        <f>IFERROR(__xludf.DUMMYFUNCTION("""COMPUTED_VALUE"""),"Virtual Raw Sienna")</f>
        <v>Virtual Raw Sienna</v>
      </c>
      <c r="B1639" s="47" t="str">
        <f>IFERROR(__xludf.DUMMYFUNCTION("""COMPUTED_VALUE"""),"WetCoaster")</f>
        <v>WetCoaster</v>
      </c>
      <c r="C1639" s="78" t="str">
        <f>IFERROR(__xludf.DUMMYFUNCTION("""COMPUTED_VALUE"""),"https://www.munzee.com/m/WetCoaster/4112/")</f>
        <v>https://www.munzee.com/m/WetCoaster/4112/</v>
      </c>
      <c r="D1639" s="47"/>
      <c r="E1639" s="47" t="b">
        <f>IFERROR(__xludf.DUMMYFUNCTION("""COMPUTED_VALUE"""),TRUE)</f>
        <v>1</v>
      </c>
      <c r="F1639" s="86" t="str">
        <f>IFERROR(__xludf.DUMMYFUNCTION("""COMPUTED_VALUE"""),"")</f>
        <v/>
      </c>
      <c r="G1639" s="47" t="str">
        <f>IFERROR(__xludf.DUMMYFUNCTION("""COMPUTED_VALUE"""),"")</f>
        <v/>
      </c>
      <c r="H1639" s="47"/>
      <c r="I1639" s="47">
        <f>IFERROR(__xludf.DUMMYFUNCTION("""COMPUTED_VALUE"""),2.0)</f>
        <v>2</v>
      </c>
      <c r="J1639" s="47" t="str">
        <f>IFERROR(__xludf.DUMMYFUNCTION("""COMPUTED_VALUE"""),"https:")</f>
        <v>https:</v>
      </c>
      <c r="K1639" s="78" t="str">
        <f>IFERROR(__xludf.DUMMYFUNCTION("""COMPUTED_VALUE"""),"www.munzee.com")</f>
        <v>www.munzee.com</v>
      </c>
      <c r="L1639" s="47" t="str">
        <f>IFERROR(__xludf.DUMMYFUNCTION("""COMPUTED_VALUE"""),"m")</f>
        <v>m</v>
      </c>
      <c r="M1639" s="47" t="str">
        <f>IFERROR(__xludf.DUMMYFUNCTION("""COMPUTED_VALUE"""),"WetCoaster")</f>
        <v>WetCoaster</v>
      </c>
    </row>
    <row r="1640">
      <c r="A1640" s="47" t="str">
        <f>IFERROR(__xludf.DUMMYFUNCTION("""COMPUTED_VALUE"""),"Virtual Brown")</f>
        <v>Virtual Brown</v>
      </c>
      <c r="B1640" s="47" t="str">
        <f>IFERROR(__xludf.DUMMYFUNCTION("""COMPUTED_VALUE"""),"TK2100")</f>
        <v>TK2100</v>
      </c>
      <c r="C1640" s="78" t="str">
        <f>IFERROR(__xludf.DUMMYFUNCTION("""COMPUTED_VALUE"""),"https://www.munzee.com/m/TK2100/361")</f>
        <v>https://www.munzee.com/m/TK2100/361</v>
      </c>
      <c r="D1640" s="47"/>
      <c r="E1640" s="47" t="b">
        <f>IFERROR(__xludf.DUMMYFUNCTION("""COMPUTED_VALUE"""),TRUE)</f>
        <v>1</v>
      </c>
      <c r="F1640" s="86" t="str">
        <f>IFERROR(__xludf.DUMMYFUNCTION("""COMPUTED_VALUE"""),"")</f>
        <v/>
      </c>
      <c r="G1640" s="47" t="str">
        <f>IFERROR(__xludf.DUMMYFUNCTION("""COMPUTED_VALUE"""),"")</f>
        <v/>
      </c>
      <c r="H1640" s="47"/>
      <c r="I1640" s="47">
        <f>IFERROR(__xludf.DUMMYFUNCTION("""COMPUTED_VALUE"""),2.0)</f>
        <v>2</v>
      </c>
      <c r="J1640" s="47" t="str">
        <f>IFERROR(__xludf.DUMMYFUNCTION("""COMPUTED_VALUE"""),"https:")</f>
        <v>https:</v>
      </c>
      <c r="K1640" s="78" t="str">
        <f>IFERROR(__xludf.DUMMYFUNCTION("""COMPUTED_VALUE"""),"www.munzee.com")</f>
        <v>www.munzee.com</v>
      </c>
      <c r="L1640" s="47" t="str">
        <f>IFERROR(__xludf.DUMMYFUNCTION("""COMPUTED_VALUE"""),"m")</f>
        <v>m</v>
      </c>
      <c r="M1640" s="47" t="str">
        <f>IFERROR(__xludf.DUMMYFUNCTION("""COMPUTED_VALUE"""),"TK2100")</f>
        <v>TK2100</v>
      </c>
    </row>
    <row r="1641">
      <c r="A1641" s="47" t="str">
        <f>IFERROR(__xludf.DUMMYFUNCTION("""COMPUTED_VALUE"""),"Virtual Raw Sienna")</f>
        <v>Virtual Raw Sienna</v>
      </c>
      <c r="B1641" s="47" t="str">
        <f>IFERROR(__xludf.DUMMYFUNCTION("""COMPUTED_VALUE"""),"orky99")</f>
        <v>orky99</v>
      </c>
      <c r="C1641" s="78" t="str">
        <f>IFERROR(__xludf.DUMMYFUNCTION("""COMPUTED_VALUE"""),"https://www.munzee.com/m/Orky99/3987/")</f>
        <v>https://www.munzee.com/m/Orky99/3987/</v>
      </c>
      <c r="D1641" s="47"/>
      <c r="E1641" s="47" t="b">
        <f>IFERROR(__xludf.DUMMYFUNCTION("""COMPUTED_VALUE"""),TRUE)</f>
        <v>1</v>
      </c>
      <c r="F1641" s="86" t="str">
        <f>IFERROR(__xludf.DUMMYFUNCTION("""COMPUTED_VALUE"""),"")</f>
        <v/>
      </c>
      <c r="G1641" s="47" t="str">
        <f>IFERROR(__xludf.DUMMYFUNCTION("""COMPUTED_VALUE"""),"")</f>
        <v/>
      </c>
      <c r="H1641" s="47"/>
      <c r="I1641" s="47">
        <f>IFERROR(__xludf.DUMMYFUNCTION("""COMPUTED_VALUE"""),2.0)</f>
        <v>2</v>
      </c>
      <c r="J1641" s="47" t="str">
        <f>IFERROR(__xludf.DUMMYFUNCTION("""COMPUTED_VALUE"""),"https:")</f>
        <v>https:</v>
      </c>
      <c r="K1641" s="78" t="str">
        <f>IFERROR(__xludf.DUMMYFUNCTION("""COMPUTED_VALUE"""),"www.munzee.com")</f>
        <v>www.munzee.com</v>
      </c>
      <c r="L1641" s="47" t="str">
        <f>IFERROR(__xludf.DUMMYFUNCTION("""COMPUTED_VALUE"""),"m")</f>
        <v>m</v>
      </c>
      <c r="M1641" s="47" t="str">
        <f>IFERROR(__xludf.DUMMYFUNCTION("""COMPUTED_VALUE"""),"Orky99")</f>
        <v>Orky99</v>
      </c>
    </row>
    <row r="1642">
      <c r="A1642" s="47" t="str">
        <f>IFERROR(__xludf.DUMMYFUNCTION("""COMPUTED_VALUE"""),"Virtual Brown")</f>
        <v>Virtual Brown</v>
      </c>
      <c r="B1642" s="47" t="str">
        <f>IFERROR(__xludf.DUMMYFUNCTION("""COMPUTED_VALUE"""),"iScreamBIue")</f>
        <v>iScreamBIue</v>
      </c>
      <c r="C1642" s="78" t="str">
        <f>IFERROR(__xludf.DUMMYFUNCTION("""COMPUTED_VALUE"""),"https://www.munzee.com/m/iScreamBIue/2173")</f>
        <v>https://www.munzee.com/m/iScreamBIue/2173</v>
      </c>
      <c r="D1642" s="47"/>
      <c r="E1642" s="47" t="b">
        <f>IFERROR(__xludf.DUMMYFUNCTION("""COMPUTED_VALUE"""),TRUE)</f>
        <v>1</v>
      </c>
      <c r="F1642" s="86" t="str">
        <f>IFERROR(__xludf.DUMMYFUNCTION("""COMPUTED_VALUE"""),"")</f>
        <v/>
      </c>
      <c r="G1642" s="47" t="str">
        <f>IFERROR(__xludf.DUMMYFUNCTION("""COMPUTED_VALUE"""),"")</f>
        <v/>
      </c>
      <c r="H1642" s="47"/>
      <c r="I1642" s="47">
        <f>IFERROR(__xludf.DUMMYFUNCTION("""COMPUTED_VALUE"""),2.0)</f>
        <v>2</v>
      </c>
      <c r="J1642" s="47" t="str">
        <f>IFERROR(__xludf.DUMMYFUNCTION("""COMPUTED_VALUE"""),"https:")</f>
        <v>https:</v>
      </c>
      <c r="K1642" s="78" t="str">
        <f>IFERROR(__xludf.DUMMYFUNCTION("""COMPUTED_VALUE"""),"www.munzee.com")</f>
        <v>www.munzee.com</v>
      </c>
      <c r="L1642" s="47" t="str">
        <f>IFERROR(__xludf.DUMMYFUNCTION("""COMPUTED_VALUE"""),"m")</f>
        <v>m</v>
      </c>
      <c r="M1642" s="47" t="str">
        <f>IFERROR(__xludf.DUMMYFUNCTION("""COMPUTED_VALUE"""),"iScreamBIue")</f>
        <v>iScreamBIue</v>
      </c>
    </row>
    <row r="1643">
      <c r="A1643" s="47" t="str">
        <f>IFERROR(__xludf.DUMMYFUNCTION("""COMPUTED_VALUE"""),"Virtual Brown")</f>
        <v>Virtual Brown</v>
      </c>
      <c r="B1643" s="47" t="str">
        <f>IFERROR(__xludf.DUMMYFUNCTION("""COMPUTED_VALUE"""),"kwd")</f>
        <v>kwd</v>
      </c>
      <c r="C1643" s="78" t="str">
        <f>IFERROR(__xludf.DUMMYFUNCTION("""COMPUTED_VALUE"""),"https://www.munzee.com/m/kwd/17268/")</f>
        <v>https://www.munzee.com/m/kwd/17268/</v>
      </c>
      <c r="D1643" s="47"/>
      <c r="E1643" s="47" t="b">
        <f>IFERROR(__xludf.DUMMYFUNCTION("""COMPUTED_VALUE"""),TRUE)</f>
        <v>1</v>
      </c>
      <c r="F1643" s="86" t="str">
        <f>IFERROR(__xludf.DUMMYFUNCTION("""COMPUTED_VALUE"""),"")</f>
        <v/>
      </c>
      <c r="G1643" s="47" t="str">
        <f>IFERROR(__xludf.DUMMYFUNCTION("""COMPUTED_VALUE"""),"")</f>
        <v/>
      </c>
      <c r="H1643" s="47"/>
      <c r="I1643" s="47">
        <f>IFERROR(__xludf.DUMMYFUNCTION("""COMPUTED_VALUE"""),2.0)</f>
        <v>2</v>
      </c>
      <c r="J1643" s="47" t="str">
        <f>IFERROR(__xludf.DUMMYFUNCTION("""COMPUTED_VALUE"""),"https:")</f>
        <v>https:</v>
      </c>
      <c r="K1643" s="78" t="str">
        <f>IFERROR(__xludf.DUMMYFUNCTION("""COMPUTED_VALUE"""),"www.munzee.com")</f>
        <v>www.munzee.com</v>
      </c>
      <c r="L1643" s="47" t="str">
        <f>IFERROR(__xludf.DUMMYFUNCTION("""COMPUTED_VALUE"""),"m")</f>
        <v>m</v>
      </c>
      <c r="M1643" s="47" t="str">
        <f>IFERROR(__xludf.DUMMYFUNCTION("""COMPUTED_VALUE"""),"kwd")</f>
        <v>kwd</v>
      </c>
    </row>
    <row r="1644">
      <c r="A1644" s="47" t="str">
        <f>IFERROR(__xludf.DUMMYFUNCTION("""COMPUTED_VALUE"""),"Virtual Brown")</f>
        <v>Virtual Brown</v>
      </c>
      <c r="B1644" s="47" t="str">
        <f>IFERROR(__xludf.DUMMYFUNCTION("""COMPUTED_VALUE"""),"Fossillady")</f>
        <v>Fossillady</v>
      </c>
      <c r="C1644" s="78" t="str">
        <f>IFERROR(__xludf.DUMMYFUNCTION("""COMPUTED_VALUE"""),"https://www.munzee.com/m/Fossillady/4367")</f>
        <v>https://www.munzee.com/m/Fossillady/4367</v>
      </c>
      <c r="D1644" s="47"/>
      <c r="E1644" s="47" t="b">
        <f>IFERROR(__xludf.DUMMYFUNCTION("""COMPUTED_VALUE"""),TRUE)</f>
        <v>1</v>
      </c>
      <c r="F1644" s="86" t="str">
        <f>IFERROR(__xludf.DUMMYFUNCTION("""COMPUTED_VALUE"""),"")</f>
        <v/>
      </c>
      <c r="G1644" s="47" t="str">
        <f>IFERROR(__xludf.DUMMYFUNCTION("""COMPUTED_VALUE"""),"")</f>
        <v/>
      </c>
      <c r="H1644" s="47"/>
      <c r="I1644" s="47">
        <f>IFERROR(__xludf.DUMMYFUNCTION("""COMPUTED_VALUE"""),2.0)</f>
        <v>2</v>
      </c>
      <c r="J1644" s="47" t="str">
        <f>IFERROR(__xludf.DUMMYFUNCTION("""COMPUTED_VALUE"""),"https:")</f>
        <v>https:</v>
      </c>
      <c r="K1644" s="78" t="str">
        <f>IFERROR(__xludf.DUMMYFUNCTION("""COMPUTED_VALUE"""),"www.munzee.com")</f>
        <v>www.munzee.com</v>
      </c>
      <c r="L1644" s="47" t="str">
        <f>IFERROR(__xludf.DUMMYFUNCTION("""COMPUTED_VALUE"""),"m")</f>
        <v>m</v>
      </c>
      <c r="M1644" s="47" t="str">
        <f>IFERROR(__xludf.DUMMYFUNCTION("""COMPUTED_VALUE"""),"Fossillady")</f>
        <v>Fossillady</v>
      </c>
    </row>
    <row r="1645">
      <c r="A1645" s="47" t="str">
        <f>IFERROR(__xludf.DUMMYFUNCTION("""COMPUTED_VALUE"""),"Virtual Brown")</f>
        <v>Virtual Brown</v>
      </c>
      <c r="B1645" s="47" t="str">
        <f>IFERROR(__xludf.DUMMYFUNCTION("""COMPUTED_VALUE"""),"FlatBlack")</f>
        <v>FlatBlack</v>
      </c>
      <c r="C1645" s="78" t="str">
        <f>IFERROR(__xludf.DUMMYFUNCTION("""COMPUTED_VALUE"""),"https://www.munzee.com/m/FlatBlack/1142")</f>
        <v>https://www.munzee.com/m/FlatBlack/1142</v>
      </c>
      <c r="D1645" s="47"/>
      <c r="E1645" s="47" t="b">
        <f>IFERROR(__xludf.DUMMYFUNCTION("""COMPUTED_VALUE"""),TRUE)</f>
        <v>1</v>
      </c>
      <c r="F1645" s="86" t="str">
        <f>IFERROR(__xludf.DUMMYFUNCTION("""COMPUTED_VALUE"""),"")</f>
        <v/>
      </c>
      <c r="G1645" s="47" t="str">
        <f>IFERROR(__xludf.DUMMYFUNCTION("""COMPUTED_VALUE"""),"")</f>
        <v/>
      </c>
      <c r="H1645" s="47"/>
      <c r="I1645" s="47">
        <f>IFERROR(__xludf.DUMMYFUNCTION("""COMPUTED_VALUE"""),2.0)</f>
        <v>2</v>
      </c>
      <c r="J1645" s="47" t="str">
        <f>IFERROR(__xludf.DUMMYFUNCTION("""COMPUTED_VALUE"""),"https:")</f>
        <v>https:</v>
      </c>
      <c r="K1645" s="78" t="str">
        <f>IFERROR(__xludf.DUMMYFUNCTION("""COMPUTED_VALUE"""),"www.munzee.com")</f>
        <v>www.munzee.com</v>
      </c>
      <c r="L1645" s="47" t="str">
        <f>IFERROR(__xludf.DUMMYFUNCTION("""COMPUTED_VALUE"""),"m")</f>
        <v>m</v>
      </c>
      <c r="M1645" s="47" t="str">
        <f>IFERROR(__xludf.DUMMYFUNCTION("""COMPUTED_VALUE"""),"FlatBlack")</f>
        <v>FlatBlack</v>
      </c>
    </row>
    <row r="1646">
      <c r="A1646" s="47" t="str">
        <f>IFERROR(__xludf.DUMMYFUNCTION("""COMPUTED_VALUE"""),"Virtual Brown")</f>
        <v>Virtual Brown</v>
      </c>
      <c r="B1646" s="47" t="str">
        <f>IFERROR(__xludf.DUMMYFUNCTION("""COMPUTED_VALUE"""),"orky99")</f>
        <v>orky99</v>
      </c>
      <c r="C1646" s="78" t="str">
        <f>IFERROR(__xludf.DUMMYFUNCTION("""COMPUTED_VALUE"""),"https://www.munzee.com/m/Orky99/3993/")</f>
        <v>https://www.munzee.com/m/Orky99/3993/</v>
      </c>
      <c r="D1646" s="47"/>
      <c r="E1646" s="47" t="b">
        <f>IFERROR(__xludf.DUMMYFUNCTION("""COMPUTED_VALUE"""),TRUE)</f>
        <v>1</v>
      </c>
      <c r="F1646" s="86" t="str">
        <f>IFERROR(__xludf.DUMMYFUNCTION("""COMPUTED_VALUE"""),"")</f>
        <v/>
      </c>
      <c r="G1646" s="47" t="str">
        <f>IFERROR(__xludf.DUMMYFUNCTION("""COMPUTED_VALUE"""),"")</f>
        <v/>
      </c>
      <c r="H1646" s="47"/>
      <c r="I1646" s="47">
        <f>IFERROR(__xludf.DUMMYFUNCTION("""COMPUTED_VALUE"""),2.0)</f>
        <v>2</v>
      </c>
      <c r="J1646" s="47" t="str">
        <f>IFERROR(__xludf.DUMMYFUNCTION("""COMPUTED_VALUE"""),"https:")</f>
        <v>https:</v>
      </c>
      <c r="K1646" s="78" t="str">
        <f>IFERROR(__xludf.DUMMYFUNCTION("""COMPUTED_VALUE"""),"www.munzee.com")</f>
        <v>www.munzee.com</v>
      </c>
      <c r="L1646" s="47" t="str">
        <f>IFERROR(__xludf.DUMMYFUNCTION("""COMPUTED_VALUE"""),"m")</f>
        <v>m</v>
      </c>
      <c r="M1646" s="47" t="str">
        <f>IFERROR(__xludf.DUMMYFUNCTION("""COMPUTED_VALUE"""),"Orky99")</f>
        <v>Orky99</v>
      </c>
    </row>
    <row r="1647">
      <c r="A1647" s="47" t="str">
        <f>IFERROR(__xludf.DUMMYFUNCTION("""COMPUTED_VALUE"""),"Virtual Brown")</f>
        <v>Virtual Brown</v>
      </c>
      <c r="B1647" s="47" t="str">
        <f>IFERROR(__xludf.DUMMYFUNCTION("""COMPUTED_VALUE"""),"Bisquick2")</f>
        <v>Bisquick2</v>
      </c>
      <c r="C1647" s="78" t="str">
        <f>IFERROR(__xludf.DUMMYFUNCTION("""COMPUTED_VALUE"""),"https://www.munzee.com/m/Bisquick2/5977/")</f>
        <v>https://www.munzee.com/m/Bisquick2/5977/</v>
      </c>
      <c r="D1647" s="47"/>
      <c r="E1647" s="47" t="b">
        <f>IFERROR(__xludf.DUMMYFUNCTION("""COMPUTED_VALUE"""),TRUE)</f>
        <v>1</v>
      </c>
      <c r="F1647" s="86" t="str">
        <f>IFERROR(__xludf.DUMMYFUNCTION("""COMPUTED_VALUE"""),"")</f>
        <v/>
      </c>
      <c r="G1647" s="47" t="str">
        <f>IFERROR(__xludf.DUMMYFUNCTION("""COMPUTED_VALUE"""),"")</f>
        <v/>
      </c>
      <c r="H1647" s="47"/>
      <c r="I1647" s="47">
        <f>IFERROR(__xludf.DUMMYFUNCTION("""COMPUTED_VALUE"""),2.0)</f>
        <v>2</v>
      </c>
      <c r="J1647" s="47" t="str">
        <f>IFERROR(__xludf.DUMMYFUNCTION("""COMPUTED_VALUE"""),"https:")</f>
        <v>https:</v>
      </c>
      <c r="K1647" s="78" t="str">
        <f>IFERROR(__xludf.DUMMYFUNCTION("""COMPUTED_VALUE"""),"www.munzee.com")</f>
        <v>www.munzee.com</v>
      </c>
      <c r="L1647" s="47" t="str">
        <f>IFERROR(__xludf.DUMMYFUNCTION("""COMPUTED_VALUE"""),"m")</f>
        <v>m</v>
      </c>
      <c r="M1647" s="47" t="str">
        <f>IFERROR(__xludf.DUMMYFUNCTION("""COMPUTED_VALUE"""),"Bisquick2")</f>
        <v>Bisquick2</v>
      </c>
    </row>
    <row r="1648">
      <c r="A1648" s="47" t="str">
        <f>IFERROR(__xludf.DUMMYFUNCTION("""COMPUTED_VALUE"""),"Virtual Brown")</f>
        <v>Virtual Brown</v>
      </c>
      <c r="B1648" s="47" t="str">
        <f>IFERROR(__xludf.DUMMYFUNCTION("""COMPUTED_VALUE"""),"kwd")</f>
        <v>kwd</v>
      </c>
      <c r="C1648" s="78" t="str">
        <f>IFERROR(__xludf.DUMMYFUNCTION("""COMPUTED_VALUE"""),"https://www.munzee.com/m/kwd/17267/")</f>
        <v>https://www.munzee.com/m/kwd/17267/</v>
      </c>
      <c r="D1648" s="47"/>
      <c r="E1648" s="47" t="b">
        <f>IFERROR(__xludf.DUMMYFUNCTION("""COMPUTED_VALUE"""),TRUE)</f>
        <v>1</v>
      </c>
      <c r="F1648" s="86" t="str">
        <f>IFERROR(__xludf.DUMMYFUNCTION("""COMPUTED_VALUE"""),"")</f>
        <v/>
      </c>
      <c r="G1648" s="47" t="str">
        <f>IFERROR(__xludf.DUMMYFUNCTION("""COMPUTED_VALUE"""),"")</f>
        <v/>
      </c>
      <c r="H1648" s="47"/>
      <c r="I1648" s="47">
        <f>IFERROR(__xludf.DUMMYFUNCTION("""COMPUTED_VALUE"""),2.0)</f>
        <v>2</v>
      </c>
      <c r="J1648" s="47" t="str">
        <f>IFERROR(__xludf.DUMMYFUNCTION("""COMPUTED_VALUE"""),"https:")</f>
        <v>https:</v>
      </c>
      <c r="K1648" s="78" t="str">
        <f>IFERROR(__xludf.DUMMYFUNCTION("""COMPUTED_VALUE"""),"www.munzee.com")</f>
        <v>www.munzee.com</v>
      </c>
      <c r="L1648" s="47" t="str">
        <f>IFERROR(__xludf.DUMMYFUNCTION("""COMPUTED_VALUE"""),"m")</f>
        <v>m</v>
      </c>
      <c r="M1648" s="47" t="str">
        <f>IFERROR(__xludf.DUMMYFUNCTION("""COMPUTED_VALUE"""),"kwd")</f>
        <v>kwd</v>
      </c>
    </row>
    <row r="1649">
      <c r="A1649" s="47" t="str">
        <f>IFERROR(__xludf.DUMMYFUNCTION("""COMPUTED_VALUE"""),"Virtual Raw Sienna")</f>
        <v>Virtual Raw Sienna</v>
      </c>
      <c r="B1649" s="47" t="str">
        <f>IFERROR(__xludf.DUMMYFUNCTION("""COMPUTED_VALUE"""),"richardg01")</f>
        <v>richardg01</v>
      </c>
      <c r="C1649" s="78" t="str">
        <f>IFERROR(__xludf.DUMMYFUNCTION("""COMPUTED_VALUE"""),"https://www.munzee.com/m/richardg01/5080/")</f>
        <v>https://www.munzee.com/m/richardg01/5080/</v>
      </c>
      <c r="D1649" s="47"/>
      <c r="E1649" s="47" t="b">
        <f>IFERROR(__xludf.DUMMYFUNCTION("""COMPUTED_VALUE"""),TRUE)</f>
        <v>1</v>
      </c>
      <c r="F1649" s="86" t="str">
        <f>IFERROR(__xludf.DUMMYFUNCTION("""COMPUTED_VALUE"""),"")</f>
        <v/>
      </c>
      <c r="G1649" s="47" t="str">
        <f>IFERROR(__xludf.DUMMYFUNCTION("""COMPUTED_VALUE"""),"")</f>
        <v/>
      </c>
      <c r="H1649" s="47"/>
      <c r="I1649" s="47">
        <f>IFERROR(__xludf.DUMMYFUNCTION("""COMPUTED_VALUE"""),2.0)</f>
        <v>2</v>
      </c>
      <c r="J1649" s="47" t="str">
        <f>IFERROR(__xludf.DUMMYFUNCTION("""COMPUTED_VALUE"""),"https:")</f>
        <v>https:</v>
      </c>
      <c r="K1649" s="78" t="str">
        <f>IFERROR(__xludf.DUMMYFUNCTION("""COMPUTED_VALUE"""),"www.munzee.com")</f>
        <v>www.munzee.com</v>
      </c>
      <c r="L1649" s="47" t="str">
        <f>IFERROR(__xludf.DUMMYFUNCTION("""COMPUTED_VALUE"""),"m")</f>
        <v>m</v>
      </c>
      <c r="M1649" s="47" t="str">
        <f>IFERROR(__xludf.DUMMYFUNCTION("""COMPUTED_VALUE"""),"richardg01")</f>
        <v>richardg01</v>
      </c>
    </row>
    <row r="1650">
      <c r="A1650" s="47" t="str">
        <f>IFERROR(__xludf.DUMMYFUNCTION("""COMPUTED_VALUE"""),"Virtual Brown")</f>
        <v>Virtual Brown</v>
      </c>
      <c r="B1650" s="47" t="str">
        <f>IFERROR(__xludf.DUMMYFUNCTION("""COMPUTED_VALUE"""),"StridentUK")</f>
        <v>StridentUK</v>
      </c>
      <c r="C1650" s="78" t="str">
        <f>IFERROR(__xludf.DUMMYFUNCTION("""COMPUTED_VALUE"""),"https://www.munzee.com/m/StridentUK/7256/")</f>
        <v>https://www.munzee.com/m/StridentUK/7256/</v>
      </c>
      <c r="D1650" s="90"/>
      <c r="E1650" s="47" t="b">
        <f>IFERROR(__xludf.DUMMYFUNCTION("""COMPUTED_VALUE"""),TRUE)</f>
        <v>1</v>
      </c>
      <c r="F1650" s="86" t="str">
        <f>IFERROR(__xludf.DUMMYFUNCTION("""COMPUTED_VALUE"""),"")</f>
        <v/>
      </c>
      <c r="G1650" s="47" t="str">
        <f>IFERROR(__xludf.DUMMYFUNCTION("""COMPUTED_VALUE"""),"")</f>
        <v/>
      </c>
      <c r="H1650" s="47"/>
      <c r="I1650" s="47">
        <f>IFERROR(__xludf.DUMMYFUNCTION("""COMPUTED_VALUE"""),2.0)</f>
        <v>2</v>
      </c>
      <c r="J1650" s="47" t="str">
        <f>IFERROR(__xludf.DUMMYFUNCTION("""COMPUTED_VALUE"""),"https:")</f>
        <v>https:</v>
      </c>
      <c r="K1650" s="78" t="str">
        <f>IFERROR(__xludf.DUMMYFUNCTION("""COMPUTED_VALUE"""),"www.munzee.com")</f>
        <v>www.munzee.com</v>
      </c>
      <c r="L1650" s="47" t="str">
        <f>IFERROR(__xludf.DUMMYFUNCTION("""COMPUTED_VALUE"""),"m")</f>
        <v>m</v>
      </c>
      <c r="M1650" s="47" t="str">
        <f>IFERROR(__xludf.DUMMYFUNCTION("""COMPUTED_VALUE"""),"StridentUK")</f>
        <v>StridentUK</v>
      </c>
    </row>
    <row r="1651">
      <c r="A1651" s="47" t="str">
        <f>IFERROR(__xludf.DUMMYFUNCTION("""COMPUTED_VALUE"""),"Virtual Brown")</f>
        <v>Virtual Brown</v>
      </c>
      <c r="B1651" s="47" t="str">
        <f>IFERROR(__xludf.DUMMYFUNCTION("""COMPUTED_VALUE"""),"TheaG")</f>
        <v>TheaG</v>
      </c>
      <c r="C1651" s="78" t="str">
        <f>IFERROR(__xludf.DUMMYFUNCTION("""COMPUTED_VALUE"""),"https://www.munzee.com/m/TheaG/334/")</f>
        <v>https://www.munzee.com/m/TheaG/334/</v>
      </c>
      <c r="D1651" s="47"/>
      <c r="E1651" s="47" t="b">
        <f>IFERROR(__xludf.DUMMYFUNCTION("""COMPUTED_VALUE"""),TRUE)</f>
        <v>1</v>
      </c>
      <c r="F1651" s="86" t="str">
        <f>IFERROR(__xludf.DUMMYFUNCTION("""COMPUTED_VALUE"""),"")</f>
        <v/>
      </c>
      <c r="G1651" s="47" t="str">
        <f>IFERROR(__xludf.DUMMYFUNCTION("""COMPUTED_VALUE"""),"")</f>
        <v/>
      </c>
      <c r="H1651" s="47"/>
      <c r="I1651" s="47">
        <f>IFERROR(__xludf.DUMMYFUNCTION("""COMPUTED_VALUE"""),2.0)</f>
        <v>2</v>
      </c>
      <c r="J1651" s="47" t="str">
        <f>IFERROR(__xludf.DUMMYFUNCTION("""COMPUTED_VALUE"""),"https:")</f>
        <v>https:</v>
      </c>
      <c r="K1651" s="78" t="str">
        <f>IFERROR(__xludf.DUMMYFUNCTION("""COMPUTED_VALUE"""),"www.munzee.com")</f>
        <v>www.munzee.com</v>
      </c>
      <c r="L1651" s="47" t="str">
        <f>IFERROR(__xludf.DUMMYFUNCTION("""COMPUTED_VALUE"""),"m")</f>
        <v>m</v>
      </c>
      <c r="M1651" s="47" t="str">
        <f>IFERROR(__xludf.DUMMYFUNCTION("""COMPUTED_VALUE"""),"TheaG")</f>
        <v>TheaG</v>
      </c>
    </row>
    <row r="1652">
      <c r="A1652" s="47" t="str">
        <f>IFERROR(__xludf.DUMMYFUNCTION("""COMPUTED_VALUE"""),"Virtual Raw Sienna")</f>
        <v>Virtual Raw Sienna</v>
      </c>
      <c r="B1652" s="47" t="str">
        <f>IFERROR(__xludf.DUMMYFUNCTION("""COMPUTED_VALUE"""),"struwel")</f>
        <v>struwel</v>
      </c>
      <c r="C1652" s="78" t="str">
        <f>IFERROR(__xludf.DUMMYFUNCTION("""COMPUTED_VALUE"""),"https://www.munzee.com/m/struwel/20079")</f>
        <v>https://www.munzee.com/m/struwel/20079</v>
      </c>
      <c r="D1652" s="47"/>
      <c r="E1652" s="47" t="b">
        <f>IFERROR(__xludf.DUMMYFUNCTION("""COMPUTED_VALUE"""),TRUE)</f>
        <v>1</v>
      </c>
      <c r="F1652" s="86" t="str">
        <f>IFERROR(__xludf.DUMMYFUNCTION("""COMPUTED_VALUE"""),"")</f>
        <v/>
      </c>
      <c r="G1652" s="47" t="str">
        <f>IFERROR(__xludf.DUMMYFUNCTION("""COMPUTED_VALUE"""),"")</f>
        <v/>
      </c>
      <c r="H1652" s="47"/>
      <c r="I1652" s="47">
        <f>IFERROR(__xludf.DUMMYFUNCTION("""COMPUTED_VALUE"""),2.0)</f>
        <v>2</v>
      </c>
      <c r="J1652" s="47" t="str">
        <f>IFERROR(__xludf.DUMMYFUNCTION("""COMPUTED_VALUE"""),"https:")</f>
        <v>https:</v>
      </c>
      <c r="K1652" s="78" t="str">
        <f>IFERROR(__xludf.DUMMYFUNCTION("""COMPUTED_VALUE"""),"www.munzee.com")</f>
        <v>www.munzee.com</v>
      </c>
      <c r="L1652" s="47" t="str">
        <f>IFERROR(__xludf.DUMMYFUNCTION("""COMPUTED_VALUE"""),"m")</f>
        <v>m</v>
      </c>
      <c r="M1652" s="47" t="str">
        <f>IFERROR(__xludf.DUMMYFUNCTION("""COMPUTED_VALUE"""),"struwel")</f>
        <v>struwel</v>
      </c>
    </row>
    <row r="1653">
      <c r="A1653" s="47" t="str">
        <f>IFERROR(__xludf.DUMMYFUNCTION("""COMPUTED_VALUE"""),"Virtual Brown")</f>
        <v>Virtual Brown</v>
      </c>
      <c r="B1653" s="47" t="str">
        <f>IFERROR(__xludf.DUMMYFUNCTION("""COMPUTED_VALUE"""),"richardg01")</f>
        <v>richardg01</v>
      </c>
      <c r="C1653" s="78" t="str">
        <f>IFERROR(__xludf.DUMMYFUNCTION("""COMPUTED_VALUE"""),"https://www.munzee.com/m/richardg01/5079/")</f>
        <v>https://www.munzee.com/m/richardg01/5079/</v>
      </c>
      <c r="D1653" s="47"/>
      <c r="E1653" s="47" t="b">
        <f>IFERROR(__xludf.DUMMYFUNCTION("""COMPUTED_VALUE"""),TRUE)</f>
        <v>1</v>
      </c>
      <c r="F1653" s="86" t="str">
        <f>IFERROR(__xludf.DUMMYFUNCTION("""COMPUTED_VALUE"""),"")</f>
        <v/>
      </c>
      <c r="G1653" s="47" t="str">
        <f>IFERROR(__xludf.DUMMYFUNCTION("""COMPUTED_VALUE"""),"")</f>
        <v/>
      </c>
      <c r="H1653" s="47"/>
      <c r="I1653" s="47">
        <f>IFERROR(__xludf.DUMMYFUNCTION("""COMPUTED_VALUE"""),2.0)</f>
        <v>2</v>
      </c>
      <c r="J1653" s="47" t="str">
        <f>IFERROR(__xludf.DUMMYFUNCTION("""COMPUTED_VALUE"""),"https:")</f>
        <v>https:</v>
      </c>
      <c r="K1653" s="78" t="str">
        <f>IFERROR(__xludf.DUMMYFUNCTION("""COMPUTED_VALUE"""),"www.munzee.com")</f>
        <v>www.munzee.com</v>
      </c>
      <c r="L1653" s="47" t="str">
        <f>IFERROR(__xludf.DUMMYFUNCTION("""COMPUTED_VALUE"""),"m")</f>
        <v>m</v>
      </c>
      <c r="M1653" s="47" t="str">
        <f>IFERROR(__xludf.DUMMYFUNCTION("""COMPUTED_VALUE"""),"richardg01")</f>
        <v>richardg01</v>
      </c>
    </row>
    <row r="1654">
      <c r="A1654" s="47" t="str">
        <f>IFERROR(__xludf.DUMMYFUNCTION("""COMPUTED_VALUE"""),"Virtual Brown")</f>
        <v>Virtual Brown</v>
      </c>
      <c r="B1654" s="47" t="str">
        <f>IFERROR(__xludf.DUMMYFUNCTION("""COMPUTED_VALUE"""),"123xilef")</f>
        <v>123xilef</v>
      </c>
      <c r="C1654" s="78" t="str">
        <f>IFERROR(__xludf.DUMMYFUNCTION("""COMPUTED_VALUE"""),"https://www.munzee.com/m/123xilef/10961/")</f>
        <v>https://www.munzee.com/m/123xilef/10961/</v>
      </c>
      <c r="D1654" s="47"/>
      <c r="E1654" s="47" t="b">
        <f>IFERROR(__xludf.DUMMYFUNCTION("""COMPUTED_VALUE"""),TRUE)</f>
        <v>1</v>
      </c>
      <c r="F1654" s="86" t="str">
        <f>IFERROR(__xludf.DUMMYFUNCTION("""COMPUTED_VALUE"""),"")</f>
        <v/>
      </c>
      <c r="G1654" s="47" t="str">
        <f>IFERROR(__xludf.DUMMYFUNCTION("""COMPUTED_VALUE"""),"")</f>
        <v/>
      </c>
      <c r="H1654" s="47"/>
      <c r="I1654" s="47">
        <f>IFERROR(__xludf.DUMMYFUNCTION("""COMPUTED_VALUE"""),2.0)</f>
        <v>2</v>
      </c>
      <c r="J1654" s="47" t="str">
        <f>IFERROR(__xludf.DUMMYFUNCTION("""COMPUTED_VALUE"""),"https:")</f>
        <v>https:</v>
      </c>
      <c r="K1654" s="78" t="str">
        <f>IFERROR(__xludf.DUMMYFUNCTION("""COMPUTED_VALUE"""),"www.munzee.com")</f>
        <v>www.munzee.com</v>
      </c>
      <c r="L1654" s="47" t="str">
        <f>IFERROR(__xludf.DUMMYFUNCTION("""COMPUTED_VALUE"""),"m")</f>
        <v>m</v>
      </c>
      <c r="M1654" s="47" t="str">
        <f>IFERROR(__xludf.DUMMYFUNCTION("""COMPUTED_VALUE"""),"123xilef")</f>
        <v>123xilef</v>
      </c>
    </row>
    <row r="1655">
      <c r="A1655" s="47" t="str">
        <f>IFERROR(__xludf.DUMMYFUNCTION("""COMPUTED_VALUE"""),"Virtual Raw Sienna")</f>
        <v>Virtual Raw Sienna</v>
      </c>
      <c r="B1655" s="47" t="str">
        <f>IFERROR(__xludf.DUMMYFUNCTION("""COMPUTED_VALUE"""),"Bouffe")</f>
        <v>Bouffe</v>
      </c>
      <c r="C1655" s="78" t="str">
        <f>IFERROR(__xludf.DUMMYFUNCTION("""COMPUTED_VALUE"""),"https://www.munzee.com/m/Bouffe/2619/")</f>
        <v>https://www.munzee.com/m/Bouffe/2619/</v>
      </c>
      <c r="D1655" s="47"/>
      <c r="E1655" s="47" t="b">
        <f>IFERROR(__xludf.DUMMYFUNCTION("""COMPUTED_VALUE"""),TRUE)</f>
        <v>1</v>
      </c>
      <c r="F1655" s="86" t="str">
        <f>IFERROR(__xludf.DUMMYFUNCTION("""COMPUTED_VALUE"""),"")</f>
        <v/>
      </c>
      <c r="G1655" s="47" t="str">
        <f>IFERROR(__xludf.DUMMYFUNCTION("""COMPUTED_VALUE"""),"")</f>
        <v/>
      </c>
      <c r="H1655" s="47"/>
      <c r="I1655" s="47">
        <f>IFERROR(__xludf.DUMMYFUNCTION("""COMPUTED_VALUE"""),2.0)</f>
        <v>2</v>
      </c>
      <c r="J1655" s="47" t="str">
        <f>IFERROR(__xludf.DUMMYFUNCTION("""COMPUTED_VALUE"""),"https:")</f>
        <v>https:</v>
      </c>
      <c r="K1655" s="78" t="str">
        <f>IFERROR(__xludf.DUMMYFUNCTION("""COMPUTED_VALUE"""),"www.munzee.com")</f>
        <v>www.munzee.com</v>
      </c>
      <c r="L1655" s="47" t="str">
        <f>IFERROR(__xludf.DUMMYFUNCTION("""COMPUTED_VALUE"""),"m")</f>
        <v>m</v>
      </c>
      <c r="M1655" s="47" t="str">
        <f>IFERROR(__xludf.DUMMYFUNCTION("""COMPUTED_VALUE"""),"Bouffe")</f>
        <v>Bouffe</v>
      </c>
    </row>
    <row r="1656">
      <c r="A1656" s="47" t="str">
        <f>IFERROR(__xludf.DUMMYFUNCTION("""COMPUTED_VALUE"""),"Virtual Brown")</f>
        <v>Virtual Brown</v>
      </c>
      <c r="B1656" s="47" t="str">
        <f>IFERROR(__xludf.DUMMYFUNCTION("""COMPUTED_VALUE"""),"Laura02")</f>
        <v>Laura02</v>
      </c>
      <c r="C1656" s="78" t="str">
        <f>IFERROR(__xludf.DUMMYFUNCTION("""COMPUTED_VALUE"""),"https://www.munzee.com/m/Laura02/1227/")</f>
        <v>https://www.munzee.com/m/Laura02/1227/</v>
      </c>
      <c r="D1656" s="47"/>
      <c r="E1656" s="47" t="b">
        <f>IFERROR(__xludf.DUMMYFUNCTION("""COMPUTED_VALUE"""),TRUE)</f>
        <v>1</v>
      </c>
      <c r="F1656" s="86" t="str">
        <f>IFERROR(__xludf.DUMMYFUNCTION("""COMPUTED_VALUE"""),"")</f>
        <v/>
      </c>
      <c r="G1656" s="47" t="str">
        <f>IFERROR(__xludf.DUMMYFUNCTION("""COMPUTED_VALUE"""),"")</f>
        <v/>
      </c>
      <c r="H1656" s="47"/>
      <c r="I1656" s="47">
        <f>IFERROR(__xludf.DUMMYFUNCTION("""COMPUTED_VALUE"""),2.0)</f>
        <v>2</v>
      </c>
      <c r="J1656" s="47" t="str">
        <f>IFERROR(__xludf.DUMMYFUNCTION("""COMPUTED_VALUE"""),"https:")</f>
        <v>https:</v>
      </c>
      <c r="K1656" s="78" t="str">
        <f>IFERROR(__xludf.DUMMYFUNCTION("""COMPUTED_VALUE"""),"www.munzee.com")</f>
        <v>www.munzee.com</v>
      </c>
      <c r="L1656" s="47" t="str">
        <f>IFERROR(__xludf.DUMMYFUNCTION("""COMPUTED_VALUE"""),"m")</f>
        <v>m</v>
      </c>
      <c r="M1656" s="47" t="str">
        <f>IFERROR(__xludf.DUMMYFUNCTION("""COMPUTED_VALUE"""),"Laura02")</f>
        <v>Laura02</v>
      </c>
    </row>
    <row r="1657">
      <c r="A1657" s="47" t="str">
        <f>IFERROR(__xludf.DUMMYFUNCTION("""COMPUTED_VALUE"""),"Virtual Brown")</f>
        <v>Virtual Brown</v>
      </c>
      <c r="B1657" s="47" t="str">
        <f>IFERROR(__xludf.DUMMYFUNCTION("""COMPUTED_VALUE"""),"lupo6")</f>
        <v>lupo6</v>
      </c>
      <c r="C1657" s="78" t="str">
        <f>IFERROR(__xludf.DUMMYFUNCTION("""COMPUTED_VALUE"""),"https://www.munzee.com/m/lupo6/2715")</f>
        <v>https://www.munzee.com/m/lupo6/2715</v>
      </c>
      <c r="D1657" s="47"/>
      <c r="E1657" s="47" t="b">
        <f>IFERROR(__xludf.DUMMYFUNCTION("""COMPUTED_VALUE"""),TRUE)</f>
        <v>1</v>
      </c>
      <c r="F1657" s="86" t="str">
        <f>IFERROR(__xludf.DUMMYFUNCTION("""COMPUTED_VALUE"""),"")</f>
        <v/>
      </c>
      <c r="G1657" s="47" t="str">
        <f>IFERROR(__xludf.DUMMYFUNCTION("""COMPUTED_VALUE"""),"")</f>
        <v/>
      </c>
      <c r="H1657" s="47"/>
      <c r="I1657" s="47">
        <f>IFERROR(__xludf.DUMMYFUNCTION("""COMPUTED_VALUE"""),2.0)</f>
        <v>2</v>
      </c>
      <c r="J1657" s="47" t="str">
        <f>IFERROR(__xludf.DUMMYFUNCTION("""COMPUTED_VALUE"""),"https:")</f>
        <v>https:</v>
      </c>
      <c r="K1657" s="78" t="str">
        <f>IFERROR(__xludf.DUMMYFUNCTION("""COMPUTED_VALUE"""),"www.munzee.com")</f>
        <v>www.munzee.com</v>
      </c>
      <c r="L1657" s="47" t="str">
        <f>IFERROR(__xludf.DUMMYFUNCTION("""COMPUTED_VALUE"""),"m")</f>
        <v>m</v>
      </c>
      <c r="M1657" s="47" t="str">
        <f>IFERROR(__xludf.DUMMYFUNCTION("""COMPUTED_VALUE"""),"lupo6")</f>
        <v>lupo6</v>
      </c>
    </row>
    <row r="1658">
      <c r="A1658" s="47" t="str">
        <f>IFERROR(__xludf.DUMMYFUNCTION("""COMPUTED_VALUE"""),"Virtual Brown")</f>
        <v>Virtual Brown</v>
      </c>
      <c r="B1658" s="47" t="str">
        <f>IFERROR(__xludf.DUMMYFUNCTION("""COMPUTED_VALUE"""),"res2100")</f>
        <v>res2100</v>
      </c>
      <c r="C1658" s="78" t="str">
        <f>IFERROR(__xludf.DUMMYFUNCTION("""COMPUTED_VALUE"""),"https://www.munzee.com/m/res2100/925")</f>
        <v>https://www.munzee.com/m/res2100/925</v>
      </c>
      <c r="D1658" s="47"/>
      <c r="E1658" s="47" t="b">
        <f>IFERROR(__xludf.DUMMYFUNCTION("""COMPUTED_VALUE"""),TRUE)</f>
        <v>1</v>
      </c>
      <c r="F1658" s="86" t="str">
        <f>IFERROR(__xludf.DUMMYFUNCTION("""COMPUTED_VALUE"""),"")</f>
        <v/>
      </c>
      <c r="G1658" s="47" t="str">
        <f>IFERROR(__xludf.DUMMYFUNCTION("""COMPUTED_VALUE"""),"")</f>
        <v/>
      </c>
      <c r="H1658" s="47"/>
      <c r="I1658" s="47">
        <f>IFERROR(__xludf.DUMMYFUNCTION("""COMPUTED_VALUE"""),2.0)</f>
        <v>2</v>
      </c>
      <c r="J1658" s="47" t="str">
        <f>IFERROR(__xludf.DUMMYFUNCTION("""COMPUTED_VALUE"""),"https:")</f>
        <v>https:</v>
      </c>
      <c r="K1658" s="78" t="str">
        <f>IFERROR(__xludf.DUMMYFUNCTION("""COMPUTED_VALUE"""),"www.munzee.com")</f>
        <v>www.munzee.com</v>
      </c>
      <c r="L1658" s="47" t="str">
        <f>IFERROR(__xludf.DUMMYFUNCTION("""COMPUTED_VALUE"""),"m")</f>
        <v>m</v>
      </c>
      <c r="M1658" s="47" t="str">
        <f>IFERROR(__xludf.DUMMYFUNCTION("""COMPUTED_VALUE"""),"res2100")</f>
        <v>res2100</v>
      </c>
    </row>
    <row r="1659">
      <c r="A1659" s="47" t="str">
        <f>IFERROR(__xludf.DUMMYFUNCTION("""COMPUTED_VALUE"""),"Virtual Brown")</f>
        <v>Virtual Brown</v>
      </c>
      <c r="B1659" s="47" t="str">
        <f>IFERROR(__xludf.DUMMYFUNCTION("""COMPUTED_VALUE"""),"Ellesche")</f>
        <v>Ellesche</v>
      </c>
      <c r="C1659" s="78" t="str">
        <f>IFERROR(__xludf.DUMMYFUNCTION("""COMPUTED_VALUE"""),"https://www.munzee.com/m/Ellesche/872")</f>
        <v>https://www.munzee.com/m/Ellesche/872</v>
      </c>
      <c r="D1659" s="47"/>
      <c r="E1659" s="47" t="b">
        <f>IFERROR(__xludf.DUMMYFUNCTION("""COMPUTED_VALUE"""),TRUE)</f>
        <v>1</v>
      </c>
      <c r="F1659" s="86" t="str">
        <f>IFERROR(__xludf.DUMMYFUNCTION("""COMPUTED_VALUE"""),"")</f>
        <v/>
      </c>
      <c r="G1659" s="47" t="str">
        <f>IFERROR(__xludf.DUMMYFUNCTION("""COMPUTED_VALUE"""),"")</f>
        <v/>
      </c>
      <c r="H1659" s="47"/>
      <c r="I1659" s="47">
        <f>IFERROR(__xludf.DUMMYFUNCTION("""COMPUTED_VALUE"""),2.0)</f>
        <v>2</v>
      </c>
      <c r="J1659" s="47" t="str">
        <f>IFERROR(__xludf.DUMMYFUNCTION("""COMPUTED_VALUE"""),"https:")</f>
        <v>https:</v>
      </c>
      <c r="K1659" s="78" t="str">
        <f>IFERROR(__xludf.DUMMYFUNCTION("""COMPUTED_VALUE"""),"www.munzee.com")</f>
        <v>www.munzee.com</v>
      </c>
      <c r="L1659" s="47" t="str">
        <f>IFERROR(__xludf.DUMMYFUNCTION("""COMPUTED_VALUE"""),"m")</f>
        <v>m</v>
      </c>
      <c r="M1659" s="47" t="str">
        <f>IFERROR(__xludf.DUMMYFUNCTION("""COMPUTED_VALUE"""),"Ellesche")</f>
        <v>Ellesche</v>
      </c>
    </row>
    <row r="1660">
      <c r="A1660" s="47" t="str">
        <f>IFERROR(__xludf.DUMMYFUNCTION("""COMPUTED_VALUE"""),"Virtual Brown")</f>
        <v>Virtual Brown</v>
      </c>
      <c r="B1660" s="47" t="str">
        <f>IFERROR(__xludf.DUMMYFUNCTION("""COMPUTED_VALUE"""),"xrayneex")</f>
        <v>xrayneex</v>
      </c>
      <c r="C1660" s="78" t="str">
        <f>IFERROR(__xludf.DUMMYFUNCTION("""COMPUTED_VALUE"""),"https://www.munzee.com/m/xrayneex/2367/")</f>
        <v>https://www.munzee.com/m/xrayneex/2367/</v>
      </c>
      <c r="D1660" s="47"/>
      <c r="E1660" s="47" t="b">
        <f>IFERROR(__xludf.DUMMYFUNCTION("""COMPUTED_VALUE"""),TRUE)</f>
        <v>1</v>
      </c>
      <c r="F1660" s="86" t="str">
        <f>IFERROR(__xludf.DUMMYFUNCTION("""COMPUTED_VALUE"""),"")</f>
        <v/>
      </c>
      <c r="G1660" s="47" t="str">
        <f>IFERROR(__xludf.DUMMYFUNCTION("""COMPUTED_VALUE"""),"")</f>
        <v/>
      </c>
      <c r="H1660" s="47"/>
      <c r="I1660" s="47">
        <f>IFERROR(__xludf.DUMMYFUNCTION("""COMPUTED_VALUE"""),2.0)</f>
        <v>2</v>
      </c>
      <c r="J1660" s="47" t="str">
        <f>IFERROR(__xludf.DUMMYFUNCTION("""COMPUTED_VALUE"""),"https:")</f>
        <v>https:</v>
      </c>
      <c r="K1660" s="78" t="str">
        <f>IFERROR(__xludf.DUMMYFUNCTION("""COMPUTED_VALUE"""),"www.munzee.com")</f>
        <v>www.munzee.com</v>
      </c>
      <c r="L1660" s="47" t="str">
        <f>IFERROR(__xludf.DUMMYFUNCTION("""COMPUTED_VALUE"""),"m")</f>
        <v>m</v>
      </c>
      <c r="M1660" s="47" t="str">
        <f>IFERROR(__xludf.DUMMYFUNCTION("""COMPUTED_VALUE"""),"xrayneex")</f>
        <v>xrayneex</v>
      </c>
    </row>
    <row r="1661">
      <c r="A1661" s="47" t="str">
        <f>IFERROR(__xludf.DUMMYFUNCTION("""COMPUTED_VALUE"""),"Virtual Brown")</f>
        <v>Virtual Brown</v>
      </c>
      <c r="B1661" s="47" t="str">
        <f>IFERROR(__xludf.DUMMYFUNCTION("""COMPUTED_VALUE"""),"Derlame ")</f>
        <v>Derlame </v>
      </c>
      <c r="C1661" s="78" t="str">
        <f>IFERROR(__xludf.DUMMYFUNCTION("""COMPUTED_VALUE"""),"https://www.munzee.com/m/Derlame/18660/")</f>
        <v>https://www.munzee.com/m/Derlame/18660/</v>
      </c>
      <c r="D1661" s="47"/>
      <c r="E1661" s="47" t="b">
        <f>IFERROR(__xludf.DUMMYFUNCTION("""COMPUTED_VALUE"""),TRUE)</f>
        <v>1</v>
      </c>
      <c r="F1661" s="86"/>
      <c r="G1661" s="47" t="str">
        <f>IFERROR(__xludf.DUMMYFUNCTION("""COMPUTED_VALUE"""),"")</f>
        <v/>
      </c>
      <c r="H1661" s="47"/>
      <c r="I1661" s="47">
        <f>IFERROR(__xludf.DUMMYFUNCTION("""COMPUTED_VALUE"""),2.0)</f>
        <v>2</v>
      </c>
      <c r="J1661" s="47" t="str">
        <f>IFERROR(__xludf.DUMMYFUNCTION("""COMPUTED_VALUE"""),"https:")</f>
        <v>https:</v>
      </c>
      <c r="K1661" s="78" t="str">
        <f>IFERROR(__xludf.DUMMYFUNCTION("""COMPUTED_VALUE"""),"www.munzee.com")</f>
        <v>www.munzee.com</v>
      </c>
      <c r="L1661" s="47" t="str">
        <f>IFERROR(__xludf.DUMMYFUNCTION("""COMPUTED_VALUE"""),"m")</f>
        <v>m</v>
      </c>
      <c r="M1661" s="47" t="str">
        <f>IFERROR(__xludf.DUMMYFUNCTION("""COMPUTED_VALUE"""),"Derlame")</f>
        <v>Derlame</v>
      </c>
    </row>
    <row r="1662">
      <c r="A1662" s="47" t="str">
        <f>IFERROR(__xludf.DUMMYFUNCTION("""COMPUTED_VALUE"""),"Virtual Raw Sienna")</f>
        <v>Virtual Raw Sienna</v>
      </c>
      <c r="B1662" s="47" t="str">
        <f>IFERROR(__xludf.DUMMYFUNCTION("""COMPUTED_VALUE"""),"barefootguru")</f>
        <v>barefootguru</v>
      </c>
      <c r="C1662" s="78" t="str">
        <f>IFERROR(__xludf.DUMMYFUNCTION("""COMPUTED_VALUE"""),"https://www.munzee.com/m/barefootguru/3348/")</f>
        <v>https://www.munzee.com/m/barefootguru/3348/</v>
      </c>
      <c r="D1662" s="47"/>
      <c r="E1662" s="47" t="b">
        <f>IFERROR(__xludf.DUMMYFUNCTION("""COMPUTED_VALUE"""),TRUE)</f>
        <v>1</v>
      </c>
      <c r="F1662" s="86" t="str">
        <f>IFERROR(__xludf.DUMMYFUNCTION("""COMPUTED_VALUE"""),"")</f>
        <v/>
      </c>
      <c r="G1662" s="47" t="str">
        <f>IFERROR(__xludf.DUMMYFUNCTION("""COMPUTED_VALUE"""),"")</f>
        <v/>
      </c>
      <c r="H1662" s="47"/>
      <c r="I1662" s="47">
        <f>IFERROR(__xludf.DUMMYFUNCTION("""COMPUTED_VALUE"""),2.0)</f>
        <v>2</v>
      </c>
      <c r="J1662" s="47" t="str">
        <f>IFERROR(__xludf.DUMMYFUNCTION("""COMPUTED_VALUE"""),"https:")</f>
        <v>https:</v>
      </c>
      <c r="K1662" s="78" t="str">
        <f>IFERROR(__xludf.DUMMYFUNCTION("""COMPUTED_VALUE"""),"www.munzee.com")</f>
        <v>www.munzee.com</v>
      </c>
      <c r="L1662" s="47" t="str">
        <f>IFERROR(__xludf.DUMMYFUNCTION("""COMPUTED_VALUE"""),"m")</f>
        <v>m</v>
      </c>
      <c r="M1662" s="47" t="str">
        <f>IFERROR(__xludf.DUMMYFUNCTION("""COMPUTED_VALUE"""),"barefootguru")</f>
        <v>barefootguru</v>
      </c>
    </row>
    <row r="1663">
      <c r="A1663" s="47" t="str">
        <f>IFERROR(__xludf.DUMMYFUNCTION("""COMPUTED_VALUE"""),"Virtual Raw Sienna")</f>
        <v>Virtual Raw Sienna</v>
      </c>
      <c r="B1663" s="47" t="str">
        <f>IFERROR(__xludf.DUMMYFUNCTION("""COMPUTED_VALUE"""),"WetCoaster")</f>
        <v>WetCoaster</v>
      </c>
      <c r="C1663" s="78" t="str">
        <f>IFERROR(__xludf.DUMMYFUNCTION("""COMPUTED_VALUE"""),"https://www.munzee.com/m/WetCoaster/4088/")</f>
        <v>https://www.munzee.com/m/WetCoaster/4088/</v>
      </c>
      <c r="D1663" s="47"/>
      <c r="E1663" s="47" t="b">
        <f>IFERROR(__xludf.DUMMYFUNCTION("""COMPUTED_VALUE"""),TRUE)</f>
        <v>1</v>
      </c>
      <c r="F1663" s="86" t="str">
        <f>IFERROR(__xludf.DUMMYFUNCTION("""COMPUTED_VALUE"""),"")</f>
        <v/>
      </c>
      <c r="G1663" s="47" t="str">
        <f>IFERROR(__xludf.DUMMYFUNCTION("""COMPUTED_VALUE"""),"")</f>
        <v/>
      </c>
      <c r="H1663" s="47"/>
      <c r="I1663" s="47">
        <f>IFERROR(__xludf.DUMMYFUNCTION("""COMPUTED_VALUE"""),2.0)</f>
        <v>2</v>
      </c>
      <c r="J1663" s="47" t="str">
        <f>IFERROR(__xludf.DUMMYFUNCTION("""COMPUTED_VALUE"""),"https:")</f>
        <v>https:</v>
      </c>
      <c r="K1663" s="78" t="str">
        <f>IFERROR(__xludf.DUMMYFUNCTION("""COMPUTED_VALUE"""),"www.munzee.com")</f>
        <v>www.munzee.com</v>
      </c>
      <c r="L1663" s="47" t="str">
        <f>IFERROR(__xludf.DUMMYFUNCTION("""COMPUTED_VALUE"""),"m")</f>
        <v>m</v>
      </c>
      <c r="M1663" s="47" t="str">
        <f>IFERROR(__xludf.DUMMYFUNCTION("""COMPUTED_VALUE"""),"WetCoaster")</f>
        <v>WetCoaster</v>
      </c>
    </row>
    <row r="1664">
      <c r="A1664" s="47" t="str">
        <f>IFERROR(__xludf.DUMMYFUNCTION("""COMPUTED_VALUE"""),"Virtual Brown")</f>
        <v>Virtual Brown</v>
      </c>
      <c r="B1664" s="47" t="str">
        <f>IFERROR(__xludf.DUMMYFUNCTION("""COMPUTED_VALUE"""),"Bouffe")</f>
        <v>Bouffe</v>
      </c>
      <c r="C1664" s="78" t="str">
        <f>IFERROR(__xludf.DUMMYFUNCTION("""COMPUTED_VALUE"""),"https://www.munzee.com/m/Bouffe/361/")</f>
        <v>https://www.munzee.com/m/Bouffe/361/</v>
      </c>
      <c r="D1664" s="47"/>
      <c r="E1664" s="47" t="b">
        <f>IFERROR(__xludf.DUMMYFUNCTION("""COMPUTED_VALUE"""),TRUE)</f>
        <v>1</v>
      </c>
      <c r="F1664" s="86" t="str">
        <f>IFERROR(__xludf.DUMMYFUNCTION("""COMPUTED_VALUE"""),"")</f>
        <v/>
      </c>
      <c r="G1664" s="47" t="str">
        <f>IFERROR(__xludf.DUMMYFUNCTION("""COMPUTED_VALUE"""),"")</f>
        <v/>
      </c>
      <c r="H1664" s="47"/>
      <c r="I1664" s="47">
        <f>IFERROR(__xludf.DUMMYFUNCTION("""COMPUTED_VALUE"""),2.0)</f>
        <v>2</v>
      </c>
      <c r="J1664" s="47" t="str">
        <f>IFERROR(__xludf.DUMMYFUNCTION("""COMPUTED_VALUE"""),"https:")</f>
        <v>https:</v>
      </c>
      <c r="K1664" s="78" t="str">
        <f>IFERROR(__xludf.DUMMYFUNCTION("""COMPUTED_VALUE"""),"www.munzee.com")</f>
        <v>www.munzee.com</v>
      </c>
      <c r="L1664" s="47" t="str">
        <f>IFERROR(__xludf.DUMMYFUNCTION("""COMPUTED_VALUE"""),"m")</f>
        <v>m</v>
      </c>
      <c r="M1664" s="47" t="str">
        <f>IFERROR(__xludf.DUMMYFUNCTION("""COMPUTED_VALUE"""),"Bouffe")</f>
        <v>Bouffe</v>
      </c>
    </row>
    <row r="1665">
      <c r="A1665" s="47" t="str">
        <f>IFERROR(__xludf.DUMMYFUNCTION("""COMPUTED_VALUE"""),"Virtual Brown")</f>
        <v>Virtual Brown</v>
      </c>
      <c r="B1665" s="47" t="str">
        <f>IFERROR(__xludf.DUMMYFUNCTION("""COMPUTED_VALUE"""),"raunas")</f>
        <v>raunas</v>
      </c>
      <c r="C1665" s="78" t="str">
        <f>IFERROR(__xludf.DUMMYFUNCTION("""COMPUTED_VALUE"""),"https://www.munzee.com/m/raunas/12264")</f>
        <v>https://www.munzee.com/m/raunas/12264</v>
      </c>
      <c r="D1665" s="47"/>
      <c r="E1665" s="47" t="b">
        <f>IFERROR(__xludf.DUMMYFUNCTION("""COMPUTED_VALUE"""),TRUE)</f>
        <v>1</v>
      </c>
      <c r="F1665" s="47"/>
      <c r="G1665" s="47" t="str">
        <f>IFERROR(__xludf.DUMMYFUNCTION("""COMPUTED_VALUE"""),"")</f>
        <v/>
      </c>
      <c r="H1665" s="47"/>
      <c r="I1665" s="47">
        <f>IFERROR(__xludf.DUMMYFUNCTION("""COMPUTED_VALUE"""),2.0)</f>
        <v>2</v>
      </c>
      <c r="J1665" s="47" t="str">
        <f>IFERROR(__xludf.DUMMYFUNCTION("""COMPUTED_VALUE"""),"https:")</f>
        <v>https:</v>
      </c>
      <c r="K1665" s="78" t="str">
        <f>IFERROR(__xludf.DUMMYFUNCTION("""COMPUTED_VALUE"""),"www.munzee.com")</f>
        <v>www.munzee.com</v>
      </c>
      <c r="L1665" s="47" t="str">
        <f>IFERROR(__xludf.DUMMYFUNCTION("""COMPUTED_VALUE"""),"m")</f>
        <v>m</v>
      </c>
      <c r="M1665" s="47" t="str">
        <f>IFERROR(__xludf.DUMMYFUNCTION("""COMPUTED_VALUE"""),"raunas")</f>
        <v>raunas</v>
      </c>
    </row>
    <row r="1666">
      <c r="A1666" s="47" t="str">
        <f>IFERROR(__xludf.DUMMYFUNCTION("""COMPUTED_VALUE"""),"Virtual Brown")</f>
        <v>Virtual Brown</v>
      </c>
      <c r="B1666" s="47" t="str">
        <f>IFERROR(__xludf.DUMMYFUNCTION("""COMPUTED_VALUE"""),"sverlaan")</f>
        <v>sverlaan</v>
      </c>
      <c r="C1666" s="78" t="str">
        <f>IFERROR(__xludf.DUMMYFUNCTION("""COMPUTED_VALUE"""),"https://www.munzee.com/m/sverlaan/6171/")</f>
        <v>https://www.munzee.com/m/sverlaan/6171/</v>
      </c>
      <c r="D1666" s="47"/>
      <c r="E1666" s="47" t="b">
        <f>IFERROR(__xludf.DUMMYFUNCTION("""COMPUTED_VALUE"""),TRUE)</f>
        <v>1</v>
      </c>
      <c r="F1666" s="47" t="str">
        <f>IFERROR(__xludf.DUMMYFUNCTION("""COMPUTED_VALUE"""),"")</f>
        <v/>
      </c>
      <c r="G1666" s="47" t="str">
        <f>IFERROR(__xludf.DUMMYFUNCTION("""COMPUTED_VALUE"""),"")</f>
        <v/>
      </c>
      <c r="H1666" s="47"/>
      <c r="I1666" s="47">
        <f>IFERROR(__xludf.DUMMYFUNCTION("""COMPUTED_VALUE"""),2.0)</f>
        <v>2</v>
      </c>
      <c r="J1666" s="47" t="str">
        <f>IFERROR(__xludf.DUMMYFUNCTION("""COMPUTED_VALUE"""),"https:")</f>
        <v>https:</v>
      </c>
      <c r="K1666" s="78" t="str">
        <f>IFERROR(__xludf.DUMMYFUNCTION("""COMPUTED_VALUE"""),"www.munzee.com")</f>
        <v>www.munzee.com</v>
      </c>
      <c r="L1666" s="47" t="str">
        <f>IFERROR(__xludf.DUMMYFUNCTION("""COMPUTED_VALUE"""),"m")</f>
        <v>m</v>
      </c>
      <c r="M1666" s="47" t="str">
        <f>IFERROR(__xludf.DUMMYFUNCTION("""COMPUTED_VALUE"""),"sverlaan")</f>
        <v>sverlaan</v>
      </c>
    </row>
    <row r="1667">
      <c r="A1667" s="47" t="str">
        <f>IFERROR(__xludf.DUMMYFUNCTION("""COMPUTED_VALUE"""),"Virtual Raw Sienna")</f>
        <v>Virtual Raw Sienna</v>
      </c>
      <c r="B1667" s="47" t="str">
        <f>IFERROR(__xludf.DUMMYFUNCTION("""COMPUTED_VALUE"""),"pawpatrolthomas")</f>
        <v>pawpatrolthomas</v>
      </c>
      <c r="C1667" s="78" t="str">
        <f>IFERROR(__xludf.DUMMYFUNCTION("""COMPUTED_VALUE"""),"https://www.munzee.com/m/PawPatrolThomas/4105/")</f>
        <v>https://www.munzee.com/m/PawPatrolThomas/4105/</v>
      </c>
      <c r="D1667" s="47"/>
      <c r="E1667" s="47" t="b">
        <f>IFERROR(__xludf.DUMMYFUNCTION("""COMPUTED_VALUE"""),TRUE)</f>
        <v>1</v>
      </c>
      <c r="F1667" s="47" t="str">
        <f>IFERROR(__xludf.DUMMYFUNCTION("""COMPUTED_VALUE"""),"")</f>
        <v/>
      </c>
      <c r="G1667" s="47" t="str">
        <f>IFERROR(__xludf.DUMMYFUNCTION("""COMPUTED_VALUE"""),"")</f>
        <v/>
      </c>
      <c r="H1667" s="47"/>
      <c r="I1667" s="47">
        <f>IFERROR(__xludf.DUMMYFUNCTION("""COMPUTED_VALUE"""),2.0)</f>
        <v>2</v>
      </c>
      <c r="J1667" s="47" t="str">
        <f>IFERROR(__xludf.DUMMYFUNCTION("""COMPUTED_VALUE"""),"https:")</f>
        <v>https:</v>
      </c>
      <c r="K1667" s="78" t="str">
        <f>IFERROR(__xludf.DUMMYFUNCTION("""COMPUTED_VALUE"""),"www.munzee.com")</f>
        <v>www.munzee.com</v>
      </c>
      <c r="L1667" s="47" t="str">
        <f>IFERROR(__xludf.DUMMYFUNCTION("""COMPUTED_VALUE"""),"m")</f>
        <v>m</v>
      </c>
      <c r="M1667" s="47" t="str">
        <f>IFERROR(__xludf.DUMMYFUNCTION("""COMPUTED_VALUE"""),"PawPatrolThomas")</f>
        <v>PawPatrolThomas</v>
      </c>
    </row>
    <row r="1668">
      <c r="A1668" s="47" t="str">
        <f>IFERROR(__xludf.DUMMYFUNCTION("""COMPUTED_VALUE"""),"Virtual Raw Sienna")</f>
        <v>Virtual Raw Sienna</v>
      </c>
      <c r="B1668" s="47" t="str">
        <f>IFERROR(__xludf.DUMMYFUNCTION("""COMPUTED_VALUE"""),"emilep68")</f>
        <v>emilep68</v>
      </c>
      <c r="C1668" s="78" t="str">
        <f>IFERROR(__xludf.DUMMYFUNCTION("""COMPUTED_VALUE"""),"https://www.munzee.com/m/EmileP68/4928/")</f>
        <v>https://www.munzee.com/m/EmileP68/4928/</v>
      </c>
      <c r="D1668" s="47"/>
      <c r="E1668" s="47" t="b">
        <f>IFERROR(__xludf.DUMMYFUNCTION("""COMPUTED_VALUE"""),TRUE)</f>
        <v>1</v>
      </c>
      <c r="F1668" s="47" t="str">
        <f>IFERROR(__xludf.DUMMYFUNCTION("""COMPUTED_VALUE"""),"")</f>
        <v/>
      </c>
      <c r="G1668" s="47" t="str">
        <f>IFERROR(__xludf.DUMMYFUNCTION("""COMPUTED_VALUE"""),"")</f>
        <v/>
      </c>
      <c r="H1668" s="47"/>
      <c r="I1668" s="47">
        <f>IFERROR(__xludf.DUMMYFUNCTION("""COMPUTED_VALUE"""),2.0)</f>
        <v>2</v>
      </c>
      <c r="J1668" s="47" t="str">
        <f>IFERROR(__xludf.DUMMYFUNCTION("""COMPUTED_VALUE"""),"https:")</f>
        <v>https:</v>
      </c>
      <c r="K1668" s="78" t="str">
        <f>IFERROR(__xludf.DUMMYFUNCTION("""COMPUTED_VALUE"""),"www.munzee.com")</f>
        <v>www.munzee.com</v>
      </c>
      <c r="L1668" s="47" t="str">
        <f>IFERROR(__xludf.DUMMYFUNCTION("""COMPUTED_VALUE"""),"m")</f>
        <v>m</v>
      </c>
      <c r="M1668" s="47" t="str">
        <f>IFERROR(__xludf.DUMMYFUNCTION("""COMPUTED_VALUE"""),"EmileP68")</f>
        <v>EmileP68</v>
      </c>
    </row>
    <row r="1669">
      <c r="A1669" s="47" t="str">
        <f>IFERROR(__xludf.DUMMYFUNCTION("""COMPUTED_VALUE"""),"Virtual Brown")</f>
        <v>Virtual Brown</v>
      </c>
      <c r="B1669" s="47" t="str">
        <f>IFERROR(__xludf.DUMMYFUNCTION("""COMPUTED_VALUE"""),"BrotherWilliam")</f>
        <v>BrotherWilliam</v>
      </c>
      <c r="C1669" s="78" t="str">
        <f>IFERROR(__xludf.DUMMYFUNCTION("""COMPUTED_VALUE"""),"https://www.munzee.com/m/BrotherWilliam/5474/")</f>
        <v>https://www.munzee.com/m/BrotherWilliam/5474/</v>
      </c>
      <c r="D1669" s="47"/>
      <c r="E1669" s="47" t="b">
        <f>IFERROR(__xludf.DUMMYFUNCTION("""COMPUTED_VALUE"""),TRUE)</f>
        <v>1</v>
      </c>
      <c r="F1669" s="47" t="str">
        <f>IFERROR(__xludf.DUMMYFUNCTION("""COMPUTED_VALUE"""),"")</f>
        <v/>
      </c>
      <c r="G1669" s="47" t="str">
        <f>IFERROR(__xludf.DUMMYFUNCTION("""COMPUTED_VALUE"""),"")</f>
        <v/>
      </c>
      <c r="H1669" s="47"/>
      <c r="I1669" s="47">
        <f>IFERROR(__xludf.DUMMYFUNCTION("""COMPUTED_VALUE"""),2.0)</f>
        <v>2</v>
      </c>
      <c r="J1669" s="47" t="str">
        <f>IFERROR(__xludf.DUMMYFUNCTION("""COMPUTED_VALUE"""),"https:")</f>
        <v>https:</v>
      </c>
      <c r="K1669" s="78" t="str">
        <f>IFERROR(__xludf.DUMMYFUNCTION("""COMPUTED_VALUE"""),"www.munzee.com")</f>
        <v>www.munzee.com</v>
      </c>
      <c r="L1669" s="47" t="str">
        <f>IFERROR(__xludf.DUMMYFUNCTION("""COMPUTED_VALUE"""),"m")</f>
        <v>m</v>
      </c>
      <c r="M1669" s="47" t="str">
        <f>IFERROR(__xludf.DUMMYFUNCTION("""COMPUTED_VALUE"""),"BrotherWilliam")</f>
        <v>BrotherWilliam</v>
      </c>
    </row>
    <row r="1670">
      <c r="A1670" s="47" t="str">
        <f>IFERROR(__xludf.DUMMYFUNCTION("""COMPUTED_VALUE"""),"Virtual Brown")</f>
        <v>Virtual Brown</v>
      </c>
      <c r="B1670" s="47" t="str">
        <f>IFERROR(__xludf.DUMMYFUNCTION("""COMPUTED_VALUE"""),"ArtofEco")</f>
        <v>ArtofEco</v>
      </c>
      <c r="C1670" s="78" t="str">
        <f>IFERROR(__xludf.DUMMYFUNCTION("""COMPUTED_VALUE"""),"https://www.munzee.com/m/ArtofEco/3688/")</f>
        <v>https://www.munzee.com/m/ArtofEco/3688/</v>
      </c>
      <c r="D1670" s="47"/>
      <c r="E1670" s="47" t="b">
        <f>IFERROR(__xludf.DUMMYFUNCTION("""COMPUTED_VALUE"""),TRUE)</f>
        <v>1</v>
      </c>
      <c r="F1670" s="47" t="str">
        <f>IFERROR(__xludf.DUMMYFUNCTION("""COMPUTED_VALUE"""),"")</f>
        <v/>
      </c>
      <c r="G1670" s="47" t="str">
        <f>IFERROR(__xludf.DUMMYFUNCTION("""COMPUTED_VALUE"""),"")</f>
        <v/>
      </c>
      <c r="H1670" s="47"/>
      <c r="I1670" s="47">
        <f>IFERROR(__xludf.DUMMYFUNCTION("""COMPUTED_VALUE"""),2.0)</f>
        <v>2</v>
      </c>
      <c r="J1670" s="47" t="str">
        <f>IFERROR(__xludf.DUMMYFUNCTION("""COMPUTED_VALUE"""),"https:")</f>
        <v>https:</v>
      </c>
      <c r="K1670" s="78" t="str">
        <f>IFERROR(__xludf.DUMMYFUNCTION("""COMPUTED_VALUE"""),"www.munzee.com")</f>
        <v>www.munzee.com</v>
      </c>
      <c r="L1670" s="47" t="str">
        <f>IFERROR(__xludf.DUMMYFUNCTION("""COMPUTED_VALUE"""),"m")</f>
        <v>m</v>
      </c>
      <c r="M1670" s="47" t="str">
        <f>IFERROR(__xludf.DUMMYFUNCTION("""COMPUTED_VALUE"""),"ArtofEco")</f>
        <v>ArtofEco</v>
      </c>
    </row>
    <row r="1671">
      <c r="A1671" s="47" t="str">
        <f>IFERROR(__xludf.DUMMYFUNCTION("""COMPUTED_VALUE"""),"Virtual Brown")</f>
        <v>Virtual Brown</v>
      </c>
      <c r="B1671" s="47" t="str">
        <f>IFERROR(__xludf.DUMMYFUNCTION("""COMPUTED_VALUE"""),"J1Huisman")</f>
        <v>J1Huisman</v>
      </c>
      <c r="C1671" s="78" t="str">
        <f>IFERROR(__xludf.DUMMYFUNCTION("""COMPUTED_VALUE"""),"https://www.munzee.com/m/J1Huisman/13016/")</f>
        <v>https://www.munzee.com/m/J1Huisman/13016/</v>
      </c>
      <c r="D1671" s="47"/>
      <c r="E1671" s="47" t="b">
        <f>IFERROR(__xludf.DUMMYFUNCTION("""COMPUTED_VALUE"""),TRUE)</f>
        <v>1</v>
      </c>
      <c r="F1671" s="47" t="str">
        <f>IFERROR(__xludf.DUMMYFUNCTION("""COMPUTED_VALUE"""),"")</f>
        <v/>
      </c>
      <c r="G1671" s="47" t="str">
        <f>IFERROR(__xludf.DUMMYFUNCTION("""COMPUTED_VALUE"""),"")</f>
        <v/>
      </c>
      <c r="H1671" s="47"/>
      <c r="I1671" s="47">
        <f>IFERROR(__xludf.DUMMYFUNCTION("""COMPUTED_VALUE"""),2.0)</f>
        <v>2</v>
      </c>
      <c r="J1671" s="47" t="str">
        <f>IFERROR(__xludf.DUMMYFUNCTION("""COMPUTED_VALUE"""),"https:")</f>
        <v>https:</v>
      </c>
      <c r="K1671" s="78" t="str">
        <f>IFERROR(__xludf.DUMMYFUNCTION("""COMPUTED_VALUE"""),"www.munzee.com")</f>
        <v>www.munzee.com</v>
      </c>
      <c r="L1671" s="47" t="str">
        <f>IFERROR(__xludf.DUMMYFUNCTION("""COMPUTED_VALUE"""),"m")</f>
        <v>m</v>
      </c>
      <c r="M1671" s="47" t="str">
        <f>IFERROR(__xludf.DUMMYFUNCTION("""COMPUTED_VALUE"""),"J1Huisman")</f>
        <v>J1Huisman</v>
      </c>
    </row>
    <row r="1672">
      <c r="A1672" s="47" t="str">
        <f>IFERROR(__xludf.DUMMYFUNCTION("""COMPUTED_VALUE"""),"Virtual Raw Sienna")</f>
        <v>Virtual Raw Sienna</v>
      </c>
      <c r="B1672" s="47" t="str">
        <f>IFERROR(__xludf.DUMMYFUNCTION("""COMPUTED_VALUE"""),"fsafranek")</f>
        <v>fsafranek</v>
      </c>
      <c r="C1672" s="78" t="str">
        <f>IFERROR(__xludf.DUMMYFUNCTION("""COMPUTED_VALUE"""),"https://www.munzee.com/m/fsafranek/5488/")</f>
        <v>https://www.munzee.com/m/fsafranek/5488/</v>
      </c>
      <c r="D1672" s="47"/>
      <c r="E1672" s="47" t="b">
        <f>IFERROR(__xludf.DUMMYFUNCTION("""COMPUTED_VALUE"""),TRUE)</f>
        <v>1</v>
      </c>
      <c r="F1672" s="47" t="str">
        <f>IFERROR(__xludf.DUMMYFUNCTION("""COMPUTED_VALUE"""),"")</f>
        <v/>
      </c>
      <c r="G1672" s="47" t="str">
        <f>IFERROR(__xludf.DUMMYFUNCTION("""COMPUTED_VALUE"""),"")</f>
        <v/>
      </c>
      <c r="H1672" s="47"/>
      <c r="I1672" s="47">
        <f>IFERROR(__xludf.DUMMYFUNCTION("""COMPUTED_VALUE"""),2.0)</f>
        <v>2</v>
      </c>
      <c r="J1672" s="47" t="str">
        <f>IFERROR(__xludf.DUMMYFUNCTION("""COMPUTED_VALUE"""),"https:")</f>
        <v>https:</v>
      </c>
      <c r="K1672" s="78" t="str">
        <f>IFERROR(__xludf.DUMMYFUNCTION("""COMPUTED_VALUE"""),"www.munzee.com")</f>
        <v>www.munzee.com</v>
      </c>
      <c r="L1672" s="47" t="str">
        <f>IFERROR(__xludf.DUMMYFUNCTION("""COMPUTED_VALUE"""),"m")</f>
        <v>m</v>
      </c>
      <c r="M1672" s="47" t="str">
        <f>IFERROR(__xludf.DUMMYFUNCTION("""COMPUTED_VALUE"""),"fsafranek")</f>
        <v>fsafranek</v>
      </c>
    </row>
    <row r="1673">
      <c r="A1673" s="47" t="str">
        <f>IFERROR(__xludf.DUMMYFUNCTION("""COMPUTED_VALUE"""),"Virtual Brown")</f>
        <v>Virtual Brown</v>
      </c>
      <c r="B1673" s="47" t="str">
        <f>IFERROR(__xludf.DUMMYFUNCTION("""COMPUTED_VALUE"""),"rita85gto")</f>
        <v>rita85gto</v>
      </c>
      <c r="C1673" s="78" t="str">
        <f>IFERROR(__xludf.DUMMYFUNCTION("""COMPUTED_VALUE"""),"https://www.munzee.com/m/rita85gto/3870/")</f>
        <v>https://www.munzee.com/m/rita85gto/3870/</v>
      </c>
      <c r="D1673" s="47"/>
      <c r="E1673" s="47" t="b">
        <f>IFERROR(__xludf.DUMMYFUNCTION("""COMPUTED_VALUE"""),TRUE)</f>
        <v>1</v>
      </c>
      <c r="F1673" s="47" t="str">
        <f>IFERROR(__xludf.DUMMYFUNCTION("""COMPUTED_VALUE"""),"")</f>
        <v/>
      </c>
      <c r="G1673" s="47" t="str">
        <f>IFERROR(__xludf.DUMMYFUNCTION("""COMPUTED_VALUE"""),"")</f>
        <v/>
      </c>
      <c r="H1673" s="47"/>
      <c r="I1673" s="47">
        <f>IFERROR(__xludf.DUMMYFUNCTION("""COMPUTED_VALUE"""),2.0)</f>
        <v>2</v>
      </c>
      <c r="J1673" s="47" t="str">
        <f>IFERROR(__xludf.DUMMYFUNCTION("""COMPUTED_VALUE"""),"https:")</f>
        <v>https:</v>
      </c>
      <c r="K1673" s="78" t="str">
        <f>IFERROR(__xludf.DUMMYFUNCTION("""COMPUTED_VALUE"""),"www.munzee.com")</f>
        <v>www.munzee.com</v>
      </c>
      <c r="L1673" s="47" t="str">
        <f>IFERROR(__xludf.DUMMYFUNCTION("""COMPUTED_VALUE"""),"m")</f>
        <v>m</v>
      </c>
      <c r="M1673" s="47" t="str">
        <f>IFERROR(__xludf.DUMMYFUNCTION("""COMPUTED_VALUE"""),"rita85gto")</f>
        <v>rita85gto</v>
      </c>
    </row>
    <row r="1674">
      <c r="A1674" s="47" t="str">
        <f>IFERROR(__xludf.DUMMYFUNCTION("""COMPUTED_VALUE"""),"Virtual Brown")</f>
        <v>Virtual Brown</v>
      </c>
      <c r="B1674" s="47" t="str">
        <f>IFERROR(__xludf.DUMMYFUNCTION("""COMPUTED_VALUE"""),"xrayneex")</f>
        <v>xrayneex</v>
      </c>
      <c r="C1674" s="78" t="str">
        <f>IFERROR(__xludf.DUMMYFUNCTION("""COMPUTED_VALUE"""),"https://www.munzee.com/m/xrayneex/2447/")</f>
        <v>https://www.munzee.com/m/xrayneex/2447/</v>
      </c>
      <c r="D1674" s="47"/>
      <c r="E1674" s="47" t="b">
        <f>IFERROR(__xludf.DUMMYFUNCTION("""COMPUTED_VALUE"""),TRUE)</f>
        <v>1</v>
      </c>
      <c r="F1674" s="47" t="str">
        <f>IFERROR(__xludf.DUMMYFUNCTION("""COMPUTED_VALUE"""),"")</f>
        <v/>
      </c>
      <c r="G1674" s="47" t="str">
        <f>IFERROR(__xludf.DUMMYFUNCTION("""COMPUTED_VALUE"""),"")</f>
        <v/>
      </c>
      <c r="H1674" s="47"/>
      <c r="I1674" s="47">
        <f>IFERROR(__xludf.DUMMYFUNCTION("""COMPUTED_VALUE"""),2.0)</f>
        <v>2</v>
      </c>
      <c r="J1674" s="47" t="str">
        <f>IFERROR(__xludf.DUMMYFUNCTION("""COMPUTED_VALUE"""),"https:")</f>
        <v>https:</v>
      </c>
      <c r="K1674" s="78" t="str">
        <f>IFERROR(__xludf.DUMMYFUNCTION("""COMPUTED_VALUE"""),"www.munzee.com")</f>
        <v>www.munzee.com</v>
      </c>
      <c r="L1674" s="47" t="str">
        <f>IFERROR(__xludf.DUMMYFUNCTION("""COMPUTED_VALUE"""),"m")</f>
        <v>m</v>
      </c>
      <c r="M1674" s="47" t="str">
        <f>IFERROR(__xludf.DUMMYFUNCTION("""COMPUTED_VALUE"""),"xrayneex")</f>
        <v>xrayneex</v>
      </c>
    </row>
    <row r="1675">
      <c r="A1675" s="47" t="str">
        <f>IFERROR(__xludf.DUMMYFUNCTION("""COMPUTED_VALUE"""),"Virtual Brown")</f>
        <v>Virtual Brown</v>
      </c>
      <c r="B1675" s="47" t="str">
        <f>IFERROR(__xludf.DUMMYFUNCTION("""COMPUTED_VALUE"""),"res2100")</f>
        <v>res2100</v>
      </c>
      <c r="C1675" s="78" t="str">
        <f>IFERROR(__xludf.DUMMYFUNCTION("""COMPUTED_VALUE"""),"https://www.munzee.com/m/res2100/744/")</f>
        <v>https://www.munzee.com/m/res2100/744/</v>
      </c>
      <c r="D1675" s="47"/>
      <c r="E1675" s="47" t="b">
        <f>IFERROR(__xludf.DUMMYFUNCTION("""COMPUTED_VALUE"""),TRUE)</f>
        <v>1</v>
      </c>
      <c r="F1675" s="47" t="str">
        <f>IFERROR(__xludf.DUMMYFUNCTION("""COMPUTED_VALUE"""),"")</f>
        <v/>
      </c>
      <c r="G1675" s="47" t="str">
        <f>IFERROR(__xludf.DUMMYFUNCTION("""COMPUTED_VALUE"""),"")</f>
        <v/>
      </c>
      <c r="H1675" s="47"/>
      <c r="I1675" s="47">
        <f>IFERROR(__xludf.DUMMYFUNCTION("""COMPUTED_VALUE"""),2.0)</f>
        <v>2</v>
      </c>
      <c r="J1675" s="47" t="str">
        <f>IFERROR(__xludf.DUMMYFUNCTION("""COMPUTED_VALUE"""),"https:")</f>
        <v>https:</v>
      </c>
      <c r="K1675" s="78" t="str">
        <f>IFERROR(__xludf.DUMMYFUNCTION("""COMPUTED_VALUE"""),"www.munzee.com")</f>
        <v>www.munzee.com</v>
      </c>
      <c r="L1675" s="47" t="str">
        <f>IFERROR(__xludf.DUMMYFUNCTION("""COMPUTED_VALUE"""),"m")</f>
        <v>m</v>
      </c>
      <c r="M1675" s="47" t="str">
        <f>IFERROR(__xludf.DUMMYFUNCTION("""COMPUTED_VALUE"""),"res2100")</f>
        <v>res2100</v>
      </c>
    </row>
    <row r="1676">
      <c r="A1676" s="47" t="str">
        <f>IFERROR(__xludf.DUMMYFUNCTION("""COMPUTED_VALUE"""),"Virtual Brown")</f>
        <v>Virtual Brown</v>
      </c>
      <c r="B1676" s="47" t="str">
        <f>IFERROR(__xludf.DUMMYFUNCTION("""COMPUTED_VALUE"""),"Drazoria")</f>
        <v>Drazoria</v>
      </c>
      <c r="C1676" s="78" t="str">
        <f>IFERROR(__xludf.DUMMYFUNCTION("""COMPUTED_VALUE"""),"https://www.munzee.com/m/Drazoria/1591/")</f>
        <v>https://www.munzee.com/m/Drazoria/1591/</v>
      </c>
      <c r="D1676" s="47"/>
      <c r="E1676" s="47" t="b">
        <f>IFERROR(__xludf.DUMMYFUNCTION("""COMPUTED_VALUE"""),TRUE)</f>
        <v>1</v>
      </c>
      <c r="F1676" s="47" t="str">
        <f>IFERROR(__xludf.DUMMYFUNCTION("""COMPUTED_VALUE"""),"")</f>
        <v/>
      </c>
      <c r="G1676" s="47" t="str">
        <f>IFERROR(__xludf.DUMMYFUNCTION("""COMPUTED_VALUE"""),"")</f>
        <v/>
      </c>
      <c r="H1676" s="47"/>
      <c r="I1676" s="47">
        <f>IFERROR(__xludf.DUMMYFUNCTION("""COMPUTED_VALUE"""),2.0)</f>
        <v>2</v>
      </c>
      <c r="J1676" s="47" t="str">
        <f>IFERROR(__xludf.DUMMYFUNCTION("""COMPUTED_VALUE"""),"https:")</f>
        <v>https:</v>
      </c>
      <c r="K1676" s="78" t="str">
        <f>IFERROR(__xludf.DUMMYFUNCTION("""COMPUTED_VALUE"""),"www.munzee.com")</f>
        <v>www.munzee.com</v>
      </c>
      <c r="L1676" s="47" t="str">
        <f>IFERROR(__xludf.DUMMYFUNCTION("""COMPUTED_VALUE"""),"m")</f>
        <v>m</v>
      </c>
      <c r="M1676" s="47" t="str">
        <f>IFERROR(__xludf.DUMMYFUNCTION("""COMPUTED_VALUE"""),"Drazoria")</f>
        <v>Drazoria</v>
      </c>
    </row>
    <row r="1677">
      <c r="A1677" s="47" t="str">
        <f>IFERROR(__xludf.DUMMYFUNCTION("""COMPUTED_VALUE"""),"Virtual Brown")</f>
        <v>Virtual Brown</v>
      </c>
      <c r="B1677" s="47" t="str">
        <f>IFERROR(__xludf.DUMMYFUNCTION("""COMPUTED_VALUE"""),"Tinake1309")</f>
        <v>Tinake1309</v>
      </c>
      <c r="C1677" s="78" t="str">
        <f>IFERROR(__xludf.DUMMYFUNCTION("""COMPUTED_VALUE"""),"https://www.munzee.com/m/Tinake1309/1591/")</f>
        <v>https://www.munzee.com/m/Tinake1309/1591/</v>
      </c>
      <c r="D1677" s="47"/>
      <c r="E1677" s="47" t="b">
        <f>IFERROR(__xludf.DUMMYFUNCTION("""COMPUTED_VALUE"""),TRUE)</f>
        <v>1</v>
      </c>
      <c r="F1677" s="47" t="str">
        <f>IFERROR(__xludf.DUMMYFUNCTION("""COMPUTED_VALUE"""),"")</f>
        <v/>
      </c>
      <c r="G1677" s="47" t="str">
        <f>IFERROR(__xludf.DUMMYFUNCTION("""COMPUTED_VALUE"""),"")</f>
        <v/>
      </c>
      <c r="H1677" s="47"/>
      <c r="I1677" s="47">
        <f>IFERROR(__xludf.DUMMYFUNCTION("""COMPUTED_VALUE"""),2.0)</f>
        <v>2</v>
      </c>
      <c r="J1677" s="47" t="str">
        <f>IFERROR(__xludf.DUMMYFUNCTION("""COMPUTED_VALUE"""),"https:")</f>
        <v>https:</v>
      </c>
      <c r="K1677" s="78" t="str">
        <f>IFERROR(__xludf.DUMMYFUNCTION("""COMPUTED_VALUE"""),"www.munzee.com")</f>
        <v>www.munzee.com</v>
      </c>
      <c r="L1677" s="47" t="str">
        <f>IFERROR(__xludf.DUMMYFUNCTION("""COMPUTED_VALUE"""),"m")</f>
        <v>m</v>
      </c>
      <c r="M1677" s="47" t="str">
        <f>IFERROR(__xludf.DUMMYFUNCTION("""COMPUTED_VALUE"""),"Tinake1309")</f>
        <v>Tinake1309</v>
      </c>
    </row>
    <row r="1678">
      <c r="A1678" s="47" t="str">
        <f>IFERROR(__xludf.DUMMYFUNCTION("""COMPUTED_VALUE"""),"Virtual Brown")</f>
        <v>Virtual Brown</v>
      </c>
      <c r="B1678" s="47" t="str">
        <f>IFERROR(__xludf.DUMMYFUNCTION("""COMPUTED_VALUE"""),"Berg14")</f>
        <v>Berg14</v>
      </c>
      <c r="C1678" s="78" t="str">
        <f>IFERROR(__xludf.DUMMYFUNCTION("""COMPUTED_VALUE"""),"https://www.munzee.com/m/Berg14/1505/")</f>
        <v>https://www.munzee.com/m/Berg14/1505/</v>
      </c>
      <c r="D1678" s="47"/>
      <c r="E1678" s="47" t="b">
        <f>IFERROR(__xludf.DUMMYFUNCTION("""COMPUTED_VALUE"""),TRUE)</f>
        <v>1</v>
      </c>
      <c r="F1678" s="47" t="str">
        <f>IFERROR(__xludf.DUMMYFUNCTION("""COMPUTED_VALUE"""),"")</f>
        <v/>
      </c>
      <c r="G1678" s="47" t="str">
        <f>IFERROR(__xludf.DUMMYFUNCTION("""COMPUTED_VALUE"""),"")</f>
        <v/>
      </c>
      <c r="H1678" s="47"/>
      <c r="I1678" s="47">
        <f>IFERROR(__xludf.DUMMYFUNCTION("""COMPUTED_VALUE"""),2.0)</f>
        <v>2</v>
      </c>
      <c r="J1678" s="47" t="str">
        <f>IFERROR(__xludf.DUMMYFUNCTION("""COMPUTED_VALUE"""),"https:")</f>
        <v>https:</v>
      </c>
      <c r="K1678" s="78" t="str">
        <f>IFERROR(__xludf.DUMMYFUNCTION("""COMPUTED_VALUE"""),"www.munzee.com")</f>
        <v>www.munzee.com</v>
      </c>
      <c r="L1678" s="47" t="str">
        <f>IFERROR(__xludf.DUMMYFUNCTION("""COMPUTED_VALUE"""),"m")</f>
        <v>m</v>
      </c>
      <c r="M1678" s="47" t="str">
        <f>IFERROR(__xludf.DUMMYFUNCTION("""COMPUTED_VALUE"""),"Berg14")</f>
        <v>Berg14</v>
      </c>
    </row>
    <row r="1679">
      <c r="A1679" s="47" t="str">
        <f>IFERROR(__xludf.DUMMYFUNCTION("""COMPUTED_VALUE"""),"Virtual Brown")</f>
        <v>Virtual Brown</v>
      </c>
      <c r="B1679" s="47" t="str">
        <f>IFERROR(__xludf.DUMMYFUNCTION("""COMPUTED_VALUE"""),"Niks13")</f>
        <v>Niks13</v>
      </c>
      <c r="C1679" s="78" t="str">
        <f>IFERROR(__xludf.DUMMYFUNCTION("""COMPUTED_VALUE"""),"https://www.munzee.com/m/Niks13/1475/")</f>
        <v>https://www.munzee.com/m/Niks13/1475/</v>
      </c>
      <c r="D1679" s="47"/>
      <c r="E1679" s="47" t="b">
        <f>IFERROR(__xludf.DUMMYFUNCTION("""COMPUTED_VALUE"""),TRUE)</f>
        <v>1</v>
      </c>
      <c r="F1679" s="47" t="str">
        <f>IFERROR(__xludf.DUMMYFUNCTION("""COMPUTED_VALUE"""),"")</f>
        <v/>
      </c>
      <c r="G1679" s="47" t="str">
        <f>IFERROR(__xludf.DUMMYFUNCTION("""COMPUTED_VALUE"""),"")</f>
        <v/>
      </c>
      <c r="H1679" s="47"/>
      <c r="I1679" s="47">
        <f>IFERROR(__xludf.DUMMYFUNCTION("""COMPUTED_VALUE"""),2.0)</f>
        <v>2</v>
      </c>
      <c r="J1679" s="47" t="str">
        <f>IFERROR(__xludf.DUMMYFUNCTION("""COMPUTED_VALUE"""),"https:")</f>
        <v>https:</v>
      </c>
      <c r="K1679" s="78" t="str">
        <f>IFERROR(__xludf.DUMMYFUNCTION("""COMPUTED_VALUE"""),"www.munzee.com")</f>
        <v>www.munzee.com</v>
      </c>
      <c r="L1679" s="47" t="str">
        <f>IFERROR(__xludf.DUMMYFUNCTION("""COMPUTED_VALUE"""),"m")</f>
        <v>m</v>
      </c>
      <c r="M1679" s="47" t="str">
        <f>IFERROR(__xludf.DUMMYFUNCTION("""COMPUTED_VALUE"""),"Niks13")</f>
        <v>Niks13</v>
      </c>
    </row>
    <row r="1680">
      <c r="A1680" s="47" t="str">
        <f>IFERROR(__xludf.DUMMYFUNCTION("""COMPUTED_VALUE"""),"Virtual Brown")</f>
        <v>Virtual Brown</v>
      </c>
      <c r="B1680" s="47" t="str">
        <f>IFERROR(__xludf.DUMMYFUNCTION("""COMPUTED_VALUE"""),"lupo6")</f>
        <v>lupo6</v>
      </c>
      <c r="C1680" s="78" t="str">
        <f>IFERROR(__xludf.DUMMYFUNCTION("""COMPUTED_VALUE"""),"https://www.munzee.com/m/lupo6/2716")</f>
        <v>https://www.munzee.com/m/lupo6/2716</v>
      </c>
      <c r="D1680" s="47"/>
      <c r="E1680" s="47" t="b">
        <f>IFERROR(__xludf.DUMMYFUNCTION("""COMPUTED_VALUE"""),TRUE)</f>
        <v>1</v>
      </c>
      <c r="F1680" s="47" t="str">
        <f>IFERROR(__xludf.DUMMYFUNCTION("""COMPUTED_VALUE"""),"")</f>
        <v/>
      </c>
      <c r="G1680" s="47" t="str">
        <f>IFERROR(__xludf.DUMMYFUNCTION("""COMPUTED_VALUE"""),"")</f>
        <v/>
      </c>
      <c r="H1680" s="47"/>
      <c r="I1680" s="47">
        <f>IFERROR(__xludf.DUMMYFUNCTION("""COMPUTED_VALUE"""),2.0)</f>
        <v>2</v>
      </c>
      <c r="J1680" s="47" t="str">
        <f>IFERROR(__xludf.DUMMYFUNCTION("""COMPUTED_VALUE"""),"https:")</f>
        <v>https:</v>
      </c>
      <c r="K1680" s="78" t="str">
        <f>IFERROR(__xludf.DUMMYFUNCTION("""COMPUTED_VALUE"""),"www.munzee.com")</f>
        <v>www.munzee.com</v>
      </c>
      <c r="L1680" s="47" t="str">
        <f>IFERROR(__xludf.DUMMYFUNCTION("""COMPUTED_VALUE"""),"m")</f>
        <v>m</v>
      </c>
      <c r="M1680" s="47" t="str">
        <f>IFERROR(__xludf.DUMMYFUNCTION("""COMPUTED_VALUE"""),"lupo6")</f>
        <v>lupo6</v>
      </c>
    </row>
    <row r="1681">
      <c r="A1681" s="47" t="str">
        <f>IFERROR(__xludf.DUMMYFUNCTION("""COMPUTED_VALUE"""),"Virtual Brown")</f>
        <v>Virtual Brown</v>
      </c>
      <c r="B1681" s="47" t="str">
        <f>IFERROR(__xludf.DUMMYFUNCTION("""COMPUTED_VALUE"""),"crscousins")</f>
        <v>crscousins</v>
      </c>
      <c r="C1681" s="78" t="str">
        <f>IFERROR(__xludf.DUMMYFUNCTION("""COMPUTED_VALUE"""),"https://www.munzee.com/m/crscousins/7544/")</f>
        <v>https://www.munzee.com/m/crscousins/7544/</v>
      </c>
      <c r="D1681" s="47"/>
      <c r="E1681" s="47" t="b">
        <f>IFERROR(__xludf.DUMMYFUNCTION("""COMPUTED_VALUE"""),TRUE)</f>
        <v>1</v>
      </c>
      <c r="F1681" s="47" t="str">
        <f>IFERROR(__xludf.DUMMYFUNCTION("""COMPUTED_VALUE"""),"")</f>
        <v/>
      </c>
      <c r="G1681" s="47" t="str">
        <f>IFERROR(__xludf.DUMMYFUNCTION("""COMPUTED_VALUE"""),"")</f>
        <v/>
      </c>
      <c r="H1681" s="47"/>
      <c r="I1681" s="47">
        <f>IFERROR(__xludf.DUMMYFUNCTION("""COMPUTED_VALUE"""),2.0)</f>
        <v>2</v>
      </c>
      <c r="J1681" s="47" t="str">
        <f>IFERROR(__xludf.DUMMYFUNCTION("""COMPUTED_VALUE"""),"https:")</f>
        <v>https:</v>
      </c>
      <c r="K1681" s="78" t="str">
        <f>IFERROR(__xludf.DUMMYFUNCTION("""COMPUTED_VALUE"""),"www.munzee.com")</f>
        <v>www.munzee.com</v>
      </c>
      <c r="L1681" s="47" t="str">
        <f>IFERROR(__xludf.DUMMYFUNCTION("""COMPUTED_VALUE"""),"m")</f>
        <v>m</v>
      </c>
      <c r="M1681" s="47" t="str">
        <f>IFERROR(__xludf.DUMMYFUNCTION("""COMPUTED_VALUE"""),"crscousins")</f>
        <v>crscousins</v>
      </c>
    </row>
    <row r="1682">
      <c r="A1682" s="47" t="str">
        <f>IFERROR(__xludf.DUMMYFUNCTION("""COMPUTED_VALUE"""),"Virtual Brown")</f>
        <v>Virtual Brown</v>
      </c>
      <c r="B1682" s="47" t="str">
        <f>IFERROR(__xludf.DUMMYFUNCTION("""COMPUTED_VALUE"""),"Bungle")</f>
        <v>Bungle</v>
      </c>
      <c r="C1682" s="78" t="str">
        <f>IFERROR(__xludf.DUMMYFUNCTION("""COMPUTED_VALUE"""),"https://www.munzee.com/m/Bungle/11243")</f>
        <v>https://www.munzee.com/m/Bungle/11243</v>
      </c>
      <c r="D1682" s="47"/>
      <c r="E1682" s="47" t="b">
        <f>IFERROR(__xludf.DUMMYFUNCTION("""COMPUTED_VALUE"""),TRUE)</f>
        <v>1</v>
      </c>
      <c r="F1682" s="47"/>
      <c r="G1682" s="47" t="str">
        <f>IFERROR(__xludf.DUMMYFUNCTION("""COMPUTED_VALUE"""),"")</f>
        <v/>
      </c>
      <c r="H1682" s="47"/>
      <c r="I1682" s="47">
        <f>IFERROR(__xludf.DUMMYFUNCTION("""COMPUTED_VALUE"""),2.0)</f>
        <v>2</v>
      </c>
      <c r="J1682" s="47" t="str">
        <f>IFERROR(__xludf.DUMMYFUNCTION("""COMPUTED_VALUE"""),"https:")</f>
        <v>https:</v>
      </c>
      <c r="K1682" s="78" t="str">
        <f>IFERROR(__xludf.DUMMYFUNCTION("""COMPUTED_VALUE"""),"www.munzee.com")</f>
        <v>www.munzee.com</v>
      </c>
      <c r="L1682" s="47" t="str">
        <f>IFERROR(__xludf.DUMMYFUNCTION("""COMPUTED_VALUE"""),"m")</f>
        <v>m</v>
      </c>
      <c r="M1682" s="47" t="str">
        <f>IFERROR(__xludf.DUMMYFUNCTION("""COMPUTED_VALUE"""),"Bungle")</f>
        <v>Bungle</v>
      </c>
    </row>
    <row r="1683">
      <c r="A1683" s="47" t="str">
        <f>IFERROR(__xludf.DUMMYFUNCTION("""COMPUTED_VALUE"""),"Virtual Brown")</f>
        <v>Virtual Brown</v>
      </c>
      <c r="B1683" s="47" t="str">
        <f>IFERROR(__xludf.DUMMYFUNCTION("""COMPUTED_VALUE"""),"Trappertje")</f>
        <v>Trappertje</v>
      </c>
      <c r="C1683" s="78" t="str">
        <f>IFERROR(__xludf.DUMMYFUNCTION("""COMPUTED_VALUE"""),"https://www.munzee.com/m/Trappertje/9352/")</f>
        <v>https://www.munzee.com/m/Trappertje/9352/</v>
      </c>
      <c r="D1683" s="47"/>
      <c r="E1683" s="47" t="b">
        <f>IFERROR(__xludf.DUMMYFUNCTION("""COMPUTED_VALUE"""),TRUE)</f>
        <v>1</v>
      </c>
      <c r="F1683" s="47" t="str">
        <f>IFERROR(__xludf.DUMMYFUNCTION("""COMPUTED_VALUE"""),"")</f>
        <v/>
      </c>
      <c r="G1683" s="47" t="str">
        <f>IFERROR(__xludf.DUMMYFUNCTION("""COMPUTED_VALUE"""),"")</f>
        <v/>
      </c>
      <c r="H1683" s="47"/>
      <c r="I1683" s="47">
        <f>IFERROR(__xludf.DUMMYFUNCTION("""COMPUTED_VALUE"""),2.0)</f>
        <v>2</v>
      </c>
      <c r="J1683" s="47" t="str">
        <f>IFERROR(__xludf.DUMMYFUNCTION("""COMPUTED_VALUE"""),"https:")</f>
        <v>https:</v>
      </c>
      <c r="K1683" s="78" t="str">
        <f>IFERROR(__xludf.DUMMYFUNCTION("""COMPUTED_VALUE"""),"www.munzee.com")</f>
        <v>www.munzee.com</v>
      </c>
      <c r="L1683" s="47" t="str">
        <f>IFERROR(__xludf.DUMMYFUNCTION("""COMPUTED_VALUE"""),"m")</f>
        <v>m</v>
      </c>
      <c r="M1683" s="47" t="str">
        <f>IFERROR(__xludf.DUMMYFUNCTION("""COMPUTED_VALUE"""),"Trappertje")</f>
        <v>Trappertje</v>
      </c>
    </row>
    <row r="1684">
      <c r="A1684" s="47" t="str">
        <f>IFERROR(__xludf.DUMMYFUNCTION("""COMPUTED_VALUE"""),"Virtual Raw Sienna")</f>
        <v>Virtual Raw Sienna</v>
      </c>
      <c r="B1684" s="47" t="str">
        <f>IFERROR(__xludf.DUMMYFUNCTION("""COMPUTED_VALUE"""),"OdinsFiRe")</f>
        <v>OdinsFiRe</v>
      </c>
      <c r="C1684" s="78" t="str">
        <f>IFERROR(__xludf.DUMMYFUNCTION("""COMPUTED_VALUE"""),"https://www.munzee.com/m/OdinsFiRe/2078/")</f>
        <v>https://www.munzee.com/m/OdinsFiRe/2078/</v>
      </c>
      <c r="D1684" s="47"/>
      <c r="E1684" s="47" t="b">
        <f>IFERROR(__xludf.DUMMYFUNCTION("""COMPUTED_VALUE"""),TRUE)</f>
        <v>1</v>
      </c>
      <c r="F1684" s="47" t="str">
        <f>IFERROR(__xludf.DUMMYFUNCTION("""COMPUTED_VALUE"""),"")</f>
        <v/>
      </c>
      <c r="G1684" s="47" t="str">
        <f>IFERROR(__xludf.DUMMYFUNCTION("""COMPUTED_VALUE"""),"")</f>
        <v/>
      </c>
      <c r="H1684" s="47"/>
      <c r="I1684" s="47">
        <f>IFERROR(__xludf.DUMMYFUNCTION("""COMPUTED_VALUE"""),2.0)</f>
        <v>2</v>
      </c>
      <c r="J1684" s="47" t="str">
        <f>IFERROR(__xludf.DUMMYFUNCTION("""COMPUTED_VALUE"""),"https:")</f>
        <v>https:</v>
      </c>
      <c r="K1684" s="78" t="str">
        <f>IFERROR(__xludf.DUMMYFUNCTION("""COMPUTED_VALUE"""),"www.munzee.com")</f>
        <v>www.munzee.com</v>
      </c>
      <c r="L1684" s="47" t="str">
        <f>IFERROR(__xludf.DUMMYFUNCTION("""COMPUTED_VALUE"""),"m")</f>
        <v>m</v>
      </c>
      <c r="M1684" s="47" t="str">
        <f>IFERROR(__xludf.DUMMYFUNCTION("""COMPUTED_VALUE"""),"OdinsFiRe")</f>
        <v>OdinsFiRe</v>
      </c>
    </row>
    <row r="1685">
      <c r="A1685" s="47" t="str">
        <f>IFERROR(__xludf.DUMMYFUNCTION("""COMPUTED_VALUE"""),"Virtual Brown")</f>
        <v>Virtual Brown</v>
      </c>
      <c r="B1685" s="47" t="str">
        <f>IFERROR(__xludf.DUMMYFUNCTION("""COMPUTED_VALUE"""),"skyfox")</f>
        <v>skyfox</v>
      </c>
      <c r="C1685" s="78" t="str">
        <f>IFERROR(__xludf.DUMMYFUNCTION("""COMPUTED_VALUE"""),"https://www.munzee.com/m/skyfox/14477/")</f>
        <v>https://www.munzee.com/m/skyfox/14477/</v>
      </c>
      <c r="D1685" s="47"/>
      <c r="E1685" s="47" t="b">
        <f>IFERROR(__xludf.DUMMYFUNCTION("""COMPUTED_VALUE"""),TRUE)</f>
        <v>1</v>
      </c>
      <c r="F1685" s="47" t="str">
        <f>IFERROR(__xludf.DUMMYFUNCTION("""COMPUTED_VALUE"""),"")</f>
        <v/>
      </c>
      <c r="G1685" s="47" t="str">
        <f>IFERROR(__xludf.DUMMYFUNCTION("""COMPUTED_VALUE"""),"")</f>
        <v/>
      </c>
      <c r="H1685" s="47"/>
      <c r="I1685" s="47">
        <f>IFERROR(__xludf.DUMMYFUNCTION("""COMPUTED_VALUE"""),2.0)</f>
        <v>2</v>
      </c>
      <c r="J1685" s="47" t="str">
        <f>IFERROR(__xludf.DUMMYFUNCTION("""COMPUTED_VALUE"""),"https:")</f>
        <v>https:</v>
      </c>
      <c r="K1685" s="78" t="str">
        <f>IFERROR(__xludf.DUMMYFUNCTION("""COMPUTED_VALUE"""),"www.munzee.com")</f>
        <v>www.munzee.com</v>
      </c>
      <c r="L1685" s="47" t="str">
        <f>IFERROR(__xludf.DUMMYFUNCTION("""COMPUTED_VALUE"""),"m")</f>
        <v>m</v>
      </c>
      <c r="M1685" s="47" t="str">
        <f>IFERROR(__xludf.DUMMYFUNCTION("""COMPUTED_VALUE"""),"skyfox")</f>
        <v>skyfox</v>
      </c>
    </row>
    <row r="1686">
      <c r="A1686" s="47" t="str">
        <f>IFERROR(__xludf.DUMMYFUNCTION("""COMPUTED_VALUE"""),"Virtual Brown")</f>
        <v>Virtual Brown</v>
      </c>
      <c r="B1686" s="47" t="str">
        <f>IFERROR(__xludf.DUMMYFUNCTION("""COMPUTED_VALUE"""),"Anetzet ")</f>
        <v>Anetzet </v>
      </c>
      <c r="C1686" s="78" t="str">
        <f>IFERROR(__xludf.DUMMYFUNCTION("""COMPUTED_VALUE"""),"https://www.munzee.com/m/Anetzet/4508/")</f>
        <v>https://www.munzee.com/m/Anetzet/4508/</v>
      </c>
      <c r="D1686" s="47"/>
      <c r="E1686" s="47" t="b">
        <f>IFERROR(__xludf.DUMMYFUNCTION("""COMPUTED_VALUE"""),TRUE)</f>
        <v>1</v>
      </c>
      <c r="F1686" s="47" t="str">
        <f>IFERROR(__xludf.DUMMYFUNCTION("""COMPUTED_VALUE"""),"")</f>
        <v/>
      </c>
      <c r="G1686" s="47" t="str">
        <f>IFERROR(__xludf.DUMMYFUNCTION("""COMPUTED_VALUE"""),"")</f>
        <v/>
      </c>
      <c r="H1686" s="47"/>
      <c r="I1686" s="47">
        <f>IFERROR(__xludf.DUMMYFUNCTION("""COMPUTED_VALUE"""),2.0)</f>
        <v>2</v>
      </c>
      <c r="J1686" s="47" t="str">
        <f>IFERROR(__xludf.DUMMYFUNCTION("""COMPUTED_VALUE"""),"https:")</f>
        <v>https:</v>
      </c>
      <c r="K1686" s="78" t="str">
        <f>IFERROR(__xludf.DUMMYFUNCTION("""COMPUTED_VALUE"""),"www.munzee.com")</f>
        <v>www.munzee.com</v>
      </c>
      <c r="L1686" s="47" t="str">
        <f>IFERROR(__xludf.DUMMYFUNCTION("""COMPUTED_VALUE"""),"m")</f>
        <v>m</v>
      </c>
      <c r="M1686" s="47" t="str">
        <f>IFERROR(__xludf.DUMMYFUNCTION("""COMPUTED_VALUE"""),"Anetzet")</f>
        <v>Anetzet</v>
      </c>
    </row>
    <row r="1687">
      <c r="A1687" s="47" t="str">
        <f>IFERROR(__xludf.DUMMYFUNCTION("""COMPUTED_VALUE"""),"Virtual Brown")</f>
        <v>Virtual Brown</v>
      </c>
      <c r="B1687" s="47"/>
      <c r="C1687" s="47"/>
      <c r="D1687" s="47"/>
      <c r="E1687" s="47" t="b">
        <f>IFERROR(__xludf.DUMMYFUNCTION("""COMPUTED_VALUE"""),FALSE)</f>
        <v>0</v>
      </c>
      <c r="F1687" s="47"/>
      <c r="G1687" s="47" t="str">
        <f>IFERROR(__xludf.DUMMYFUNCTION("""COMPUTED_VALUE"""),"")</f>
        <v/>
      </c>
      <c r="H1687" s="47"/>
      <c r="I1687" s="47">
        <f>IFERROR(__xludf.DUMMYFUNCTION("""COMPUTED_VALUE"""),0.0)</f>
        <v>0</v>
      </c>
      <c r="J1687" s="47" t="str">
        <f>IFERROR(__xludf.DUMMYFUNCTION("""COMPUTED_VALUE"""),"#VALUE!")</f>
        <v>#VALUE!</v>
      </c>
      <c r="K1687" s="47"/>
      <c r="L1687" s="47"/>
      <c r="M1687" s="47"/>
    </row>
    <row r="1688">
      <c r="A1688" s="47" t="str">
        <f>IFERROR(__xludf.DUMMYFUNCTION("""COMPUTED_VALUE"""),"Virtual Raw Sienna")</f>
        <v>Virtual Raw Sienna</v>
      </c>
      <c r="B1688" s="47" t="str">
        <f>IFERROR(__xludf.DUMMYFUNCTION("""COMPUTED_VALUE"""),"skyfox")</f>
        <v>skyfox</v>
      </c>
      <c r="C1688" s="78" t="str">
        <f>IFERROR(__xludf.DUMMYFUNCTION("""COMPUTED_VALUE"""),"https://www.munzee.com/m/skyfox/14476/")</f>
        <v>https://www.munzee.com/m/skyfox/14476/</v>
      </c>
      <c r="D1688" s="47"/>
      <c r="E1688" s="47" t="b">
        <f>IFERROR(__xludf.DUMMYFUNCTION("""COMPUTED_VALUE"""),TRUE)</f>
        <v>1</v>
      </c>
      <c r="F1688" s="47" t="str">
        <f>IFERROR(__xludf.DUMMYFUNCTION("""COMPUTED_VALUE"""),"")</f>
        <v/>
      </c>
      <c r="G1688" s="47" t="str">
        <f>IFERROR(__xludf.DUMMYFUNCTION("""COMPUTED_VALUE"""),"")</f>
        <v/>
      </c>
      <c r="H1688" s="47"/>
      <c r="I1688" s="47">
        <f>IFERROR(__xludf.DUMMYFUNCTION("""COMPUTED_VALUE"""),2.0)</f>
        <v>2</v>
      </c>
      <c r="J1688" s="47" t="str">
        <f>IFERROR(__xludf.DUMMYFUNCTION("""COMPUTED_VALUE"""),"https:")</f>
        <v>https:</v>
      </c>
      <c r="K1688" s="78" t="str">
        <f>IFERROR(__xludf.DUMMYFUNCTION("""COMPUTED_VALUE"""),"www.munzee.com")</f>
        <v>www.munzee.com</v>
      </c>
      <c r="L1688" s="47" t="str">
        <f>IFERROR(__xludf.DUMMYFUNCTION("""COMPUTED_VALUE"""),"m")</f>
        <v>m</v>
      </c>
      <c r="M1688" s="47" t="str">
        <f>IFERROR(__xludf.DUMMYFUNCTION("""COMPUTED_VALUE"""),"skyfox")</f>
        <v>skyfox</v>
      </c>
    </row>
    <row r="1689">
      <c r="A1689" s="47" t="str">
        <f>IFERROR(__xludf.DUMMYFUNCTION("""COMPUTED_VALUE"""),"Virtual Brown")</f>
        <v>Virtual Brown</v>
      </c>
      <c r="B1689" s="47" t="str">
        <f>IFERROR(__xludf.DUMMYFUNCTION("""COMPUTED_VALUE"""),"anseldelux")</f>
        <v>anseldelux</v>
      </c>
      <c r="C1689" s="78" t="str">
        <f>IFERROR(__xludf.DUMMYFUNCTION("""COMPUTED_VALUE"""),"https://www.munzee.com/m/Anseldelux/1269/")</f>
        <v>https://www.munzee.com/m/Anseldelux/1269/</v>
      </c>
      <c r="D1689" s="47"/>
      <c r="E1689" s="47" t="b">
        <f>IFERROR(__xludf.DUMMYFUNCTION("""COMPUTED_VALUE"""),TRUE)</f>
        <v>1</v>
      </c>
      <c r="F1689" s="47" t="str">
        <f>IFERROR(__xludf.DUMMYFUNCTION("""COMPUTED_VALUE"""),"")</f>
        <v/>
      </c>
      <c r="G1689" s="47" t="str">
        <f>IFERROR(__xludf.DUMMYFUNCTION("""COMPUTED_VALUE"""),"")</f>
        <v/>
      </c>
      <c r="H1689" s="47"/>
      <c r="I1689" s="47">
        <f>IFERROR(__xludf.DUMMYFUNCTION("""COMPUTED_VALUE"""),2.0)</f>
        <v>2</v>
      </c>
      <c r="J1689" s="47" t="str">
        <f>IFERROR(__xludf.DUMMYFUNCTION("""COMPUTED_VALUE"""),"https:")</f>
        <v>https:</v>
      </c>
      <c r="K1689" s="78" t="str">
        <f>IFERROR(__xludf.DUMMYFUNCTION("""COMPUTED_VALUE"""),"www.munzee.com")</f>
        <v>www.munzee.com</v>
      </c>
      <c r="L1689" s="47" t="str">
        <f>IFERROR(__xludf.DUMMYFUNCTION("""COMPUTED_VALUE"""),"m")</f>
        <v>m</v>
      </c>
      <c r="M1689" s="47" t="str">
        <f>IFERROR(__xludf.DUMMYFUNCTION("""COMPUTED_VALUE"""),"Anseldelux")</f>
        <v>Anseldelux</v>
      </c>
    </row>
    <row r="1690">
      <c r="A1690" s="47" t="str">
        <f>IFERROR(__xludf.DUMMYFUNCTION("""COMPUTED_VALUE"""),"Virtual Brown")</f>
        <v>Virtual Brown</v>
      </c>
      <c r="B1690" s="47" t="str">
        <f>IFERROR(__xludf.DUMMYFUNCTION("""COMPUTED_VALUE"""),"MeanderingMonkeys")</f>
        <v>MeanderingMonkeys</v>
      </c>
      <c r="C1690" s="78" t="str">
        <f>IFERROR(__xludf.DUMMYFUNCTION("""COMPUTED_VALUE"""),"https://www.munzee.com/m/MeanderingMonkeys/22528/")</f>
        <v>https://www.munzee.com/m/MeanderingMonkeys/22528/</v>
      </c>
      <c r="D1690" s="47"/>
      <c r="E1690" s="47" t="b">
        <f>IFERROR(__xludf.DUMMYFUNCTION("""COMPUTED_VALUE"""),TRUE)</f>
        <v>1</v>
      </c>
      <c r="F1690" s="47" t="str">
        <f>IFERROR(__xludf.DUMMYFUNCTION("""COMPUTED_VALUE"""),"")</f>
        <v/>
      </c>
      <c r="G1690" s="47" t="str">
        <f>IFERROR(__xludf.DUMMYFUNCTION("""COMPUTED_VALUE"""),"")</f>
        <v/>
      </c>
      <c r="H1690" s="47"/>
      <c r="I1690" s="47">
        <f>IFERROR(__xludf.DUMMYFUNCTION("""COMPUTED_VALUE"""),2.0)</f>
        <v>2</v>
      </c>
      <c r="J1690" s="47" t="str">
        <f>IFERROR(__xludf.DUMMYFUNCTION("""COMPUTED_VALUE"""),"https:")</f>
        <v>https:</v>
      </c>
      <c r="K1690" s="78" t="str">
        <f>IFERROR(__xludf.DUMMYFUNCTION("""COMPUTED_VALUE"""),"www.munzee.com")</f>
        <v>www.munzee.com</v>
      </c>
      <c r="L1690" s="47" t="str">
        <f>IFERROR(__xludf.DUMMYFUNCTION("""COMPUTED_VALUE"""),"m")</f>
        <v>m</v>
      </c>
      <c r="M1690" s="47" t="str">
        <f>IFERROR(__xludf.DUMMYFUNCTION("""COMPUTED_VALUE"""),"MeanderingMonkeys")</f>
        <v>MeanderingMonkeys</v>
      </c>
    </row>
    <row r="1691">
      <c r="A1691" s="47" t="str">
        <f>IFERROR(__xludf.DUMMYFUNCTION("""COMPUTED_VALUE"""),"Virtual Raw Sienna")</f>
        <v>Virtual Raw Sienna</v>
      </c>
      <c r="B1691" s="47"/>
      <c r="C1691" s="47"/>
      <c r="D1691" s="47"/>
      <c r="E1691" s="47" t="b">
        <f>IFERROR(__xludf.DUMMYFUNCTION("""COMPUTED_VALUE"""),FALSE)</f>
        <v>0</v>
      </c>
      <c r="F1691" s="47"/>
      <c r="G1691" s="47" t="str">
        <f>IFERROR(__xludf.DUMMYFUNCTION("""COMPUTED_VALUE"""),"")</f>
        <v/>
      </c>
      <c r="H1691" s="47"/>
      <c r="I1691" s="47">
        <f>IFERROR(__xludf.DUMMYFUNCTION("""COMPUTED_VALUE"""),0.0)</f>
        <v>0</v>
      </c>
      <c r="J1691" s="47" t="str">
        <f>IFERROR(__xludf.DUMMYFUNCTION("""COMPUTED_VALUE"""),"#VALUE!")</f>
        <v>#VALUE!</v>
      </c>
      <c r="K1691" s="47"/>
      <c r="L1691" s="47"/>
      <c r="M1691" s="47"/>
    </row>
    <row r="1692">
      <c r="A1692" s="47" t="str">
        <f>IFERROR(__xludf.DUMMYFUNCTION("""COMPUTED_VALUE"""),"Virtual Brown")</f>
        <v>Virtual Brown</v>
      </c>
      <c r="B1692" s="47" t="str">
        <f>IFERROR(__xludf.DUMMYFUNCTION("""COMPUTED_VALUE"""),"cbf600")</f>
        <v>cbf600</v>
      </c>
      <c r="C1692" s="78" t="str">
        <f>IFERROR(__xludf.DUMMYFUNCTION("""COMPUTED_VALUE"""),"https://www.munzee.com/m/cbf600/3784/")</f>
        <v>https://www.munzee.com/m/cbf600/3784/</v>
      </c>
      <c r="D1692" s="47"/>
      <c r="E1692" s="47" t="b">
        <f>IFERROR(__xludf.DUMMYFUNCTION("""COMPUTED_VALUE"""),TRUE)</f>
        <v>1</v>
      </c>
      <c r="F1692" s="47" t="str">
        <f>IFERROR(__xludf.DUMMYFUNCTION("""COMPUTED_VALUE"""),"")</f>
        <v/>
      </c>
      <c r="G1692" s="47" t="str">
        <f>IFERROR(__xludf.DUMMYFUNCTION("""COMPUTED_VALUE"""),"")</f>
        <v/>
      </c>
      <c r="H1692" s="47"/>
      <c r="I1692" s="47">
        <f>IFERROR(__xludf.DUMMYFUNCTION("""COMPUTED_VALUE"""),2.0)</f>
        <v>2</v>
      </c>
      <c r="J1692" s="47" t="str">
        <f>IFERROR(__xludf.DUMMYFUNCTION("""COMPUTED_VALUE"""),"https:")</f>
        <v>https:</v>
      </c>
      <c r="K1692" s="78" t="str">
        <f>IFERROR(__xludf.DUMMYFUNCTION("""COMPUTED_VALUE"""),"www.munzee.com")</f>
        <v>www.munzee.com</v>
      </c>
      <c r="L1692" s="47" t="str">
        <f>IFERROR(__xludf.DUMMYFUNCTION("""COMPUTED_VALUE"""),"m")</f>
        <v>m</v>
      </c>
      <c r="M1692" s="47" t="str">
        <f>IFERROR(__xludf.DUMMYFUNCTION("""COMPUTED_VALUE"""),"cbf600")</f>
        <v>cbf600</v>
      </c>
    </row>
    <row r="1693">
      <c r="A1693" s="47" t="str">
        <f>IFERROR(__xludf.DUMMYFUNCTION("""COMPUTED_VALUE"""),"Virtual Raw Sienna")</f>
        <v>Virtual Raw Sienna</v>
      </c>
      <c r="B1693" s="47"/>
      <c r="C1693" s="47"/>
      <c r="D1693" s="47"/>
      <c r="E1693" s="47" t="b">
        <f>IFERROR(__xludf.DUMMYFUNCTION("""COMPUTED_VALUE"""),FALSE)</f>
        <v>0</v>
      </c>
      <c r="F1693" s="47"/>
      <c r="G1693" s="47" t="str">
        <f>IFERROR(__xludf.DUMMYFUNCTION("""COMPUTED_VALUE"""),"")</f>
        <v/>
      </c>
      <c r="H1693" s="47"/>
      <c r="I1693" s="47">
        <f>IFERROR(__xludf.DUMMYFUNCTION("""COMPUTED_VALUE"""),0.0)</f>
        <v>0</v>
      </c>
      <c r="J1693" s="47" t="str">
        <f>IFERROR(__xludf.DUMMYFUNCTION("""COMPUTED_VALUE"""),"#VALUE!")</f>
        <v>#VALUE!</v>
      </c>
      <c r="K1693" s="47"/>
      <c r="L1693" s="47"/>
      <c r="M1693" s="47"/>
    </row>
    <row r="1694">
      <c r="A1694" s="47" t="str">
        <f>IFERROR(__xludf.DUMMYFUNCTION("""COMPUTED_VALUE"""),"Virtual Brown")</f>
        <v>Virtual Brown</v>
      </c>
      <c r="B1694" s="47"/>
      <c r="C1694" s="47"/>
      <c r="D1694" s="47"/>
      <c r="E1694" s="47" t="b">
        <f>IFERROR(__xludf.DUMMYFUNCTION("""COMPUTED_VALUE"""),FALSE)</f>
        <v>0</v>
      </c>
      <c r="F1694" s="47"/>
      <c r="G1694" s="47" t="str">
        <f>IFERROR(__xludf.DUMMYFUNCTION("""COMPUTED_VALUE"""),"")</f>
        <v/>
      </c>
      <c r="H1694" s="47"/>
      <c r="I1694" s="47">
        <f>IFERROR(__xludf.DUMMYFUNCTION("""COMPUTED_VALUE"""),0.0)</f>
        <v>0</v>
      </c>
      <c r="J1694" s="47" t="str">
        <f>IFERROR(__xludf.DUMMYFUNCTION("""COMPUTED_VALUE"""),"#VALUE!")</f>
        <v>#VALUE!</v>
      </c>
      <c r="K1694" s="47"/>
      <c r="L1694" s="47"/>
      <c r="M1694" s="47"/>
    </row>
    <row r="1695">
      <c r="A1695" s="47" t="str">
        <f>IFERROR(__xludf.DUMMYFUNCTION("""COMPUTED_VALUE"""),"Virtual Brown")</f>
        <v>Virtual Brown</v>
      </c>
      <c r="B1695" s="47"/>
      <c r="C1695" s="47"/>
      <c r="D1695" s="47"/>
      <c r="E1695" s="47" t="b">
        <f>IFERROR(__xludf.DUMMYFUNCTION("""COMPUTED_VALUE"""),FALSE)</f>
        <v>0</v>
      </c>
      <c r="F1695" s="47"/>
      <c r="G1695" s="47" t="str">
        <f>IFERROR(__xludf.DUMMYFUNCTION("""COMPUTED_VALUE"""),"")</f>
        <v/>
      </c>
      <c r="H1695" s="47"/>
      <c r="I1695" s="47">
        <f>IFERROR(__xludf.DUMMYFUNCTION("""COMPUTED_VALUE"""),0.0)</f>
        <v>0</v>
      </c>
      <c r="J1695" s="47" t="str">
        <f>IFERROR(__xludf.DUMMYFUNCTION("""COMPUTED_VALUE"""),"#VALUE!")</f>
        <v>#VALUE!</v>
      </c>
      <c r="K1695" s="47"/>
      <c r="L1695" s="47"/>
      <c r="M1695" s="47"/>
    </row>
    <row r="1696">
      <c r="A1696" s="47" t="str">
        <f>IFERROR(__xludf.DUMMYFUNCTION("""COMPUTED_VALUE"""),"Virtual Brown")</f>
        <v>Virtual Brown</v>
      </c>
      <c r="B1696" s="47" t="str">
        <f>IFERROR(__xludf.DUMMYFUNCTION("""COMPUTED_VALUE""")," ")</f>
        <v> </v>
      </c>
      <c r="C1696" s="47"/>
      <c r="D1696" s="47"/>
      <c r="E1696" s="47" t="b">
        <f>IFERROR(__xludf.DUMMYFUNCTION("""COMPUTED_VALUE"""),FALSE)</f>
        <v>0</v>
      </c>
      <c r="F1696" s="47"/>
      <c r="G1696" s="47" t="str">
        <f>IFERROR(__xludf.DUMMYFUNCTION("""COMPUTED_VALUE"""),"")</f>
        <v/>
      </c>
      <c r="H1696" s="47"/>
      <c r="I1696" s="47">
        <f>IFERROR(__xludf.DUMMYFUNCTION("""COMPUTED_VALUE"""),0.0)</f>
        <v>0</v>
      </c>
      <c r="J1696" s="47" t="str">
        <f>IFERROR(__xludf.DUMMYFUNCTION("""COMPUTED_VALUE"""),"#VALUE!")</f>
        <v>#VALUE!</v>
      </c>
      <c r="K1696" s="47"/>
      <c r="L1696" s="47"/>
      <c r="M1696" s="47"/>
    </row>
    <row r="1697">
      <c r="A1697" s="47" t="str">
        <f>IFERROR(__xludf.DUMMYFUNCTION("""COMPUTED_VALUE"""),"Virtual Brown")</f>
        <v>Virtual Brown</v>
      </c>
      <c r="B1697" s="47"/>
      <c r="C1697" s="47"/>
      <c r="D1697" s="47"/>
      <c r="E1697" s="47" t="b">
        <f>IFERROR(__xludf.DUMMYFUNCTION("""COMPUTED_VALUE"""),FALSE)</f>
        <v>0</v>
      </c>
      <c r="F1697" s="47"/>
      <c r="G1697" s="47" t="str">
        <f>IFERROR(__xludf.DUMMYFUNCTION("""COMPUTED_VALUE"""),"")</f>
        <v/>
      </c>
      <c r="H1697" s="47"/>
      <c r="I1697" s="47">
        <f>IFERROR(__xludf.DUMMYFUNCTION("""COMPUTED_VALUE"""),0.0)</f>
        <v>0</v>
      </c>
      <c r="J1697" s="47" t="str">
        <f>IFERROR(__xludf.DUMMYFUNCTION("""COMPUTED_VALUE"""),"#VALUE!")</f>
        <v>#VALUE!</v>
      </c>
      <c r="K1697" s="47"/>
      <c r="L1697" s="47"/>
      <c r="M1697" s="47"/>
    </row>
    <row r="1698">
      <c r="A1698" s="47" t="str">
        <f>IFERROR(__xludf.DUMMYFUNCTION("""COMPUTED_VALUE"""),"Virtual Brown")</f>
        <v>Virtual Brown</v>
      </c>
      <c r="B1698" s="47"/>
      <c r="C1698" s="47"/>
      <c r="D1698" s="47"/>
      <c r="E1698" s="47" t="b">
        <f>IFERROR(__xludf.DUMMYFUNCTION("""COMPUTED_VALUE"""),FALSE)</f>
        <v>0</v>
      </c>
      <c r="F1698" s="47"/>
      <c r="G1698" s="47" t="str">
        <f>IFERROR(__xludf.DUMMYFUNCTION("""COMPUTED_VALUE"""),"")</f>
        <v/>
      </c>
      <c r="H1698" s="47"/>
      <c r="I1698" s="47">
        <f>IFERROR(__xludf.DUMMYFUNCTION("""COMPUTED_VALUE"""),0.0)</f>
        <v>0</v>
      </c>
      <c r="J1698" s="47" t="str">
        <f>IFERROR(__xludf.DUMMYFUNCTION("""COMPUTED_VALUE"""),"#VALUE!")</f>
        <v>#VALUE!</v>
      </c>
      <c r="K1698" s="47"/>
      <c r="L1698" s="47"/>
      <c r="M1698" s="47"/>
    </row>
    <row r="1699">
      <c r="A1699" s="47" t="str">
        <f>IFERROR(__xludf.DUMMYFUNCTION("""COMPUTED_VALUE"""),"Virtual Brown")</f>
        <v>Virtual Brown</v>
      </c>
      <c r="B1699" s="47" t="str">
        <f>IFERROR(__xludf.DUMMYFUNCTION("""COMPUTED_VALUE"""),"Bisquick2")</f>
        <v>Bisquick2</v>
      </c>
      <c r="C1699" s="78" t="str">
        <f>IFERROR(__xludf.DUMMYFUNCTION("""COMPUTED_VALUE"""),"https://www.munzee.com/m/Bisquick2/7386/")</f>
        <v>https://www.munzee.com/m/Bisquick2/7386/</v>
      </c>
      <c r="D1699" s="47"/>
      <c r="E1699" s="47" t="b">
        <f>IFERROR(__xludf.DUMMYFUNCTION("""COMPUTED_VALUE"""),TRUE)</f>
        <v>1</v>
      </c>
      <c r="F1699" s="47" t="str">
        <f>IFERROR(__xludf.DUMMYFUNCTION("""COMPUTED_VALUE"""),"")</f>
        <v/>
      </c>
      <c r="G1699" s="47" t="str">
        <f>IFERROR(__xludf.DUMMYFUNCTION("""COMPUTED_VALUE"""),"")</f>
        <v/>
      </c>
      <c r="H1699" s="47"/>
      <c r="I1699" s="47">
        <f>IFERROR(__xludf.DUMMYFUNCTION("""COMPUTED_VALUE"""),2.0)</f>
        <v>2</v>
      </c>
      <c r="J1699" s="47" t="str">
        <f>IFERROR(__xludf.DUMMYFUNCTION("""COMPUTED_VALUE"""),"https:")</f>
        <v>https:</v>
      </c>
      <c r="K1699" s="78" t="str">
        <f>IFERROR(__xludf.DUMMYFUNCTION("""COMPUTED_VALUE"""),"www.munzee.com")</f>
        <v>www.munzee.com</v>
      </c>
      <c r="L1699" s="47" t="str">
        <f>IFERROR(__xludf.DUMMYFUNCTION("""COMPUTED_VALUE"""),"m")</f>
        <v>m</v>
      </c>
      <c r="M1699" s="47" t="str">
        <f>IFERROR(__xludf.DUMMYFUNCTION("""COMPUTED_VALUE"""),"Bisquick2")</f>
        <v>Bisquick2</v>
      </c>
    </row>
    <row r="1700">
      <c r="A1700" s="47" t="str">
        <f>IFERROR(__xludf.DUMMYFUNCTION("""COMPUTED_VALUE"""),"Virtual Brown")</f>
        <v>Virtual Brown</v>
      </c>
      <c r="B1700" s="47"/>
      <c r="C1700" s="47"/>
      <c r="D1700" s="47"/>
      <c r="E1700" s="47" t="b">
        <f>IFERROR(__xludf.DUMMYFUNCTION("""COMPUTED_VALUE"""),FALSE)</f>
        <v>0</v>
      </c>
      <c r="F1700" s="47"/>
      <c r="G1700" s="47" t="str">
        <f>IFERROR(__xludf.DUMMYFUNCTION("""COMPUTED_VALUE"""),"")</f>
        <v/>
      </c>
      <c r="H1700" s="47"/>
      <c r="I1700" s="47">
        <f>IFERROR(__xludf.DUMMYFUNCTION("""COMPUTED_VALUE"""),0.0)</f>
        <v>0</v>
      </c>
      <c r="J1700" s="47" t="str">
        <f>IFERROR(__xludf.DUMMYFUNCTION("""COMPUTED_VALUE"""),"#VALUE!")</f>
        <v>#VALUE!</v>
      </c>
      <c r="K1700" s="47"/>
      <c r="L1700" s="47"/>
      <c r="M1700" s="47"/>
    </row>
    <row r="1701">
      <c r="A1701" s="47" t="str">
        <f>IFERROR(__xludf.DUMMYFUNCTION("""COMPUTED_VALUE"""),"Virtual Raw Sienna")</f>
        <v>Virtual Raw Sienna</v>
      </c>
      <c r="B1701" s="47" t="str">
        <f>IFERROR(__xludf.DUMMYFUNCTION("""COMPUTED_VALUE"""),"TeamSarton ")</f>
        <v>TeamSarton </v>
      </c>
      <c r="C1701" s="78" t="str">
        <f>IFERROR(__xludf.DUMMYFUNCTION("""COMPUTED_VALUE"""),"https://www.munzee.com/m/TeamSarton/2365/")</f>
        <v>https://www.munzee.com/m/TeamSarton/2365/</v>
      </c>
      <c r="D1701" s="47"/>
      <c r="E1701" s="47" t="b">
        <f>IFERROR(__xludf.DUMMYFUNCTION("""COMPUTED_VALUE"""),TRUE)</f>
        <v>1</v>
      </c>
      <c r="F1701" s="47" t="str">
        <f>IFERROR(__xludf.DUMMYFUNCTION("""COMPUTED_VALUE"""),"")</f>
        <v/>
      </c>
      <c r="G1701" s="47" t="str">
        <f>IFERROR(__xludf.DUMMYFUNCTION("""COMPUTED_VALUE"""),"")</f>
        <v/>
      </c>
      <c r="H1701" s="47"/>
      <c r="I1701" s="47">
        <f>IFERROR(__xludf.DUMMYFUNCTION("""COMPUTED_VALUE"""),2.0)</f>
        <v>2</v>
      </c>
      <c r="J1701" s="47" t="str">
        <f>IFERROR(__xludf.DUMMYFUNCTION("""COMPUTED_VALUE"""),"https:")</f>
        <v>https:</v>
      </c>
      <c r="K1701" s="78" t="str">
        <f>IFERROR(__xludf.DUMMYFUNCTION("""COMPUTED_VALUE"""),"www.munzee.com")</f>
        <v>www.munzee.com</v>
      </c>
      <c r="L1701" s="47" t="str">
        <f>IFERROR(__xludf.DUMMYFUNCTION("""COMPUTED_VALUE"""),"m")</f>
        <v>m</v>
      </c>
      <c r="M1701" s="47" t="str">
        <f>IFERROR(__xludf.DUMMYFUNCTION("""COMPUTED_VALUE"""),"TeamSarton")</f>
        <v>TeamSarton</v>
      </c>
    </row>
    <row r="1702">
      <c r="A1702" s="47" t="str">
        <f>IFERROR(__xludf.DUMMYFUNCTION("""COMPUTED_VALUE"""),"Virtual Brown")</f>
        <v>Virtual Brown</v>
      </c>
      <c r="B1702" s="47"/>
      <c r="C1702" s="47"/>
      <c r="D1702" s="47"/>
      <c r="E1702" s="47" t="b">
        <f>IFERROR(__xludf.DUMMYFUNCTION("""COMPUTED_VALUE"""),FALSE)</f>
        <v>0</v>
      </c>
      <c r="F1702" s="47"/>
      <c r="G1702" s="47" t="str">
        <f>IFERROR(__xludf.DUMMYFUNCTION("""COMPUTED_VALUE"""),"")</f>
        <v/>
      </c>
      <c r="H1702" s="47"/>
      <c r="I1702" s="47">
        <f>IFERROR(__xludf.DUMMYFUNCTION("""COMPUTED_VALUE"""),0.0)</f>
        <v>0</v>
      </c>
      <c r="J1702" s="47" t="str">
        <f>IFERROR(__xludf.DUMMYFUNCTION("""COMPUTED_VALUE"""),"#VALUE!")</f>
        <v>#VALUE!</v>
      </c>
      <c r="K1702" s="47"/>
      <c r="L1702" s="47"/>
      <c r="M1702" s="47"/>
    </row>
    <row r="1703">
      <c r="A1703" s="47" t="str">
        <f>IFERROR(__xludf.DUMMYFUNCTION("""COMPUTED_VALUE"""),"Virtual Brown")</f>
        <v>Virtual Brown</v>
      </c>
      <c r="B1703" s="47"/>
      <c r="C1703" s="47"/>
      <c r="D1703" s="47"/>
      <c r="E1703" s="47" t="b">
        <f>IFERROR(__xludf.DUMMYFUNCTION("""COMPUTED_VALUE"""),FALSE)</f>
        <v>0</v>
      </c>
      <c r="F1703" s="47"/>
      <c r="G1703" s="47" t="str">
        <f>IFERROR(__xludf.DUMMYFUNCTION("""COMPUTED_VALUE"""),"")</f>
        <v/>
      </c>
      <c r="H1703" s="47"/>
      <c r="I1703" s="47">
        <f>IFERROR(__xludf.DUMMYFUNCTION("""COMPUTED_VALUE"""),0.0)</f>
        <v>0</v>
      </c>
      <c r="J1703" s="47" t="str">
        <f>IFERROR(__xludf.DUMMYFUNCTION("""COMPUTED_VALUE"""),"#VALUE!")</f>
        <v>#VALUE!</v>
      </c>
      <c r="K1703" s="47"/>
      <c r="L1703" s="47"/>
      <c r="M1703" s="47"/>
    </row>
    <row r="1704">
      <c r="A1704" s="47" t="str">
        <f>IFERROR(__xludf.DUMMYFUNCTION("""COMPUTED_VALUE"""),"Virtual Raw Sienna")</f>
        <v>Virtual Raw Sienna</v>
      </c>
      <c r="B1704" s="47"/>
      <c r="C1704" s="47"/>
      <c r="D1704" s="47"/>
      <c r="E1704" s="47" t="b">
        <f>IFERROR(__xludf.DUMMYFUNCTION("""COMPUTED_VALUE"""),FALSE)</f>
        <v>0</v>
      </c>
      <c r="F1704" s="47"/>
      <c r="G1704" s="47" t="str">
        <f>IFERROR(__xludf.DUMMYFUNCTION("""COMPUTED_VALUE"""),"")</f>
        <v/>
      </c>
      <c r="H1704" s="47"/>
      <c r="I1704" s="47">
        <f>IFERROR(__xludf.DUMMYFUNCTION("""COMPUTED_VALUE"""),0.0)</f>
        <v>0</v>
      </c>
      <c r="J1704" s="47" t="str">
        <f>IFERROR(__xludf.DUMMYFUNCTION("""COMPUTED_VALUE"""),"#VALUE!")</f>
        <v>#VALUE!</v>
      </c>
      <c r="K1704" s="47"/>
      <c r="L1704" s="47"/>
      <c r="M1704" s="47"/>
    </row>
    <row r="1705">
      <c r="A1705" s="47" t="str">
        <f>IFERROR(__xludf.DUMMYFUNCTION("""COMPUTED_VALUE"""),"Virtual Brown")</f>
        <v>Virtual Brown</v>
      </c>
      <c r="B1705" s="47" t="str">
        <f>IFERROR(__xludf.DUMMYFUNCTION("""COMPUTED_VALUE"""),"TheFrog")</f>
        <v>TheFrog</v>
      </c>
      <c r="C1705" s="78" t="str">
        <f>IFERROR(__xludf.DUMMYFUNCTION("""COMPUTED_VALUE"""),"https://www.munzee.com/m/TheFrog/7190/")</f>
        <v>https://www.munzee.com/m/TheFrog/7190/</v>
      </c>
      <c r="D1705" s="47"/>
      <c r="E1705" s="47" t="b">
        <f>IFERROR(__xludf.DUMMYFUNCTION("""COMPUTED_VALUE"""),TRUE)</f>
        <v>1</v>
      </c>
      <c r="F1705" s="47" t="str">
        <f>IFERROR(__xludf.DUMMYFUNCTION("""COMPUTED_VALUE"""),"")</f>
        <v/>
      </c>
      <c r="G1705" s="47" t="str">
        <f>IFERROR(__xludf.DUMMYFUNCTION("""COMPUTED_VALUE"""),"")</f>
        <v/>
      </c>
      <c r="H1705" s="47"/>
      <c r="I1705" s="47">
        <f>IFERROR(__xludf.DUMMYFUNCTION("""COMPUTED_VALUE"""),2.0)</f>
        <v>2</v>
      </c>
      <c r="J1705" s="47" t="str">
        <f>IFERROR(__xludf.DUMMYFUNCTION("""COMPUTED_VALUE"""),"https:")</f>
        <v>https:</v>
      </c>
      <c r="K1705" s="78" t="str">
        <f>IFERROR(__xludf.DUMMYFUNCTION("""COMPUTED_VALUE"""),"www.munzee.com")</f>
        <v>www.munzee.com</v>
      </c>
      <c r="L1705" s="47" t="str">
        <f>IFERROR(__xludf.DUMMYFUNCTION("""COMPUTED_VALUE"""),"m")</f>
        <v>m</v>
      </c>
      <c r="M1705" s="47" t="str">
        <f>IFERROR(__xludf.DUMMYFUNCTION("""COMPUTED_VALUE"""),"TheFrog")</f>
        <v>TheFrog</v>
      </c>
    </row>
    <row r="1706">
      <c r="A1706" s="47" t="str">
        <f>IFERROR(__xludf.DUMMYFUNCTION("""COMPUTED_VALUE"""),"Virtual Brown")</f>
        <v>Virtual Brown</v>
      </c>
      <c r="B1706" s="47" t="str">
        <f>IFERROR(__xludf.DUMMYFUNCTION("""COMPUTED_VALUE"""),"123xilef")</f>
        <v>123xilef</v>
      </c>
      <c r="C1706" s="78" t="str">
        <f>IFERROR(__xludf.DUMMYFUNCTION("""COMPUTED_VALUE"""),"https://www.munzee.com/m/123xilef/13707/")</f>
        <v>https://www.munzee.com/m/123xilef/13707/</v>
      </c>
      <c r="D1706" s="47"/>
      <c r="E1706" s="47" t="b">
        <f>IFERROR(__xludf.DUMMYFUNCTION("""COMPUTED_VALUE"""),TRUE)</f>
        <v>1</v>
      </c>
      <c r="F1706" s="47" t="str">
        <f>IFERROR(__xludf.DUMMYFUNCTION("""COMPUTED_VALUE"""),"")</f>
        <v/>
      </c>
      <c r="G1706" s="47" t="str">
        <f>IFERROR(__xludf.DUMMYFUNCTION("""COMPUTED_VALUE"""),"")</f>
        <v/>
      </c>
      <c r="H1706" s="47"/>
      <c r="I1706" s="47">
        <f>IFERROR(__xludf.DUMMYFUNCTION("""COMPUTED_VALUE"""),2.0)</f>
        <v>2</v>
      </c>
      <c r="J1706" s="47" t="str">
        <f>IFERROR(__xludf.DUMMYFUNCTION("""COMPUTED_VALUE"""),"https:")</f>
        <v>https:</v>
      </c>
      <c r="K1706" s="78" t="str">
        <f>IFERROR(__xludf.DUMMYFUNCTION("""COMPUTED_VALUE"""),"www.munzee.com")</f>
        <v>www.munzee.com</v>
      </c>
      <c r="L1706" s="47" t="str">
        <f>IFERROR(__xludf.DUMMYFUNCTION("""COMPUTED_VALUE"""),"m")</f>
        <v>m</v>
      </c>
      <c r="M1706" s="47" t="str">
        <f>IFERROR(__xludf.DUMMYFUNCTION("""COMPUTED_VALUE"""),"123xilef")</f>
        <v>123xilef</v>
      </c>
    </row>
    <row r="1707">
      <c r="A1707" s="47" t="str">
        <f>IFERROR(__xludf.DUMMYFUNCTION("""COMPUTED_VALUE"""),"Virtual Raw Sienna")</f>
        <v>Virtual Raw Sienna</v>
      </c>
      <c r="B1707" s="47" t="str">
        <f>IFERROR(__xludf.DUMMYFUNCTION("""COMPUTED_VALUE"""),"skyfox")</f>
        <v>skyfox</v>
      </c>
      <c r="C1707" s="78" t="str">
        <f>IFERROR(__xludf.DUMMYFUNCTION("""COMPUTED_VALUE"""),"https://www.munzee.com/m/skyfox/14472/")</f>
        <v>https://www.munzee.com/m/skyfox/14472/</v>
      </c>
      <c r="D1707" s="47"/>
      <c r="E1707" s="47" t="b">
        <f>IFERROR(__xludf.DUMMYFUNCTION("""COMPUTED_VALUE"""),TRUE)</f>
        <v>1</v>
      </c>
      <c r="F1707" s="47" t="str">
        <f>IFERROR(__xludf.DUMMYFUNCTION("""COMPUTED_VALUE"""),"")</f>
        <v/>
      </c>
      <c r="G1707" s="47" t="str">
        <f>IFERROR(__xludf.DUMMYFUNCTION("""COMPUTED_VALUE"""),"")</f>
        <v/>
      </c>
      <c r="H1707" s="47"/>
      <c r="I1707" s="47">
        <f>IFERROR(__xludf.DUMMYFUNCTION("""COMPUTED_VALUE"""),2.0)</f>
        <v>2</v>
      </c>
      <c r="J1707" s="47" t="str">
        <f>IFERROR(__xludf.DUMMYFUNCTION("""COMPUTED_VALUE"""),"https:")</f>
        <v>https:</v>
      </c>
      <c r="K1707" s="78" t="str">
        <f>IFERROR(__xludf.DUMMYFUNCTION("""COMPUTED_VALUE"""),"www.munzee.com")</f>
        <v>www.munzee.com</v>
      </c>
      <c r="L1707" s="47" t="str">
        <f>IFERROR(__xludf.DUMMYFUNCTION("""COMPUTED_VALUE"""),"m")</f>
        <v>m</v>
      </c>
      <c r="M1707" s="47" t="str">
        <f>IFERROR(__xludf.DUMMYFUNCTION("""COMPUTED_VALUE"""),"skyfox")</f>
        <v>skyfox</v>
      </c>
    </row>
    <row r="1708">
      <c r="A1708" s="47" t="str">
        <f>IFERROR(__xludf.DUMMYFUNCTION("""COMPUTED_VALUE"""),"Virtual Brown")</f>
        <v>Virtual Brown</v>
      </c>
      <c r="B1708" s="47"/>
      <c r="C1708" s="47"/>
      <c r="D1708" s="47"/>
      <c r="E1708" s="47" t="b">
        <f>IFERROR(__xludf.DUMMYFUNCTION("""COMPUTED_VALUE"""),FALSE)</f>
        <v>0</v>
      </c>
      <c r="F1708" s="47"/>
      <c r="G1708" s="47" t="str">
        <f>IFERROR(__xludf.DUMMYFUNCTION("""COMPUTED_VALUE"""),"")</f>
        <v/>
      </c>
      <c r="H1708" s="47"/>
      <c r="I1708" s="47">
        <f>IFERROR(__xludf.DUMMYFUNCTION("""COMPUTED_VALUE"""),0.0)</f>
        <v>0</v>
      </c>
      <c r="J1708" s="47" t="str">
        <f>IFERROR(__xludf.DUMMYFUNCTION("""COMPUTED_VALUE"""),"#VALUE!")</f>
        <v>#VALUE!</v>
      </c>
      <c r="K1708" s="47"/>
      <c r="L1708" s="47"/>
      <c r="M1708" s="47"/>
    </row>
    <row r="1709">
      <c r="A1709" s="47" t="str">
        <f>IFERROR(__xludf.DUMMYFUNCTION("""COMPUTED_VALUE"""),"Virtual Brown")</f>
        <v>Virtual Brown</v>
      </c>
      <c r="B1709" s="47"/>
      <c r="C1709" s="47"/>
      <c r="D1709" s="47"/>
      <c r="E1709" s="47" t="b">
        <f>IFERROR(__xludf.DUMMYFUNCTION("""COMPUTED_VALUE"""),FALSE)</f>
        <v>0</v>
      </c>
      <c r="F1709" s="47"/>
      <c r="G1709" s="47" t="str">
        <f>IFERROR(__xludf.DUMMYFUNCTION("""COMPUTED_VALUE"""),"")</f>
        <v/>
      </c>
      <c r="H1709" s="47"/>
      <c r="I1709" s="47">
        <f>IFERROR(__xludf.DUMMYFUNCTION("""COMPUTED_VALUE"""),0.0)</f>
        <v>0</v>
      </c>
      <c r="J1709" s="47" t="str">
        <f>IFERROR(__xludf.DUMMYFUNCTION("""COMPUTED_VALUE"""),"#VALUE!")</f>
        <v>#VALUE!</v>
      </c>
      <c r="K1709" s="47"/>
      <c r="L1709" s="47"/>
      <c r="M1709" s="47"/>
    </row>
    <row r="1710">
      <c r="A1710" s="47" t="str">
        <f>IFERROR(__xludf.DUMMYFUNCTION("""COMPUTED_VALUE"""),"Virtual Brown")</f>
        <v>Virtual Brown</v>
      </c>
      <c r="B1710" s="47" t="str">
        <f>IFERROR(__xludf.DUMMYFUNCTION("""COMPUTED_VALUE"""),"skyfox")</f>
        <v>skyfox</v>
      </c>
      <c r="C1710" s="78" t="str">
        <f>IFERROR(__xludf.DUMMYFUNCTION("""COMPUTED_VALUE"""),"https://www.munzee.com/m/skyfox/14470/")</f>
        <v>https://www.munzee.com/m/skyfox/14470/</v>
      </c>
      <c r="D1710" s="47"/>
      <c r="E1710" s="47" t="b">
        <f>IFERROR(__xludf.DUMMYFUNCTION("""COMPUTED_VALUE"""),TRUE)</f>
        <v>1</v>
      </c>
      <c r="F1710" s="47" t="str">
        <f>IFERROR(__xludf.DUMMYFUNCTION("""COMPUTED_VALUE"""),"")</f>
        <v/>
      </c>
      <c r="G1710" s="47" t="str">
        <f>IFERROR(__xludf.DUMMYFUNCTION("""COMPUTED_VALUE"""),"")</f>
        <v/>
      </c>
      <c r="H1710" s="47"/>
      <c r="I1710" s="47">
        <f>IFERROR(__xludf.DUMMYFUNCTION("""COMPUTED_VALUE"""),2.0)</f>
        <v>2</v>
      </c>
      <c r="J1710" s="47" t="str">
        <f>IFERROR(__xludf.DUMMYFUNCTION("""COMPUTED_VALUE"""),"https:")</f>
        <v>https:</v>
      </c>
      <c r="K1710" s="78" t="str">
        <f>IFERROR(__xludf.DUMMYFUNCTION("""COMPUTED_VALUE"""),"www.munzee.com")</f>
        <v>www.munzee.com</v>
      </c>
      <c r="L1710" s="47" t="str">
        <f>IFERROR(__xludf.DUMMYFUNCTION("""COMPUTED_VALUE"""),"m")</f>
        <v>m</v>
      </c>
      <c r="M1710" s="47" t="str">
        <f>IFERROR(__xludf.DUMMYFUNCTION("""COMPUTED_VALUE"""),"skyfox")</f>
        <v>skyfox</v>
      </c>
    </row>
    <row r="1711">
      <c r="A1711" s="47" t="str">
        <f>IFERROR(__xludf.DUMMYFUNCTION("""COMPUTED_VALUE"""),"Virtual Brown")</f>
        <v>Virtual Brown</v>
      </c>
      <c r="B1711" s="47" t="str">
        <f>IFERROR(__xludf.DUMMYFUNCTION("""COMPUTED_VALUE"""),"shaynemarks")</f>
        <v>shaynemarks</v>
      </c>
      <c r="C1711" s="78" t="str">
        <f>IFERROR(__xludf.DUMMYFUNCTION("""COMPUTED_VALUE"""),"https://www.munzee.com/m/shaynemarks/12373/")</f>
        <v>https://www.munzee.com/m/shaynemarks/12373/</v>
      </c>
      <c r="D1711" s="47"/>
      <c r="E1711" s="47" t="b">
        <f>IFERROR(__xludf.DUMMYFUNCTION("""COMPUTED_VALUE"""),TRUE)</f>
        <v>1</v>
      </c>
      <c r="F1711" s="47" t="str">
        <f>IFERROR(__xludf.DUMMYFUNCTION("""COMPUTED_VALUE"""),"")</f>
        <v/>
      </c>
      <c r="G1711" s="47" t="str">
        <f>IFERROR(__xludf.DUMMYFUNCTION("""COMPUTED_VALUE"""),"")</f>
        <v/>
      </c>
      <c r="H1711" s="47"/>
      <c r="I1711" s="47">
        <f>IFERROR(__xludf.DUMMYFUNCTION("""COMPUTED_VALUE"""),2.0)</f>
        <v>2</v>
      </c>
      <c r="J1711" s="47" t="str">
        <f>IFERROR(__xludf.DUMMYFUNCTION("""COMPUTED_VALUE"""),"https:")</f>
        <v>https:</v>
      </c>
      <c r="K1711" s="78" t="str">
        <f>IFERROR(__xludf.DUMMYFUNCTION("""COMPUTED_VALUE"""),"www.munzee.com")</f>
        <v>www.munzee.com</v>
      </c>
      <c r="L1711" s="47" t="str">
        <f>IFERROR(__xludf.DUMMYFUNCTION("""COMPUTED_VALUE"""),"m")</f>
        <v>m</v>
      </c>
      <c r="M1711" s="47" t="str">
        <f>IFERROR(__xludf.DUMMYFUNCTION("""COMPUTED_VALUE"""),"shaynemarks")</f>
        <v>shaynemarks</v>
      </c>
    </row>
    <row r="1712">
      <c r="A1712" s="47" t="str">
        <f>IFERROR(__xludf.DUMMYFUNCTION("""COMPUTED_VALUE"""),"Virtual Brown")</f>
        <v>Virtual Brown</v>
      </c>
      <c r="B1712" s="47" t="str">
        <f>IFERROR(__xludf.DUMMYFUNCTION("""COMPUTED_VALUE"""),"mortonfox")</f>
        <v>mortonfox</v>
      </c>
      <c r="C1712" s="78" t="str">
        <f>IFERROR(__xludf.DUMMYFUNCTION("""COMPUTED_VALUE"""),"https://www.munzee.com/m/mortonfox/23501/")</f>
        <v>https://www.munzee.com/m/mortonfox/23501/</v>
      </c>
      <c r="D1712" s="47"/>
      <c r="E1712" s="47" t="b">
        <f>IFERROR(__xludf.DUMMYFUNCTION("""COMPUTED_VALUE"""),TRUE)</f>
        <v>1</v>
      </c>
      <c r="F1712" s="47" t="str">
        <f>IFERROR(__xludf.DUMMYFUNCTION("""COMPUTED_VALUE"""),"")</f>
        <v/>
      </c>
      <c r="G1712" s="47" t="str">
        <f>IFERROR(__xludf.DUMMYFUNCTION("""COMPUTED_VALUE"""),"")</f>
        <v/>
      </c>
      <c r="H1712" s="47"/>
      <c r="I1712" s="47">
        <f>IFERROR(__xludf.DUMMYFUNCTION("""COMPUTED_VALUE"""),2.0)</f>
        <v>2</v>
      </c>
      <c r="J1712" s="47" t="str">
        <f>IFERROR(__xludf.DUMMYFUNCTION("""COMPUTED_VALUE"""),"https:")</f>
        <v>https:</v>
      </c>
      <c r="K1712" s="78" t="str">
        <f>IFERROR(__xludf.DUMMYFUNCTION("""COMPUTED_VALUE"""),"www.munzee.com")</f>
        <v>www.munzee.com</v>
      </c>
      <c r="L1712" s="47" t="str">
        <f>IFERROR(__xludf.DUMMYFUNCTION("""COMPUTED_VALUE"""),"m")</f>
        <v>m</v>
      </c>
      <c r="M1712" s="47" t="str">
        <f>IFERROR(__xludf.DUMMYFUNCTION("""COMPUTED_VALUE"""),"mortonfox")</f>
        <v>mortonfox</v>
      </c>
    </row>
    <row r="1713">
      <c r="A1713" s="47" t="str">
        <f>IFERROR(__xludf.DUMMYFUNCTION("""COMPUTED_VALUE"""),"Virtual Brown")</f>
        <v>Virtual Brown</v>
      </c>
      <c r="B1713" s="47"/>
      <c r="C1713" s="47"/>
      <c r="D1713" s="47"/>
      <c r="E1713" s="47" t="b">
        <f>IFERROR(__xludf.DUMMYFUNCTION("""COMPUTED_VALUE"""),FALSE)</f>
        <v>0</v>
      </c>
      <c r="F1713" s="47"/>
      <c r="G1713" s="47" t="str">
        <f>IFERROR(__xludf.DUMMYFUNCTION("""COMPUTED_VALUE"""),"")</f>
        <v/>
      </c>
      <c r="H1713" s="47"/>
      <c r="I1713" s="47">
        <f>IFERROR(__xludf.DUMMYFUNCTION("""COMPUTED_VALUE"""),0.0)</f>
        <v>0</v>
      </c>
      <c r="J1713" s="47" t="str">
        <f>IFERROR(__xludf.DUMMYFUNCTION("""COMPUTED_VALUE"""),"#VALUE!")</f>
        <v>#VALUE!</v>
      </c>
      <c r="K1713" s="47"/>
      <c r="L1713" s="47"/>
      <c r="M1713" s="47"/>
    </row>
    <row r="1714">
      <c r="A1714" s="47" t="str">
        <f>IFERROR(__xludf.DUMMYFUNCTION("""COMPUTED_VALUE"""),"Virtual Raw Sienna")</f>
        <v>Virtual Raw Sienna</v>
      </c>
      <c r="B1714" s="47" t="str">
        <f>IFERROR(__xludf.DUMMYFUNCTION("""COMPUTED_VALUE"""),"barefootguru")</f>
        <v>barefootguru</v>
      </c>
      <c r="C1714" s="78" t="str">
        <f>IFERROR(__xludf.DUMMYFUNCTION("""COMPUTED_VALUE"""),"https://www.munzee.com/m/barefootguru/5055/")</f>
        <v>https://www.munzee.com/m/barefootguru/5055/</v>
      </c>
      <c r="D1714" s="47"/>
      <c r="E1714" s="47" t="b">
        <f>IFERROR(__xludf.DUMMYFUNCTION("""COMPUTED_VALUE"""),TRUE)</f>
        <v>1</v>
      </c>
      <c r="F1714" s="47" t="str">
        <f>IFERROR(__xludf.DUMMYFUNCTION("""COMPUTED_VALUE"""),"")</f>
        <v/>
      </c>
      <c r="G1714" s="47" t="str">
        <f>IFERROR(__xludf.DUMMYFUNCTION("""COMPUTED_VALUE"""),"")</f>
        <v/>
      </c>
      <c r="H1714" s="47"/>
      <c r="I1714" s="47">
        <f>IFERROR(__xludf.DUMMYFUNCTION("""COMPUTED_VALUE"""),2.0)</f>
        <v>2</v>
      </c>
      <c r="J1714" s="47" t="str">
        <f>IFERROR(__xludf.DUMMYFUNCTION("""COMPUTED_VALUE"""),"https:")</f>
        <v>https:</v>
      </c>
      <c r="K1714" s="78" t="str">
        <f>IFERROR(__xludf.DUMMYFUNCTION("""COMPUTED_VALUE"""),"www.munzee.com")</f>
        <v>www.munzee.com</v>
      </c>
      <c r="L1714" s="47" t="str">
        <f>IFERROR(__xludf.DUMMYFUNCTION("""COMPUTED_VALUE"""),"m")</f>
        <v>m</v>
      </c>
      <c r="M1714" s="47" t="str">
        <f>IFERROR(__xludf.DUMMYFUNCTION("""COMPUTED_VALUE"""),"barefootguru")</f>
        <v>barefootguru</v>
      </c>
    </row>
    <row r="1715">
      <c r="A1715" s="47" t="str">
        <f>IFERROR(__xludf.DUMMYFUNCTION("""COMPUTED_VALUE"""),"Virtual Raw Sienna")</f>
        <v>Virtual Raw Sienna</v>
      </c>
      <c r="B1715" s="47" t="str">
        <f>IFERROR(__xludf.DUMMYFUNCTION("""COMPUTED_VALUE"""),"Wangotango")</f>
        <v>Wangotango</v>
      </c>
      <c r="C1715" s="78" t="str">
        <f>IFERROR(__xludf.DUMMYFUNCTION("""COMPUTED_VALUE"""),"https://www.munzee.com/m/Wangotango/1397/")</f>
        <v>https://www.munzee.com/m/Wangotango/1397/</v>
      </c>
      <c r="D1715" s="47"/>
      <c r="E1715" s="47" t="b">
        <f>IFERROR(__xludf.DUMMYFUNCTION("""COMPUTED_VALUE"""),TRUE)</f>
        <v>1</v>
      </c>
      <c r="F1715" s="47" t="str">
        <f>IFERROR(__xludf.DUMMYFUNCTION("""COMPUTED_VALUE"""),"")</f>
        <v/>
      </c>
      <c r="G1715" s="47" t="str">
        <f>IFERROR(__xludf.DUMMYFUNCTION("""COMPUTED_VALUE"""),"")</f>
        <v/>
      </c>
      <c r="H1715" s="47"/>
      <c r="I1715" s="47">
        <f>IFERROR(__xludf.DUMMYFUNCTION("""COMPUTED_VALUE"""),2.0)</f>
        <v>2</v>
      </c>
      <c r="J1715" s="47" t="str">
        <f>IFERROR(__xludf.DUMMYFUNCTION("""COMPUTED_VALUE"""),"https:")</f>
        <v>https:</v>
      </c>
      <c r="K1715" s="78" t="str">
        <f>IFERROR(__xludf.DUMMYFUNCTION("""COMPUTED_VALUE"""),"www.munzee.com")</f>
        <v>www.munzee.com</v>
      </c>
      <c r="L1715" s="47" t="str">
        <f>IFERROR(__xludf.DUMMYFUNCTION("""COMPUTED_VALUE"""),"m")</f>
        <v>m</v>
      </c>
      <c r="M1715" s="47" t="str">
        <f>IFERROR(__xludf.DUMMYFUNCTION("""COMPUTED_VALUE"""),"Wangotango")</f>
        <v>Wangotango</v>
      </c>
    </row>
    <row r="1716">
      <c r="A1716" s="47" t="str">
        <f>IFERROR(__xludf.DUMMYFUNCTION("""COMPUTED_VALUE"""),"Virtual Brown")</f>
        <v>Virtual Brown</v>
      </c>
      <c r="B1716" s="47" t="str">
        <f>IFERROR(__xludf.DUMMYFUNCTION("""COMPUTED_VALUE"""),"Ellesche")</f>
        <v>Ellesche</v>
      </c>
      <c r="C1716" s="78" t="str">
        <f>IFERROR(__xludf.DUMMYFUNCTION("""COMPUTED_VALUE"""),"https://www.munzee.com/m/Ellesche/771")</f>
        <v>https://www.munzee.com/m/Ellesche/771</v>
      </c>
      <c r="D1716" s="47"/>
      <c r="E1716" s="47" t="b">
        <f>IFERROR(__xludf.DUMMYFUNCTION("""COMPUTED_VALUE"""),TRUE)</f>
        <v>1</v>
      </c>
      <c r="F1716" s="47" t="str">
        <f>IFERROR(__xludf.DUMMYFUNCTION("""COMPUTED_VALUE"""),"")</f>
        <v/>
      </c>
      <c r="G1716" s="47" t="str">
        <f>IFERROR(__xludf.DUMMYFUNCTION("""COMPUTED_VALUE"""),"")</f>
        <v/>
      </c>
      <c r="H1716" s="47"/>
      <c r="I1716" s="47">
        <f>IFERROR(__xludf.DUMMYFUNCTION("""COMPUTED_VALUE"""),2.0)</f>
        <v>2</v>
      </c>
      <c r="J1716" s="47" t="str">
        <f>IFERROR(__xludf.DUMMYFUNCTION("""COMPUTED_VALUE"""),"https:")</f>
        <v>https:</v>
      </c>
      <c r="K1716" s="78" t="str">
        <f>IFERROR(__xludf.DUMMYFUNCTION("""COMPUTED_VALUE"""),"www.munzee.com")</f>
        <v>www.munzee.com</v>
      </c>
      <c r="L1716" s="47" t="str">
        <f>IFERROR(__xludf.DUMMYFUNCTION("""COMPUTED_VALUE"""),"m")</f>
        <v>m</v>
      </c>
      <c r="M1716" s="47" t="str">
        <f>IFERROR(__xludf.DUMMYFUNCTION("""COMPUTED_VALUE"""),"Ellesche")</f>
        <v>Ellesche</v>
      </c>
    </row>
    <row r="1717">
      <c r="A1717" s="47" t="str">
        <f>IFERROR(__xludf.DUMMYFUNCTION("""COMPUTED_VALUE"""),"Virtual Brown")</f>
        <v>Virtual Brown</v>
      </c>
      <c r="B1717" s="47" t="str">
        <f>IFERROR(__xludf.DUMMYFUNCTION("""COMPUTED_VALUE"""),"Belladivadee ")</f>
        <v>Belladivadee </v>
      </c>
      <c r="C1717" s="78" t="str">
        <f>IFERROR(__xludf.DUMMYFUNCTION("""COMPUTED_VALUE"""),"https://www.munzee.com/m/belladivadee/3147")</f>
        <v>https://www.munzee.com/m/belladivadee/3147</v>
      </c>
      <c r="D1717" s="47"/>
      <c r="E1717" s="47" t="b">
        <f>IFERROR(__xludf.DUMMYFUNCTION("""COMPUTED_VALUE"""),TRUE)</f>
        <v>1</v>
      </c>
      <c r="F1717" s="83" t="str">
        <f>IFERROR(__xludf.DUMMYFUNCTION("""COMPUTED_VALUE"""),"")</f>
        <v/>
      </c>
      <c r="G1717" s="47" t="str">
        <f>IFERROR(__xludf.DUMMYFUNCTION("""COMPUTED_VALUE"""),"")</f>
        <v/>
      </c>
      <c r="H1717" s="47"/>
      <c r="I1717" s="47">
        <f>IFERROR(__xludf.DUMMYFUNCTION("""COMPUTED_VALUE"""),2.0)</f>
        <v>2</v>
      </c>
      <c r="J1717" s="47" t="str">
        <f>IFERROR(__xludf.DUMMYFUNCTION("""COMPUTED_VALUE"""),"https:")</f>
        <v>https:</v>
      </c>
      <c r="K1717" s="78" t="str">
        <f>IFERROR(__xludf.DUMMYFUNCTION("""COMPUTED_VALUE"""),"www.munzee.com")</f>
        <v>www.munzee.com</v>
      </c>
      <c r="L1717" s="47" t="str">
        <f>IFERROR(__xludf.DUMMYFUNCTION("""COMPUTED_VALUE"""),"m")</f>
        <v>m</v>
      </c>
      <c r="M1717" s="47" t="str">
        <f>IFERROR(__xludf.DUMMYFUNCTION("""COMPUTED_VALUE"""),"belladivadee")</f>
        <v>belladivadee</v>
      </c>
    </row>
    <row r="1718">
      <c r="A1718" s="47" t="str">
        <f>IFERROR(__xludf.DUMMYFUNCTION("""COMPUTED_VALUE"""),"Virtual Brown")</f>
        <v>Virtual Brown</v>
      </c>
      <c r="B1718" s="47" t="str">
        <f>IFERROR(__xludf.DUMMYFUNCTION("""COMPUTED_VALUE"""),"sverlaan")</f>
        <v>sverlaan</v>
      </c>
      <c r="C1718" s="78" t="str">
        <f>IFERROR(__xludf.DUMMYFUNCTION("""COMPUTED_VALUE"""),"https://www.munzee.com/m/sverlaan/5176/")</f>
        <v>https://www.munzee.com/m/sverlaan/5176/</v>
      </c>
      <c r="D1718" s="47"/>
      <c r="E1718" s="47" t="b">
        <f>IFERROR(__xludf.DUMMYFUNCTION("""COMPUTED_VALUE"""),TRUE)</f>
        <v>1</v>
      </c>
      <c r="F1718" s="83" t="str">
        <f>IFERROR(__xludf.DUMMYFUNCTION("""COMPUTED_VALUE"""),"")</f>
        <v/>
      </c>
      <c r="G1718" s="47" t="str">
        <f>IFERROR(__xludf.DUMMYFUNCTION("""COMPUTED_VALUE"""),"")</f>
        <v/>
      </c>
      <c r="H1718" s="47"/>
      <c r="I1718" s="47">
        <f>IFERROR(__xludf.DUMMYFUNCTION("""COMPUTED_VALUE"""),2.0)</f>
        <v>2</v>
      </c>
      <c r="J1718" s="47" t="str">
        <f>IFERROR(__xludf.DUMMYFUNCTION("""COMPUTED_VALUE"""),"https:")</f>
        <v>https:</v>
      </c>
      <c r="K1718" s="78" t="str">
        <f>IFERROR(__xludf.DUMMYFUNCTION("""COMPUTED_VALUE"""),"www.munzee.com")</f>
        <v>www.munzee.com</v>
      </c>
      <c r="L1718" s="47" t="str">
        <f>IFERROR(__xludf.DUMMYFUNCTION("""COMPUTED_VALUE"""),"m")</f>
        <v>m</v>
      </c>
      <c r="M1718" s="47" t="str">
        <f>IFERROR(__xludf.DUMMYFUNCTION("""COMPUTED_VALUE"""),"sverlaan")</f>
        <v>sverlaan</v>
      </c>
    </row>
    <row r="1719">
      <c r="A1719" s="47" t="str">
        <f>IFERROR(__xludf.DUMMYFUNCTION("""COMPUTED_VALUE"""),"Virtual Raw Sienna")</f>
        <v>Virtual Raw Sienna</v>
      </c>
      <c r="B1719" s="47" t="str">
        <f>IFERROR(__xludf.DUMMYFUNCTION("""COMPUTED_VALUE"""),"PawPatrolThomas")</f>
        <v>PawPatrolThomas</v>
      </c>
      <c r="C1719" s="78" t="str">
        <f>IFERROR(__xludf.DUMMYFUNCTION("""COMPUTED_VALUE"""),"https://www.munzee.com/m/PawPatrolThomas/2993/")</f>
        <v>https://www.munzee.com/m/PawPatrolThomas/2993/</v>
      </c>
      <c r="D1719" s="47"/>
      <c r="E1719" s="47" t="b">
        <f>IFERROR(__xludf.DUMMYFUNCTION("""COMPUTED_VALUE"""),TRUE)</f>
        <v>1</v>
      </c>
      <c r="F1719" s="83" t="str">
        <f>IFERROR(__xludf.DUMMYFUNCTION("""COMPUTED_VALUE"""),"")</f>
        <v/>
      </c>
      <c r="G1719" s="47" t="str">
        <f>IFERROR(__xludf.DUMMYFUNCTION("""COMPUTED_VALUE"""),"")</f>
        <v/>
      </c>
      <c r="H1719" s="47"/>
      <c r="I1719" s="47">
        <f>IFERROR(__xludf.DUMMYFUNCTION("""COMPUTED_VALUE"""),2.0)</f>
        <v>2</v>
      </c>
      <c r="J1719" s="47" t="str">
        <f>IFERROR(__xludf.DUMMYFUNCTION("""COMPUTED_VALUE"""),"https:")</f>
        <v>https:</v>
      </c>
      <c r="K1719" s="78" t="str">
        <f>IFERROR(__xludf.DUMMYFUNCTION("""COMPUTED_VALUE"""),"www.munzee.com")</f>
        <v>www.munzee.com</v>
      </c>
      <c r="L1719" s="47" t="str">
        <f>IFERROR(__xludf.DUMMYFUNCTION("""COMPUTED_VALUE"""),"m")</f>
        <v>m</v>
      </c>
      <c r="M1719" s="47" t="str">
        <f>IFERROR(__xludf.DUMMYFUNCTION("""COMPUTED_VALUE"""),"PawPatrolThomas")</f>
        <v>PawPatrolThomas</v>
      </c>
    </row>
    <row r="1720">
      <c r="A1720" s="47" t="str">
        <f>IFERROR(__xludf.DUMMYFUNCTION("""COMPUTED_VALUE"""),"Virtual Raw Sienna")</f>
        <v>Virtual Raw Sienna</v>
      </c>
      <c r="B1720" s="47" t="str">
        <f>IFERROR(__xludf.DUMMYFUNCTION("""COMPUTED_VALUE"""),"EmileP68")</f>
        <v>EmileP68</v>
      </c>
      <c r="C1720" s="78" t="str">
        <f>IFERROR(__xludf.DUMMYFUNCTION("""COMPUTED_VALUE"""),"https://www.munzee.com/m/EmileP68/3528/")</f>
        <v>https://www.munzee.com/m/EmileP68/3528/</v>
      </c>
      <c r="D1720" s="47"/>
      <c r="E1720" s="47" t="b">
        <f>IFERROR(__xludf.DUMMYFUNCTION("""COMPUTED_VALUE"""),TRUE)</f>
        <v>1</v>
      </c>
      <c r="F1720" s="83" t="str">
        <f>IFERROR(__xludf.DUMMYFUNCTION("""COMPUTED_VALUE"""),"")</f>
        <v/>
      </c>
      <c r="G1720" s="47" t="str">
        <f>IFERROR(__xludf.DUMMYFUNCTION("""COMPUTED_VALUE"""),"")</f>
        <v/>
      </c>
      <c r="H1720" s="47"/>
      <c r="I1720" s="47">
        <f>IFERROR(__xludf.DUMMYFUNCTION("""COMPUTED_VALUE"""),2.0)</f>
        <v>2</v>
      </c>
      <c r="J1720" s="47" t="str">
        <f>IFERROR(__xludf.DUMMYFUNCTION("""COMPUTED_VALUE"""),"https:")</f>
        <v>https:</v>
      </c>
      <c r="K1720" s="78" t="str">
        <f>IFERROR(__xludf.DUMMYFUNCTION("""COMPUTED_VALUE"""),"www.munzee.com")</f>
        <v>www.munzee.com</v>
      </c>
      <c r="L1720" s="47" t="str">
        <f>IFERROR(__xludf.DUMMYFUNCTION("""COMPUTED_VALUE"""),"m")</f>
        <v>m</v>
      </c>
      <c r="M1720" s="47" t="str">
        <f>IFERROR(__xludf.DUMMYFUNCTION("""COMPUTED_VALUE"""),"EmileP68")</f>
        <v>EmileP68</v>
      </c>
    </row>
    <row r="1721">
      <c r="A1721" s="47" t="str">
        <f>IFERROR(__xludf.DUMMYFUNCTION("""COMPUTED_VALUE"""),"Virtual Brown")</f>
        <v>Virtual Brown</v>
      </c>
      <c r="B1721" s="47" t="str">
        <f>IFERROR(__xludf.DUMMYFUNCTION("""COMPUTED_VALUE"""),"BrotherWilliam")</f>
        <v>BrotherWilliam</v>
      </c>
      <c r="C1721" s="78" t="str">
        <f>IFERROR(__xludf.DUMMYFUNCTION("""COMPUTED_VALUE"""),"https://www.munzee.com/m/BrotherWilliam/4292/")</f>
        <v>https://www.munzee.com/m/BrotherWilliam/4292/</v>
      </c>
      <c r="D1721" s="47"/>
      <c r="E1721" s="47" t="b">
        <f>IFERROR(__xludf.DUMMYFUNCTION("""COMPUTED_VALUE"""),TRUE)</f>
        <v>1</v>
      </c>
      <c r="F1721" s="83" t="str">
        <f>IFERROR(__xludf.DUMMYFUNCTION("""COMPUTED_VALUE"""),"")</f>
        <v/>
      </c>
      <c r="G1721" s="47" t="str">
        <f>IFERROR(__xludf.DUMMYFUNCTION("""COMPUTED_VALUE"""),"")</f>
        <v/>
      </c>
      <c r="H1721" s="47"/>
      <c r="I1721" s="47">
        <f>IFERROR(__xludf.DUMMYFUNCTION("""COMPUTED_VALUE"""),2.0)</f>
        <v>2</v>
      </c>
      <c r="J1721" s="47" t="str">
        <f>IFERROR(__xludf.DUMMYFUNCTION("""COMPUTED_VALUE"""),"https:")</f>
        <v>https:</v>
      </c>
      <c r="K1721" s="78" t="str">
        <f>IFERROR(__xludf.DUMMYFUNCTION("""COMPUTED_VALUE"""),"www.munzee.com")</f>
        <v>www.munzee.com</v>
      </c>
      <c r="L1721" s="47" t="str">
        <f>IFERROR(__xludf.DUMMYFUNCTION("""COMPUTED_VALUE"""),"m")</f>
        <v>m</v>
      </c>
      <c r="M1721" s="47" t="str">
        <f>IFERROR(__xludf.DUMMYFUNCTION("""COMPUTED_VALUE"""),"BrotherWilliam")</f>
        <v>BrotherWilliam</v>
      </c>
    </row>
    <row r="1722">
      <c r="A1722" s="47" t="str">
        <f>IFERROR(__xludf.DUMMYFUNCTION("""COMPUTED_VALUE"""),"Virtual Brown")</f>
        <v>Virtual Brown</v>
      </c>
      <c r="B1722" s="47" t="str">
        <f>IFERROR(__xludf.DUMMYFUNCTION("""COMPUTED_VALUE"""),"ArtofEco")</f>
        <v>ArtofEco</v>
      </c>
      <c r="C1722" s="78" t="str">
        <f>IFERROR(__xludf.DUMMYFUNCTION("""COMPUTED_VALUE"""),"https://www.munzee.com/m/ArtofEco/3118/")</f>
        <v>https://www.munzee.com/m/ArtofEco/3118/</v>
      </c>
      <c r="D1722" s="47"/>
      <c r="E1722" s="47" t="b">
        <f>IFERROR(__xludf.DUMMYFUNCTION("""COMPUTED_VALUE"""),TRUE)</f>
        <v>1</v>
      </c>
      <c r="F1722" s="83" t="str">
        <f>IFERROR(__xludf.DUMMYFUNCTION("""COMPUTED_VALUE"""),"")</f>
        <v/>
      </c>
      <c r="G1722" s="47" t="str">
        <f>IFERROR(__xludf.DUMMYFUNCTION("""COMPUTED_VALUE"""),"")</f>
        <v/>
      </c>
      <c r="H1722" s="47"/>
      <c r="I1722" s="47">
        <f>IFERROR(__xludf.DUMMYFUNCTION("""COMPUTED_VALUE"""),2.0)</f>
        <v>2</v>
      </c>
      <c r="J1722" s="47" t="str">
        <f>IFERROR(__xludf.DUMMYFUNCTION("""COMPUTED_VALUE"""),"https:")</f>
        <v>https:</v>
      </c>
      <c r="K1722" s="78" t="str">
        <f>IFERROR(__xludf.DUMMYFUNCTION("""COMPUTED_VALUE"""),"www.munzee.com")</f>
        <v>www.munzee.com</v>
      </c>
      <c r="L1722" s="47" t="str">
        <f>IFERROR(__xludf.DUMMYFUNCTION("""COMPUTED_VALUE"""),"m")</f>
        <v>m</v>
      </c>
      <c r="M1722" s="47" t="str">
        <f>IFERROR(__xludf.DUMMYFUNCTION("""COMPUTED_VALUE"""),"ArtofEco")</f>
        <v>ArtofEco</v>
      </c>
    </row>
    <row r="1723">
      <c r="A1723" s="47" t="str">
        <f>IFERROR(__xludf.DUMMYFUNCTION("""COMPUTED_VALUE"""),"Virtual Brown")</f>
        <v>Virtual Brown</v>
      </c>
      <c r="B1723" s="47" t="str">
        <f>IFERROR(__xludf.DUMMYFUNCTION("""COMPUTED_VALUE"""),"J1Huisman")</f>
        <v>J1Huisman</v>
      </c>
      <c r="C1723" s="78" t="str">
        <f>IFERROR(__xludf.DUMMYFUNCTION("""COMPUTED_VALUE"""),"https://www.munzee.com/m/J1Huisman/12030/")</f>
        <v>https://www.munzee.com/m/J1Huisman/12030/</v>
      </c>
      <c r="D1723" s="47"/>
      <c r="E1723" s="47" t="b">
        <f>IFERROR(__xludf.DUMMYFUNCTION("""COMPUTED_VALUE"""),TRUE)</f>
        <v>1</v>
      </c>
      <c r="F1723" s="83" t="str">
        <f>IFERROR(__xludf.DUMMYFUNCTION("""COMPUTED_VALUE"""),"")</f>
        <v/>
      </c>
      <c r="G1723" s="47" t="str">
        <f>IFERROR(__xludf.DUMMYFUNCTION("""COMPUTED_VALUE"""),"")</f>
        <v/>
      </c>
      <c r="H1723" s="47"/>
      <c r="I1723" s="47">
        <f>IFERROR(__xludf.DUMMYFUNCTION("""COMPUTED_VALUE"""),2.0)</f>
        <v>2</v>
      </c>
      <c r="J1723" s="47" t="str">
        <f>IFERROR(__xludf.DUMMYFUNCTION("""COMPUTED_VALUE"""),"https:")</f>
        <v>https:</v>
      </c>
      <c r="K1723" s="78" t="str">
        <f>IFERROR(__xludf.DUMMYFUNCTION("""COMPUTED_VALUE"""),"www.munzee.com")</f>
        <v>www.munzee.com</v>
      </c>
      <c r="L1723" s="47" t="str">
        <f>IFERROR(__xludf.DUMMYFUNCTION("""COMPUTED_VALUE"""),"m")</f>
        <v>m</v>
      </c>
      <c r="M1723" s="47" t="str">
        <f>IFERROR(__xludf.DUMMYFUNCTION("""COMPUTED_VALUE"""),"J1Huisman")</f>
        <v>J1Huisman</v>
      </c>
    </row>
    <row r="1724">
      <c r="A1724" s="47" t="str">
        <f>IFERROR(__xludf.DUMMYFUNCTION("""COMPUTED_VALUE"""),"Virtual Raw Sienna")</f>
        <v>Virtual Raw Sienna</v>
      </c>
      <c r="B1724" s="47" t="str">
        <f>IFERROR(__xludf.DUMMYFUNCTION("""COMPUTED_VALUE"""),"fsafranek")</f>
        <v>fsafranek</v>
      </c>
      <c r="C1724" s="78" t="str">
        <f>IFERROR(__xludf.DUMMYFUNCTION("""COMPUTED_VALUE"""),"https://www.munzee.com/m/fsafranek/4980/")</f>
        <v>https://www.munzee.com/m/fsafranek/4980/</v>
      </c>
      <c r="D1724" s="47"/>
      <c r="E1724" s="47" t="b">
        <f>IFERROR(__xludf.DUMMYFUNCTION("""COMPUTED_VALUE"""),TRUE)</f>
        <v>1</v>
      </c>
      <c r="F1724" s="47"/>
      <c r="G1724" s="47" t="str">
        <f>IFERROR(__xludf.DUMMYFUNCTION("""COMPUTED_VALUE"""),"")</f>
        <v/>
      </c>
      <c r="H1724" s="47"/>
      <c r="I1724" s="47">
        <f>IFERROR(__xludf.DUMMYFUNCTION("""COMPUTED_VALUE"""),2.0)</f>
        <v>2</v>
      </c>
      <c r="J1724" s="47" t="str">
        <f>IFERROR(__xludf.DUMMYFUNCTION("""COMPUTED_VALUE"""),"https:")</f>
        <v>https:</v>
      </c>
      <c r="K1724" s="78" t="str">
        <f>IFERROR(__xludf.DUMMYFUNCTION("""COMPUTED_VALUE"""),"www.munzee.com")</f>
        <v>www.munzee.com</v>
      </c>
      <c r="L1724" s="47" t="str">
        <f>IFERROR(__xludf.DUMMYFUNCTION("""COMPUTED_VALUE"""),"m")</f>
        <v>m</v>
      </c>
      <c r="M1724" s="47" t="str">
        <f>IFERROR(__xludf.DUMMYFUNCTION("""COMPUTED_VALUE"""),"fsafranek")</f>
        <v>fsafranek</v>
      </c>
    </row>
    <row r="1725">
      <c r="A1725" s="47" t="str">
        <f>IFERROR(__xludf.DUMMYFUNCTION("""COMPUTED_VALUE"""),"Virtual Brown")</f>
        <v>Virtual Brown</v>
      </c>
      <c r="B1725" s="47" t="str">
        <f>IFERROR(__xludf.DUMMYFUNCTION("""COMPUTED_VALUE"""),"5star")</f>
        <v>5star</v>
      </c>
      <c r="C1725" s="78" t="str">
        <f>IFERROR(__xludf.DUMMYFUNCTION("""COMPUTED_VALUE"""),"https://www.munzee.com/m/5Star/6176/")</f>
        <v>https://www.munzee.com/m/5Star/6176/</v>
      </c>
      <c r="D1725" s="47"/>
      <c r="E1725" s="47" t="b">
        <f>IFERROR(__xludf.DUMMYFUNCTION("""COMPUTED_VALUE"""),TRUE)</f>
        <v>1</v>
      </c>
      <c r="F1725" s="83" t="str">
        <f>IFERROR(__xludf.DUMMYFUNCTION("""COMPUTED_VALUE"""),"")</f>
        <v/>
      </c>
      <c r="G1725" s="47" t="str">
        <f>IFERROR(__xludf.DUMMYFUNCTION("""COMPUTED_VALUE"""),"")</f>
        <v/>
      </c>
      <c r="H1725" s="47"/>
      <c r="I1725" s="47">
        <f>IFERROR(__xludf.DUMMYFUNCTION("""COMPUTED_VALUE"""),2.0)</f>
        <v>2</v>
      </c>
      <c r="J1725" s="47" t="str">
        <f>IFERROR(__xludf.DUMMYFUNCTION("""COMPUTED_VALUE"""),"https:")</f>
        <v>https:</v>
      </c>
      <c r="K1725" s="78" t="str">
        <f>IFERROR(__xludf.DUMMYFUNCTION("""COMPUTED_VALUE"""),"www.munzee.com")</f>
        <v>www.munzee.com</v>
      </c>
      <c r="L1725" s="47" t="str">
        <f>IFERROR(__xludf.DUMMYFUNCTION("""COMPUTED_VALUE"""),"m")</f>
        <v>m</v>
      </c>
      <c r="M1725" s="47" t="str">
        <f>IFERROR(__xludf.DUMMYFUNCTION("""COMPUTED_VALUE"""),"5Star")</f>
        <v>5Star</v>
      </c>
    </row>
    <row r="1726">
      <c r="A1726" s="47" t="str">
        <f>IFERROR(__xludf.DUMMYFUNCTION("""COMPUTED_VALUE"""),"Virtual Brown")</f>
        <v>Virtual Brown</v>
      </c>
      <c r="B1726" s="47" t="str">
        <f>IFERROR(__xludf.DUMMYFUNCTION("""COMPUTED_VALUE"""),"Pinkeltje")</f>
        <v>Pinkeltje</v>
      </c>
      <c r="C1726" s="78" t="str">
        <f>IFERROR(__xludf.DUMMYFUNCTION("""COMPUTED_VALUE"""),"https://www.munzee.com/m/Pinkeltje/1758/")</f>
        <v>https://www.munzee.com/m/Pinkeltje/1758/</v>
      </c>
      <c r="D1726" s="47"/>
      <c r="E1726" s="47" t="b">
        <f>IFERROR(__xludf.DUMMYFUNCTION("""COMPUTED_VALUE"""),TRUE)</f>
        <v>1</v>
      </c>
      <c r="F1726" s="83" t="str">
        <f>IFERROR(__xludf.DUMMYFUNCTION("""COMPUTED_VALUE"""),"")</f>
        <v/>
      </c>
      <c r="G1726" s="47" t="str">
        <f>IFERROR(__xludf.DUMMYFUNCTION("""COMPUTED_VALUE"""),"")</f>
        <v/>
      </c>
      <c r="H1726" s="47"/>
      <c r="I1726" s="47">
        <f>IFERROR(__xludf.DUMMYFUNCTION("""COMPUTED_VALUE"""),2.0)</f>
        <v>2</v>
      </c>
      <c r="J1726" s="47" t="str">
        <f>IFERROR(__xludf.DUMMYFUNCTION("""COMPUTED_VALUE"""),"https:")</f>
        <v>https:</v>
      </c>
      <c r="K1726" s="78" t="str">
        <f>IFERROR(__xludf.DUMMYFUNCTION("""COMPUTED_VALUE"""),"www.munzee.com")</f>
        <v>www.munzee.com</v>
      </c>
      <c r="L1726" s="47" t="str">
        <f>IFERROR(__xludf.DUMMYFUNCTION("""COMPUTED_VALUE"""),"m")</f>
        <v>m</v>
      </c>
      <c r="M1726" s="47" t="str">
        <f>IFERROR(__xludf.DUMMYFUNCTION("""COMPUTED_VALUE"""),"Pinkeltje")</f>
        <v>Pinkeltje</v>
      </c>
    </row>
    <row r="1727">
      <c r="A1727" s="47" t="str">
        <f>IFERROR(__xludf.DUMMYFUNCTION("""COMPUTED_VALUE"""),"Virtual Brown")</f>
        <v>Virtual Brown</v>
      </c>
      <c r="B1727" s="47" t="str">
        <f>IFERROR(__xludf.DUMMYFUNCTION("""COMPUTED_VALUE"""),"drazoria")</f>
        <v>drazoria</v>
      </c>
      <c r="C1727" s="78" t="str">
        <f>IFERROR(__xludf.DUMMYFUNCTION("""COMPUTED_VALUE"""),"https://www.munzee.com/m/Drazoria/1015/")</f>
        <v>https://www.munzee.com/m/Drazoria/1015/</v>
      </c>
      <c r="D1727" s="47"/>
      <c r="E1727" s="47" t="b">
        <f>IFERROR(__xludf.DUMMYFUNCTION("""COMPUTED_VALUE"""),TRUE)</f>
        <v>1</v>
      </c>
      <c r="F1727" s="83" t="str">
        <f>IFERROR(__xludf.DUMMYFUNCTION("""COMPUTED_VALUE"""),"")</f>
        <v/>
      </c>
      <c r="G1727" s="47" t="str">
        <f>IFERROR(__xludf.DUMMYFUNCTION("""COMPUTED_VALUE"""),"")</f>
        <v/>
      </c>
      <c r="H1727" s="47"/>
      <c r="I1727" s="47">
        <f>IFERROR(__xludf.DUMMYFUNCTION("""COMPUTED_VALUE"""),2.0)</f>
        <v>2</v>
      </c>
      <c r="J1727" s="47" t="str">
        <f>IFERROR(__xludf.DUMMYFUNCTION("""COMPUTED_VALUE"""),"https:")</f>
        <v>https:</v>
      </c>
      <c r="K1727" s="78" t="str">
        <f>IFERROR(__xludf.DUMMYFUNCTION("""COMPUTED_VALUE"""),"www.munzee.com")</f>
        <v>www.munzee.com</v>
      </c>
      <c r="L1727" s="47" t="str">
        <f>IFERROR(__xludf.DUMMYFUNCTION("""COMPUTED_VALUE"""),"m")</f>
        <v>m</v>
      </c>
      <c r="M1727" s="47" t="str">
        <f>IFERROR(__xludf.DUMMYFUNCTION("""COMPUTED_VALUE"""),"Drazoria")</f>
        <v>Drazoria</v>
      </c>
    </row>
    <row r="1728">
      <c r="A1728" s="47" t="str">
        <f>IFERROR(__xludf.DUMMYFUNCTION("""COMPUTED_VALUE"""),"Virtual Brown")</f>
        <v>Virtual Brown</v>
      </c>
      <c r="B1728" s="47" t="str">
        <f>IFERROR(__xludf.DUMMYFUNCTION("""COMPUTED_VALUE"""),"tinake1309")</f>
        <v>tinake1309</v>
      </c>
      <c r="C1728" s="78" t="str">
        <f>IFERROR(__xludf.DUMMYFUNCTION("""COMPUTED_VALUE"""),"https://www.munzee.com/m/Tinake1309/992/")</f>
        <v>https://www.munzee.com/m/Tinake1309/992/</v>
      </c>
      <c r="D1728" s="47"/>
      <c r="E1728" s="47" t="b">
        <f>IFERROR(__xludf.DUMMYFUNCTION("""COMPUTED_VALUE"""),TRUE)</f>
        <v>1</v>
      </c>
      <c r="F1728" s="83" t="str">
        <f>IFERROR(__xludf.DUMMYFUNCTION("""COMPUTED_VALUE"""),"")</f>
        <v/>
      </c>
      <c r="G1728" s="47" t="str">
        <f>IFERROR(__xludf.DUMMYFUNCTION("""COMPUTED_VALUE"""),"")</f>
        <v/>
      </c>
      <c r="H1728" s="47"/>
      <c r="I1728" s="47">
        <f>IFERROR(__xludf.DUMMYFUNCTION("""COMPUTED_VALUE"""),2.0)</f>
        <v>2</v>
      </c>
      <c r="J1728" s="47" t="str">
        <f>IFERROR(__xludf.DUMMYFUNCTION("""COMPUTED_VALUE"""),"https:")</f>
        <v>https:</v>
      </c>
      <c r="K1728" s="78" t="str">
        <f>IFERROR(__xludf.DUMMYFUNCTION("""COMPUTED_VALUE"""),"www.munzee.com")</f>
        <v>www.munzee.com</v>
      </c>
      <c r="L1728" s="47" t="str">
        <f>IFERROR(__xludf.DUMMYFUNCTION("""COMPUTED_VALUE"""),"m")</f>
        <v>m</v>
      </c>
      <c r="M1728" s="47" t="str">
        <f>IFERROR(__xludf.DUMMYFUNCTION("""COMPUTED_VALUE"""),"Tinake1309")</f>
        <v>Tinake1309</v>
      </c>
    </row>
    <row r="1729">
      <c r="A1729" s="47" t="str">
        <f>IFERROR(__xludf.DUMMYFUNCTION("""COMPUTED_VALUE"""),"Virtual Brown")</f>
        <v>Virtual Brown</v>
      </c>
      <c r="B1729" s="47" t="str">
        <f>IFERROR(__xludf.DUMMYFUNCTION("""COMPUTED_VALUE"""),"berg14")</f>
        <v>berg14</v>
      </c>
      <c r="C1729" s="78" t="str">
        <f>IFERROR(__xludf.DUMMYFUNCTION("""COMPUTED_VALUE"""),"https://www.munzee.com/m/Berg14/759/")</f>
        <v>https://www.munzee.com/m/Berg14/759/</v>
      </c>
      <c r="D1729" s="47"/>
      <c r="E1729" s="47" t="b">
        <f>IFERROR(__xludf.DUMMYFUNCTION("""COMPUTED_VALUE"""),TRUE)</f>
        <v>1</v>
      </c>
      <c r="F1729" s="83" t="str">
        <f>IFERROR(__xludf.DUMMYFUNCTION("""COMPUTED_VALUE"""),"")</f>
        <v/>
      </c>
      <c r="G1729" s="47" t="str">
        <f>IFERROR(__xludf.DUMMYFUNCTION("""COMPUTED_VALUE"""),"")</f>
        <v/>
      </c>
      <c r="H1729" s="47"/>
      <c r="I1729" s="47">
        <f>IFERROR(__xludf.DUMMYFUNCTION("""COMPUTED_VALUE"""),2.0)</f>
        <v>2</v>
      </c>
      <c r="J1729" s="47" t="str">
        <f>IFERROR(__xludf.DUMMYFUNCTION("""COMPUTED_VALUE"""),"https:")</f>
        <v>https:</v>
      </c>
      <c r="K1729" s="78" t="str">
        <f>IFERROR(__xludf.DUMMYFUNCTION("""COMPUTED_VALUE"""),"www.munzee.com")</f>
        <v>www.munzee.com</v>
      </c>
      <c r="L1729" s="47" t="str">
        <f>IFERROR(__xludf.DUMMYFUNCTION("""COMPUTED_VALUE"""),"m")</f>
        <v>m</v>
      </c>
      <c r="M1729" s="47" t="str">
        <f>IFERROR(__xludf.DUMMYFUNCTION("""COMPUTED_VALUE"""),"Berg14")</f>
        <v>Berg14</v>
      </c>
    </row>
    <row r="1730">
      <c r="A1730" s="47" t="str">
        <f>IFERROR(__xludf.DUMMYFUNCTION("""COMPUTED_VALUE"""),"Virtual Brown")</f>
        <v>Virtual Brown</v>
      </c>
      <c r="B1730" s="47" t="str">
        <f>IFERROR(__xludf.DUMMYFUNCTION("""COMPUTED_VALUE"""),"niks13")</f>
        <v>niks13</v>
      </c>
      <c r="C1730" s="78" t="str">
        <f>IFERROR(__xludf.DUMMYFUNCTION("""COMPUTED_VALUE"""),"https://www.munzee.com/m/Niks13/776")</f>
        <v>https://www.munzee.com/m/Niks13/776</v>
      </c>
      <c r="D1730" s="47"/>
      <c r="E1730" s="47" t="b">
        <f>IFERROR(__xludf.DUMMYFUNCTION("""COMPUTED_VALUE"""),TRUE)</f>
        <v>1</v>
      </c>
      <c r="F1730" s="83" t="str">
        <f>IFERROR(__xludf.DUMMYFUNCTION("""COMPUTED_VALUE"""),"")</f>
        <v/>
      </c>
      <c r="G1730" s="47" t="str">
        <f>IFERROR(__xludf.DUMMYFUNCTION("""COMPUTED_VALUE"""),"")</f>
        <v/>
      </c>
      <c r="H1730" s="47"/>
      <c r="I1730" s="47">
        <f>IFERROR(__xludf.DUMMYFUNCTION("""COMPUTED_VALUE"""),2.0)</f>
        <v>2</v>
      </c>
      <c r="J1730" s="47" t="str">
        <f>IFERROR(__xludf.DUMMYFUNCTION("""COMPUTED_VALUE"""),"https:")</f>
        <v>https:</v>
      </c>
      <c r="K1730" s="78" t="str">
        <f>IFERROR(__xludf.DUMMYFUNCTION("""COMPUTED_VALUE"""),"www.munzee.com")</f>
        <v>www.munzee.com</v>
      </c>
      <c r="L1730" s="47" t="str">
        <f>IFERROR(__xludf.DUMMYFUNCTION("""COMPUTED_VALUE"""),"m")</f>
        <v>m</v>
      </c>
      <c r="M1730" s="47" t="str">
        <f>IFERROR(__xludf.DUMMYFUNCTION("""COMPUTED_VALUE"""),"Niks13")</f>
        <v>Niks13</v>
      </c>
    </row>
    <row r="1731">
      <c r="A1731" s="47" t="str">
        <f>IFERROR(__xludf.DUMMYFUNCTION("""COMPUTED_VALUE"""),"Virtual Brown")</f>
        <v>Virtual Brown</v>
      </c>
      <c r="B1731" s="47" t="str">
        <f>IFERROR(__xludf.DUMMYFUNCTION("""COMPUTED_VALUE"""),"TheFatCats")</f>
        <v>TheFatCats</v>
      </c>
      <c r="C1731" s="78" t="str">
        <f>IFERROR(__xludf.DUMMYFUNCTION("""COMPUTED_VALUE"""),"https://www.munzee.com/m/TheFatCats/4516/")</f>
        <v>https://www.munzee.com/m/TheFatCats/4516/</v>
      </c>
      <c r="D1731" s="47"/>
      <c r="E1731" s="47" t="b">
        <f>IFERROR(__xludf.DUMMYFUNCTION("""COMPUTED_VALUE"""),TRUE)</f>
        <v>1</v>
      </c>
      <c r="F1731" s="83" t="str">
        <f>IFERROR(__xludf.DUMMYFUNCTION("""COMPUTED_VALUE"""),"")</f>
        <v/>
      </c>
      <c r="G1731" s="47" t="str">
        <f>IFERROR(__xludf.DUMMYFUNCTION("""COMPUTED_VALUE"""),"")</f>
        <v/>
      </c>
      <c r="H1731" s="47"/>
      <c r="I1731" s="47">
        <f>IFERROR(__xludf.DUMMYFUNCTION("""COMPUTED_VALUE"""),2.0)</f>
        <v>2</v>
      </c>
      <c r="J1731" s="47" t="str">
        <f>IFERROR(__xludf.DUMMYFUNCTION("""COMPUTED_VALUE"""),"https:")</f>
        <v>https:</v>
      </c>
      <c r="K1731" s="78" t="str">
        <f>IFERROR(__xludf.DUMMYFUNCTION("""COMPUTED_VALUE"""),"www.munzee.com")</f>
        <v>www.munzee.com</v>
      </c>
      <c r="L1731" s="47" t="str">
        <f>IFERROR(__xludf.DUMMYFUNCTION("""COMPUTED_VALUE"""),"m")</f>
        <v>m</v>
      </c>
      <c r="M1731" s="47" t="str">
        <f>IFERROR(__xludf.DUMMYFUNCTION("""COMPUTED_VALUE"""),"TheFatCats")</f>
        <v>TheFatCats</v>
      </c>
    </row>
    <row r="1732">
      <c r="A1732" s="47" t="str">
        <f>IFERROR(__xludf.DUMMYFUNCTION("""COMPUTED_VALUE"""),"Virtual Brown")</f>
        <v>Virtual Brown</v>
      </c>
      <c r="B1732" s="47" t="str">
        <f>IFERROR(__xludf.DUMMYFUNCTION("""COMPUTED_VALUE"""),"KublaKhan")</f>
        <v>KublaKhan</v>
      </c>
      <c r="C1732" s="78" t="str">
        <f>IFERROR(__xludf.DUMMYFUNCTION("""COMPUTED_VALUE"""),"https://www.munzee.com/m/KublaKhan/775/")</f>
        <v>https://www.munzee.com/m/KublaKhan/775/</v>
      </c>
      <c r="D1732" s="47"/>
      <c r="E1732" s="47" t="b">
        <f>IFERROR(__xludf.DUMMYFUNCTION("""COMPUTED_VALUE"""),TRUE)</f>
        <v>1</v>
      </c>
      <c r="F1732" s="83" t="str">
        <f>IFERROR(__xludf.DUMMYFUNCTION("""COMPUTED_VALUE"""),"")</f>
        <v/>
      </c>
      <c r="G1732" s="47" t="str">
        <f>IFERROR(__xludf.DUMMYFUNCTION("""COMPUTED_VALUE"""),"")</f>
        <v/>
      </c>
      <c r="H1732" s="47"/>
      <c r="I1732" s="47">
        <f>IFERROR(__xludf.DUMMYFUNCTION("""COMPUTED_VALUE"""),2.0)</f>
        <v>2</v>
      </c>
      <c r="J1732" s="47" t="str">
        <f>IFERROR(__xludf.DUMMYFUNCTION("""COMPUTED_VALUE"""),"https:")</f>
        <v>https:</v>
      </c>
      <c r="K1732" s="78" t="str">
        <f>IFERROR(__xludf.DUMMYFUNCTION("""COMPUTED_VALUE"""),"www.munzee.com")</f>
        <v>www.munzee.com</v>
      </c>
      <c r="L1732" s="47" t="str">
        <f>IFERROR(__xludf.DUMMYFUNCTION("""COMPUTED_VALUE"""),"m")</f>
        <v>m</v>
      </c>
      <c r="M1732" s="47" t="str">
        <f>IFERROR(__xludf.DUMMYFUNCTION("""COMPUTED_VALUE"""),"KublaKhan")</f>
        <v>KublaKhan</v>
      </c>
    </row>
    <row r="1733">
      <c r="A1733" s="47" t="str">
        <f>IFERROR(__xludf.DUMMYFUNCTION("""COMPUTED_VALUE"""),"Virtual Brown")</f>
        <v>Virtual Brown</v>
      </c>
      <c r="B1733" s="47" t="str">
        <f>IFERROR(__xludf.DUMMYFUNCTION("""COMPUTED_VALUE"""),"OdinsFiRe")</f>
        <v>OdinsFiRe</v>
      </c>
      <c r="C1733" s="78" t="str">
        <f>IFERROR(__xludf.DUMMYFUNCTION("""COMPUTED_VALUE"""),"https://www.munzee.com/m/OdinsFiRe/1978/")</f>
        <v>https://www.munzee.com/m/OdinsFiRe/1978/</v>
      </c>
      <c r="D1733" s="47"/>
      <c r="E1733" s="47" t="b">
        <f>IFERROR(__xludf.DUMMYFUNCTION("""COMPUTED_VALUE"""),TRUE)</f>
        <v>1</v>
      </c>
      <c r="F1733" s="83" t="str">
        <f>IFERROR(__xludf.DUMMYFUNCTION("""COMPUTED_VALUE"""),"")</f>
        <v/>
      </c>
      <c r="G1733" s="47" t="str">
        <f>IFERROR(__xludf.DUMMYFUNCTION("""COMPUTED_VALUE"""),"")</f>
        <v/>
      </c>
      <c r="H1733" s="47"/>
      <c r="I1733" s="47">
        <f>IFERROR(__xludf.DUMMYFUNCTION("""COMPUTED_VALUE"""),2.0)</f>
        <v>2</v>
      </c>
      <c r="J1733" s="47" t="str">
        <f>IFERROR(__xludf.DUMMYFUNCTION("""COMPUTED_VALUE"""),"https:")</f>
        <v>https:</v>
      </c>
      <c r="K1733" s="78" t="str">
        <f>IFERROR(__xludf.DUMMYFUNCTION("""COMPUTED_VALUE"""),"www.munzee.com")</f>
        <v>www.munzee.com</v>
      </c>
      <c r="L1733" s="47" t="str">
        <f>IFERROR(__xludf.DUMMYFUNCTION("""COMPUTED_VALUE"""),"m")</f>
        <v>m</v>
      </c>
      <c r="M1733" s="47" t="str">
        <f>IFERROR(__xludf.DUMMYFUNCTION("""COMPUTED_VALUE"""),"OdinsFiRe")</f>
        <v>OdinsFiRe</v>
      </c>
    </row>
    <row r="1734">
      <c r="A1734" s="47" t="str">
        <f>IFERROR(__xludf.DUMMYFUNCTION("""COMPUTED_VALUE"""),"Virtual Brown")</f>
        <v>Virtual Brown</v>
      </c>
      <c r="B1734" s="47" t="str">
        <f>IFERROR(__xludf.DUMMYFUNCTION("""COMPUTED_VALUE"""),"TheFatCats")</f>
        <v>TheFatCats</v>
      </c>
      <c r="C1734" s="78" t="str">
        <f>IFERROR(__xludf.DUMMYFUNCTION("""COMPUTED_VALUE"""),"https://www.munzee.com/m/TheFatCats/4519/")</f>
        <v>https://www.munzee.com/m/TheFatCats/4519/</v>
      </c>
      <c r="D1734" s="47"/>
      <c r="E1734" s="47" t="b">
        <f>IFERROR(__xludf.DUMMYFUNCTION("""COMPUTED_VALUE"""),TRUE)</f>
        <v>1</v>
      </c>
      <c r="F1734" s="83" t="str">
        <f>IFERROR(__xludf.DUMMYFUNCTION("""COMPUTED_VALUE"""),"")</f>
        <v/>
      </c>
      <c r="G1734" s="47" t="str">
        <f>IFERROR(__xludf.DUMMYFUNCTION("""COMPUTED_VALUE"""),"")</f>
        <v/>
      </c>
      <c r="H1734" s="47"/>
      <c r="I1734" s="47">
        <f>IFERROR(__xludf.DUMMYFUNCTION("""COMPUTED_VALUE"""),2.0)</f>
        <v>2</v>
      </c>
      <c r="J1734" s="47" t="str">
        <f>IFERROR(__xludf.DUMMYFUNCTION("""COMPUTED_VALUE"""),"https:")</f>
        <v>https:</v>
      </c>
      <c r="K1734" s="78" t="str">
        <f>IFERROR(__xludf.DUMMYFUNCTION("""COMPUTED_VALUE"""),"www.munzee.com")</f>
        <v>www.munzee.com</v>
      </c>
      <c r="L1734" s="47" t="str">
        <f>IFERROR(__xludf.DUMMYFUNCTION("""COMPUTED_VALUE"""),"m")</f>
        <v>m</v>
      </c>
      <c r="M1734" s="47" t="str">
        <f>IFERROR(__xludf.DUMMYFUNCTION("""COMPUTED_VALUE"""),"TheFatCats")</f>
        <v>TheFatCats</v>
      </c>
    </row>
    <row r="1735">
      <c r="A1735" s="47" t="str">
        <f>IFERROR(__xludf.DUMMYFUNCTION("""COMPUTED_VALUE"""),"Virtual Brown")</f>
        <v>Virtual Brown</v>
      </c>
      <c r="B1735" s="47" t="str">
        <f>IFERROR(__xludf.DUMMYFUNCTION("""COMPUTED_VALUE"""),"MurphyLM")</f>
        <v>MurphyLM</v>
      </c>
      <c r="C1735" s="78" t="str">
        <f>IFERROR(__xludf.DUMMYFUNCTION("""COMPUTED_VALUE"""),"https://www.munzee.com/m/MurphyLM/173/")</f>
        <v>https://www.munzee.com/m/MurphyLM/173/</v>
      </c>
      <c r="D1735" s="47"/>
      <c r="E1735" s="47" t="b">
        <f>IFERROR(__xludf.DUMMYFUNCTION("""COMPUTED_VALUE"""),TRUE)</f>
        <v>1</v>
      </c>
      <c r="F1735" s="83" t="str">
        <f>IFERROR(__xludf.DUMMYFUNCTION("""COMPUTED_VALUE"""),"")</f>
        <v/>
      </c>
      <c r="G1735" s="47" t="str">
        <f>IFERROR(__xludf.DUMMYFUNCTION("""COMPUTED_VALUE"""),"")</f>
        <v/>
      </c>
      <c r="H1735" s="47"/>
      <c r="I1735" s="47">
        <f>IFERROR(__xludf.DUMMYFUNCTION("""COMPUTED_VALUE"""),2.0)</f>
        <v>2</v>
      </c>
      <c r="J1735" s="47" t="str">
        <f>IFERROR(__xludf.DUMMYFUNCTION("""COMPUTED_VALUE"""),"https:")</f>
        <v>https:</v>
      </c>
      <c r="K1735" s="78" t="str">
        <f>IFERROR(__xludf.DUMMYFUNCTION("""COMPUTED_VALUE"""),"www.munzee.com")</f>
        <v>www.munzee.com</v>
      </c>
      <c r="L1735" s="47" t="str">
        <f>IFERROR(__xludf.DUMMYFUNCTION("""COMPUTED_VALUE"""),"m")</f>
        <v>m</v>
      </c>
      <c r="M1735" s="47" t="str">
        <f>IFERROR(__xludf.DUMMYFUNCTION("""COMPUTED_VALUE"""),"MurphyLM")</f>
        <v>MurphyLM</v>
      </c>
    </row>
    <row r="1736">
      <c r="A1736" s="47" t="str">
        <f>IFERROR(__xludf.DUMMYFUNCTION("""COMPUTED_VALUE"""),"Virtual Raw Sienna")</f>
        <v>Virtual Raw Sienna</v>
      </c>
      <c r="B1736" s="47" t="str">
        <f>IFERROR(__xludf.DUMMYFUNCTION("""COMPUTED_VALUE"""),"xrayneex")</f>
        <v>xrayneex</v>
      </c>
      <c r="C1736" s="78" t="str">
        <f>IFERROR(__xludf.DUMMYFUNCTION("""COMPUTED_VALUE"""),"https://www.munzee.com/m/xrayneex/1830/")</f>
        <v>https://www.munzee.com/m/xrayneex/1830/</v>
      </c>
      <c r="D1736" s="47"/>
      <c r="E1736" s="47" t="b">
        <f>IFERROR(__xludf.DUMMYFUNCTION("""COMPUTED_VALUE"""),TRUE)</f>
        <v>1</v>
      </c>
      <c r="F1736" s="83" t="str">
        <f>IFERROR(__xludf.DUMMYFUNCTION("""COMPUTED_VALUE"""),"")</f>
        <v/>
      </c>
      <c r="G1736" s="47" t="str">
        <f>IFERROR(__xludf.DUMMYFUNCTION("""COMPUTED_VALUE"""),"")</f>
        <v/>
      </c>
      <c r="H1736" s="47"/>
      <c r="I1736" s="47">
        <f>IFERROR(__xludf.DUMMYFUNCTION("""COMPUTED_VALUE"""),2.0)</f>
        <v>2</v>
      </c>
      <c r="J1736" s="47" t="str">
        <f>IFERROR(__xludf.DUMMYFUNCTION("""COMPUTED_VALUE"""),"https:")</f>
        <v>https:</v>
      </c>
      <c r="K1736" s="78" t="str">
        <f>IFERROR(__xludf.DUMMYFUNCTION("""COMPUTED_VALUE"""),"www.munzee.com")</f>
        <v>www.munzee.com</v>
      </c>
      <c r="L1736" s="47" t="str">
        <f>IFERROR(__xludf.DUMMYFUNCTION("""COMPUTED_VALUE"""),"m")</f>
        <v>m</v>
      </c>
      <c r="M1736" s="47" t="str">
        <f>IFERROR(__xludf.DUMMYFUNCTION("""COMPUTED_VALUE"""),"xrayneex")</f>
        <v>xrayneex</v>
      </c>
    </row>
    <row r="1737">
      <c r="A1737" s="47" t="str">
        <f>IFERROR(__xludf.DUMMYFUNCTION("""COMPUTED_VALUE"""),"Virtual Brown")</f>
        <v>Virtual Brown</v>
      </c>
      <c r="B1737" s="47" t="str">
        <f>IFERROR(__xludf.DUMMYFUNCTION("""COMPUTED_VALUE"""),"Fossillady")</f>
        <v>Fossillady</v>
      </c>
      <c r="C1737" s="78" t="str">
        <f>IFERROR(__xludf.DUMMYFUNCTION("""COMPUTED_VALUE"""),"https://www.munzee.com/m/Fossillady/4019")</f>
        <v>https://www.munzee.com/m/Fossillady/4019</v>
      </c>
      <c r="D1737" s="47"/>
      <c r="E1737" s="47" t="b">
        <f>IFERROR(__xludf.DUMMYFUNCTION("""COMPUTED_VALUE"""),TRUE)</f>
        <v>1</v>
      </c>
      <c r="F1737" s="83" t="str">
        <f>IFERROR(__xludf.DUMMYFUNCTION("""COMPUTED_VALUE"""),"")</f>
        <v/>
      </c>
      <c r="G1737" s="47" t="str">
        <f>IFERROR(__xludf.DUMMYFUNCTION("""COMPUTED_VALUE"""),"")</f>
        <v/>
      </c>
      <c r="H1737" s="47"/>
      <c r="I1737" s="47">
        <f>IFERROR(__xludf.DUMMYFUNCTION("""COMPUTED_VALUE"""),2.0)</f>
        <v>2</v>
      </c>
      <c r="J1737" s="47" t="str">
        <f>IFERROR(__xludf.DUMMYFUNCTION("""COMPUTED_VALUE"""),"https:")</f>
        <v>https:</v>
      </c>
      <c r="K1737" s="78" t="str">
        <f>IFERROR(__xludf.DUMMYFUNCTION("""COMPUTED_VALUE"""),"www.munzee.com")</f>
        <v>www.munzee.com</v>
      </c>
      <c r="L1737" s="47" t="str">
        <f>IFERROR(__xludf.DUMMYFUNCTION("""COMPUTED_VALUE"""),"m")</f>
        <v>m</v>
      </c>
      <c r="M1737" s="47" t="str">
        <f>IFERROR(__xludf.DUMMYFUNCTION("""COMPUTED_VALUE"""),"Fossillady")</f>
        <v>Fossillady</v>
      </c>
    </row>
    <row r="1738">
      <c r="A1738" s="47" t="str">
        <f>IFERROR(__xludf.DUMMYFUNCTION("""COMPUTED_VALUE"""),"Virtual Brown")</f>
        <v>Virtual Brown</v>
      </c>
      <c r="B1738" s="47" t="str">
        <f>IFERROR(__xludf.DUMMYFUNCTION("""COMPUTED_VALUE"""),"Anetzet ")</f>
        <v>Anetzet </v>
      </c>
      <c r="C1738" s="78" t="str">
        <f>IFERROR(__xludf.DUMMYFUNCTION("""COMPUTED_VALUE"""),"https://www.munzee.com/m/Anetzet/3560/")</f>
        <v>https://www.munzee.com/m/Anetzet/3560/</v>
      </c>
      <c r="D1738" s="47"/>
      <c r="E1738" s="47" t="b">
        <f>IFERROR(__xludf.DUMMYFUNCTION("""COMPUTED_VALUE"""),TRUE)</f>
        <v>1</v>
      </c>
      <c r="F1738" s="83" t="str">
        <f>IFERROR(__xludf.DUMMYFUNCTION("""COMPUTED_VALUE"""),"")</f>
        <v/>
      </c>
      <c r="G1738" s="47" t="str">
        <f>IFERROR(__xludf.DUMMYFUNCTION("""COMPUTED_VALUE"""),"")</f>
        <v/>
      </c>
      <c r="H1738" s="47"/>
      <c r="I1738" s="47">
        <f>IFERROR(__xludf.DUMMYFUNCTION("""COMPUTED_VALUE"""),2.0)</f>
        <v>2</v>
      </c>
      <c r="J1738" s="47" t="str">
        <f>IFERROR(__xludf.DUMMYFUNCTION("""COMPUTED_VALUE"""),"https:")</f>
        <v>https:</v>
      </c>
      <c r="K1738" s="78" t="str">
        <f>IFERROR(__xludf.DUMMYFUNCTION("""COMPUTED_VALUE"""),"www.munzee.com")</f>
        <v>www.munzee.com</v>
      </c>
      <c r="L1738" s="47" t="str">
        <f>IFERROR(__xludf.DUMMYFUNCTION("""COMPUTED_VALUE"""),"m")</f>
        <v>m</v>
      </c>
      <c r="M1738" s="47" t="str">
        <f>IFERROR(__xludf.DUMMYFUNCTION("""COMPUTED_VALUE"""),"Anetzet")</f>
        <v>Anetzet</v>
      </c>
    </row>
    <row r="1739">
      <c r="A1739" s="47" t="str">
        <f>IFERROR(__xludf.DUMMYFUNCTION("""COMPUTED_VALUE"""),"Virtual Brown")</f>
        <v>Virtual Brown</v>
      </c>
      <c r="B1739" s="47" t="str">
        <f>IFERROR(__xludf.DUMMYFUNCTION("""COMPUTED_VALUE"""),"GroteSufferd")</f>
        <v>GroteSufferd</v>
      </c>
      <c r="C1739" s="78" t="str">
        <f>IFERROR(__xludf.DUMMYFUNCTION("""COMPUTED_VALUE"""),"https://www.munzee.com/m/GroteSufferd/533/")</f>
        <v>https://www.munzee.com/m/GroteSufferd/533/</v>
      </c>
      <c r="D1739" s="47"/>
      <c r="E1739" s="47" t="b">
        <f>IFERROR(__xludf.DUMMYFUNCTION("""COMPUTED_VALUE"""),TRUE)</f>
        <v>1</v>
      </c>
      <c r="F1739" s="83" t="str">
        <f>IFERROR(__xludf.DUMMYFUNCTION("""COMPUTED_VALUE"""),"")</f>
        <v/>
      </c>
      <c r="G1739" s="47" t="str">
        <f>IFERROR(__xludf.DUMMYFUNCTION("""COMPUTED_VALUE"""),"")</f>
        <v/>
      </c>
      <c r="H1739" s="47"/>
      <c r="I1739" s="47">
        <f>IFERROR(__xludf.DUMMYFUNCTION("""COMPUTED_VALUE"""),2.0)</f>
        <v>2</v>
      </c>
      <c r="J1739" s="47" t="str">
        <f>IFERROR(__xludf.DUMMYFUNCTION("""COMPUTED_VALUE"""),"https:")</f>
        <v>https:</v>
      </c>
      <c r="K1739" s="78" t="str">
        <f>IFERROR(__xludf.DUMMYFUNCTION("""COMPUTED_VALUE"""),"www.munzee.com")</f>
        <v>www.munzee.com</v>
      </c>
      <c r="L1739" s="47" t="str">
        <f>IFERROR(__xludf.DUMMYFUNCTION("""COMPUTED_VALUE"""),"m")</f>
        <v>m</v>
      </c>
      <c r="M1739" s="47" t="str">
        <f>IFERROR(__xludf.DUMMYFUNCTION("""COMPUTED_VALUE"""),"GroteSufferd")</f>
        <v>GroteSufferd</v>
      </c>
    </row>
    <row r="1740">
      <c r="A1740" s="47" t="str">
        <f>IFERROR(__xludf.DUMMYFUNCTION("""COMPUTED_VALUE"""),"Virtual Raw Sienna")</f>
        <v>Virtual Raw Sienna</v>
      </c>
      <c r="B1740" s="47" t="str">
        <f>IFERROR(__xludf.DUMMYFUNCTION("""COMPUTED_VALUE"""),"lison55")</f>
        <v>lison55</v>
      </c>
      <c r="C1740" s="78" t="str">
        <f>IFERROR(__xludf.DUMMYFUNCTION("""COMPUTED_VALUE"""),"https://www.munzee.com/m/lison55/5903/")</f>
        <v>https://www.munzee.com/m/lison55/5903/</v>
      </c>
      <c r="D1740" s="47"/>
      <c r="E1740" s="47" t="b">
        <f>IFERROR(__xludf.DUMMYFUNCTION("""COMPUTED_VALUE"""),TRUE)</f>
        <v>1</v>
      </c>
      <c r="F1740" s="83" t="str">
        <f>IFERROR(__xludf.DUMMYFUNCTION("""COMPUTED_VALUE"""),"")</f>
        <v/>
      </c>
      <c r="G1740" s="47" t="str">
        <f>IFERROR(__xludf.DUMMYFUNCTION("""COMPUTED_VALUE"""),"")</f>
        <v/>
      </c>
      <c r="H1740" s="47"/>
      <c r="I1740" s="47">
        <f>IFERROR(__xludf.DUMMYFUNCTION("""COMPUTED_VALUE"""),2.0)</f>
        <v>2</v>
      </c>
      <c r="J1740" s="47" t="str">
        <f>IFERROR(__xludf.DUMMYFUNCTION("""COMPUTED_VALUE"""),"https:")</f>
        <v>https:</v>
      </c>
      <c r="K1740" s="78" t="str">
        <f>IFERROR(__xludf.DUMMYFUNCTION("""COMPUTED_VALUE"""),"www.munzee.com")</f>
        <v>www.munzee.com</v>
      </c>
      <c r="L1740" s="47" t="str">
        <f>IFERROR(__xludf.DUMMYFUNCTION("""COMPUTED_VALUE"""),"m")</f>
        <v>m</v>
      </c>
      <c r="M1740" s="47" t="str">
        <f>IFERROR(__xludf.DUMMYFUNCTION("""COMPUTED_VALUE"""),"lison55")</f>
        <v>lison55</v>
      </c>
    </row>
    <row r="1741">
      <c r="A1741" s="47" t="str">
        <f>IFERROR(__xludf.DUMMYFUNCTION("""COMPUTED_VALUE"""),"Virtual Brown")</f>
        <v>Virtual Brown</v>
      </c>
      <c r="B1741" s="47" t="str">
        <f>IFERROR(__xludf.DUMMYFUNCTION("""COMPUTED_VALUE"""),"ArtofEco")</f>
        <v>ArtofEco</v>
      </c>
      <c r="C1741" s="78" t="str">
        <f>IFERROR(__xludf.DUMMYFUNCTION("""COMPUTED_VALUE"""),"https://www.munzee.com/m/ArtofEco/3142/")</f>
        <v>https://www.munzee.com/m/ArtofEco/3142/</v>
      </c>
      <c r="D1741" s="47"/>
      <c r="E1741" s="47" t="b">
        <f>IFERROR(__xludf.DUMMYFUNCTION("""COMPUTED_VALUE"""),TRUE)</f>
        <v>1</v>
      </c>
      <c r="F1741" s="83" t="str">
        <f>IFERROR(__xludf.DUMMYFUNCTION("""COMPUTED_VALUE"""),"")</f>
        <v/>
      </c>
      <c r="G1741" s="47" t="str">
        <f>IFERROR(__xludf.DUMMYFUNCTION("""COMPUTED_VALUE"""),"")</f>
        <v/>
      </c>
      <c r="H1741" s="47"/>
      <c r="I1741" s="47">
        <f>IFERROR(__xludf.DUMMYFUNCTION("""COMPUTED_VALUE"""),2.0)</f>
        <v>2</v>
      </c>
      <c r="J1741" s="47" t="str">
        <f>IFERROR(__xludf.DUMMYFUNCTION("""COMPUTED_VALUE"""),"https:")</f>
        <v>https:</v>
      </c>
      <c r="K1741" s="78" t="str">
        <f>IFERROR(__xludf.DUMMYFUNCTION("""COMPUTED_VALUE"""),"www.munzee.com")</f>
        <v>www.munzee.com</v>
      </c>
      <c r="L1741" s="47" t="str">
        <f>IFERROR(__xludf.DUMMYFUNCTION("""COMPUTED_VALUE"""),"m")</f>
        <v>m</v>
      </c>
      <c r="M1741" s="47" t="str">
        <f>IFERROR(__xludf.DUMMYFUNCTION("""COMPUTED_VALUE"""),"ArtofEco")</f>
        <v>ArtofEco</v>
      </c>
    </row>
    <row r="1742">
      <c r="A1742" s="47" t="str">
        <f>IFERROR(__xludf.DUMMYFUNCTION("""COMPUTED_VALUE"""),"Virtual Brown")</f>
        <v>Virtual Brown</v>
      </c>
      <c r="B1742" s="47" t="str">
        <f>IFERROR(__xludf.DUMMYFUNCTION("""COMPUTED_VALUE"""),"BrotherWilliam")</f>
        <v>BrotherWilliam</v>
      </c>
      <c r="C1742" s="78" t="str">
        <f>IFERROR(__xludf.DUMMYFUNCTION("""COMPUTED_VALUE"""),"https://www.munzee.com/m/BrotherWilliam/4442/")</f>
        <v>https://www.munzee.com/m/BrotherWilliam/4442/</v>
      </c>
      <c r="D1742" s="47"/>
      <c r="E1742" s="47" t="b">
        <f>IFERROR(__xludf.DUMMYFUNCTION("""COMPUTED_VALUE"""),TRUE)</f>
        <v>1</v>
      </c>
      <c r="F1742" s="83" t="str">
        <f>IFERROR(__xludf.DUMMYFUNCTION("""COMPUTED_VALUE"""),"")</f>
        <v/>
      </c>
      <c r="G1742" s="47" t="str">
        <f>IFERROR(__xludf.DUMMYFUNCTION("""COMPUTED_VALUE"""),"")</f>
        <v/>
      </c>
      <c r="H1742" s="47"/>
      <c r="I1742" s="47">
        <f>IFERROR(__xludf.DUMMYFUNCTION("""COMPUTED_VALUE"""),2.0)</f>
        <v>2</v>
      </c>
      <c r="J1742" s="47" t="str">
        <f>IFERROR(__xludf.DUMMYFUNCTION("""COMPUTED_VALUE"""),"https:")</f>
        <v>https:</v>
      </c>
      <c r="K1742" s="78" t="str">
        <f>IFERROR(__xludf.DUMMYFUNCTION("""COMPUTED_VALUE"""),"www.munzee.com")</f>
        <v>www.munzee.com</v>
      </c>
      <c r="L1742" s="47" t="str">
        <f>IFERROR(__xludf.DUMMYFUNCTION("""COMPUTED_VALUE"""),"m")</f>
        <v>m</v>
      </c>
      <c r="M1742" s="47" t="str">
        <f>IFERROR(__xludf.DUMMYFUNCTION("""COMPUTED_VALUE"""),"BrotherWilliam")</f>
        <v>BrotherWilliam</v>
      </c>
    </row>
    <row r="1743">
      <c r="A1743" s="47" t="str">
        <f>IFERROR(__xludf.DUMMYFUNCTION("""COMPUTED_VALUE"""),"Virtual Raw Sienna")</f>
        <v>Virtual Raw Sienna</v>
      </c>
      <c r="B1743" s="47" t="str">
        <f>IFERROR(__xludf.DUMMYFUNCTION("""COMPUTED_VALUE"""),"Trappertje")</f>
        <v>Trappertje</v>
      </c>
      <c r="C1743" s="78" t="str">
        <f>IFERROR(__xludf.DUMMYFUNCTION("""COMPUTED_VALUE"""),"https://www.munzee.com/m/Trappertje/5605/")</f>
        <v>https://www.munzee.com/m/Trappertje/5605/</v>
      </c>
      <c r="D1743" s="47"/>
      <c r="E1743" s="47" t="b">
        <f>IFERROR(__xludf.DUMMYFUNCTION("""COMPUTED_VALUE"""),TRUE)</f>
        <v>1</v>
      </c>
      <c r="F1743" s="83" t="str">
        <f>IFERROR(__xludf.DUMMYFUNCTION("""COMPUTED_VALUE"""),"")</f>
        <v/>
      </c>
      <c r="G1743" s="47" t="str">
        <f>IFERROR(__xludf.DUMMYFUNCTION("""COMPUTED_VALUE"""),"")</f>
        <v/>
      </c>
      <c r="H1743" s="47"/>
      <c r="I1743" s="47">
        <f>IFERROR(__xludf.DUMMYFUNCTION("""COMPUTED_VALUE"""),2.0)</f>
        <v>2</v>
      </c>
      <c r="J1743" s="47" t="str">
        <f>IFERROR(__xludf.DUMMYFUNCTION("""COMPUTED_VALUE"""),"https:")</f>
        <v>https:</v>
      </c>
      <c r="K1743" s="78" t="str">
        <f>IFERROR(__xludf.DUMMYFUNCTION("""COMPUTED_VALUE"""),"www.munzee.com")</f>
        <v>www.munzee.com</v>
      </c>
      <c r="L1743" s="47" t="str">
        <f>IFERROR(__xludf.DUMMYFUNCTION("""COMPUTED_VALUE"""),"m")</f>
        <v>m</v>
      </c>
      <c r="M1743" s="47" t="str">
        <f>IFERROR(__xludf.DUMMYFUNCTION("""COMPUTED_VALUE"""),"Trappertje")</f>
        <v>Trappertje</v>
      </c>
    </row>
    <row r="1744">
      <c r="A1744" s="47" t="str">
        <f>IFERROR(__xludf.DUMMYFUNCTION("""COMPUTED_VALUE"""),"Virtual Brown")</f>
        <v>Virtual Brown</v>
      </c>
      <c r="B1744" s="47" t="str">
        <f>IFERROR(__xludf.DUMMYFUNCTION("""COMPUTED_VALUE"""),"cbf600")</f>
        <v>cbf600</v>
      </c>
      <c r="C1744" s="78" t="str">
        <f>IFERROR(__xludf.DUMMYFUNCTION("""COMPUTED_VALUE"""),"https://www.munzee.com/m/cbf600/2670/")</f>
        <v>https://www.munzee.com/m/cbf600/2670/</v>
      </c>
      <c r="D1744" s="47"/>
      <c r="E1744" s="47" t="b">
        <f>IFERROR(__xludf.DUMMYFUNCTION("""COMPUTED_VALUE"""),TRUE)</f>
        <v>1</v>
      </c>
      <c r="F1744" s="83" t="str">
        <f>IFERROR(__xludf.DUMMYFUNCTION("""COMPUTED_VALUE"""),"")</f>
        <v/>
      </c>
      <c r="G1744" s="47" t="str">
        <f>IFERROR(__xludf.DUMMYFUNCTION("""COMPUTED_VALUE"""),"")</f>
        <v/>
      </c>
      <c r="H1744" s="47"/>
      <c r="I1744" s="47">
        <f>IFERROR(__xludf.DUMMYFUNCTION("""COMPUTED_VALUE"""),2.0)</f>
        <v>2</v>
      </c>
      <c r="J1744" s="47" t="str">
        <f>IFERROR(__xludf.DUMMYFUNCTION("""COMPUTED_VALUE"""),"https:")</f>
        <v>https:</v>
      </c>
      <c r="K1744" s="78" t="str">
        <f>IFERROR(__xludf.DUMMYFUNCTION("""COMPUTED_VALUE"""),"www.munzee.com")</f>
        <v>www.munzee.com</v>
      </c>
      <c r="L1744" s="47" t="str">
        <f>IFERROR(__xludf.DUMMYFUNCTION("""COMPUTED_VALUE"""),"m")</f>
        <v>m</v>
      </c>
      <c r="M1744" s="47" t="str">
        <f>IFERROR(__xludf.DUMMYFUNCTION("""COMPUTED_VALUE"""),"cbf600")</f>
        <v>cbf600</v>
      </c>
    </row>
    <row r="1745">
      <c r="A1745" s="47" t="str">
        <f>IFERROR(__xludf.DUMMYFUNCTION("""COMPUTED_VALUE"""),"Virtual Raw Sienna")</f>
        <v>Virtual Raw Sienna</v>
      </c>
      <c r="B1745" s="47" t="str">
        <f>IFERROR(__xludf.DUMMYFUNCTION("""COMPUTED_VALUE"""),"Mallet75")</f>
        <v>Mallet75</v>
      </c>
      <c r="C1745" s="78" t="str">
        <f>IFERROR(__xludf.DUMMYFUNCTION("""COMPUTED_VALUE"""),"https://www.munzee.com/m/Mallet75/785/")</f>
        <v>https://www.munzee.com/m/Mallet75/785/</v>
      </c>
      <c r="D1745" s="47"/>
      <c r="E1745" s="47" t="b">
        <f>IFERROR(__xludf.DUMMYFUNCTION("""COMPUTED_VALUE"""),TRUE)</f>
        <v>1</v>
      </c>
      <c r="F1745" s="83" t="str">
        <f>IFERROR(__xludf.DUMMYFUNCTION("""COMPUTED_VALUE"""),"")</f>
        <v/>
      </c>
      <c r="G1745" s="47" t="str">
        <f>IFERROR(__xludf.DUMMYFUNCTION("""COMPUTED_VALUE"""),"")</f>
        <v/>
      </c>
      <c r="H1745" s="47"/>
      <c r="I1745" s="47">
        <f>IFERROR(__xludf.DUMMYFUNCTION("""COMPUTED_VALUE"""),2.0)</f>
        <v>2</v>
      </c>
      <c r="J1745" s="47" t="str">
        <f>IFERROR(__xludf.DUMMYFUNCTION("""COMPUTED_VALUE"""),"https:")</f>
        <v>https:</v>
      </c>
      <c r="K1745" s="78" t="str">
        <f>IFERROR(__xludf.DUMMYFUNCTION("""COMPUTED_VALUE"""),"www.munzee.com")</f>
        <v>www.munzee.com</v>
      </c>
      <c r="L1745" s="47" t="str">
        <f>IFERROR(__xludf.DUMMYFUNCTION("""COMPUTED_VALUE"""),"m")</f>
        <v>m</v>
      </c>
      <c r="M1745" s="47" t="str">
        <f>IFERROR(__xludf.DUMMYFUNCTION("""COMPUTED_VALUE"""),"Mallet75")</f>
        <v>Mallet75</v>
      </c>
    </row>
    <row r="1746">
      <c r="A1746" s="47" t="str">
        <f>IFERROR(__xludf.DUMMYFUNCTION("""COMPUTED_VALUE"""),"Virtual Brown")</f>
        <v>Virtual Brown</v>
      </c>
      <c r="B1746" s="47" t="str">
        <f>IFERROR(__xludf.DUMMYFUNCTION("""COMPUTED_VALUE"""),"habu")</f>
        <v>habu</v>
      </c>
      <c r="C1746" s="78" t="str">
        <f>IFERROR(__xludf.DUMMYFUNCTION("""COMPUTED_VALUE"""),"https://www.munzee.com/m/habu/11227/")</f>
        <v>https://www.munzee.com/m/habu/11227/</v>
      </c>
      <c r="D1746" s="47"/>
      <c r="E1746" s="47" t="b">
        <f>IFERROR(__xludf.DUMMYFUNCTION("""COMPUTED_VALUE"""),TRUE)</f>
        <v>1</v>
      </c>
      <c r="F1746" s="83" t="str">
        <f>IFERROR(__xludf.DUMMYFUNCTION("""COMPUTED_VALUE"""),"")</f>
        <v/>
      </c>
      <c r="G1746" s="47" t="str">
        <f>IFERROR(__xludf.DUMMYFUNCTION("""COMPUTED_VALUE"""),"")</f>
        <v/>
      </c>
      <c r="H1746" s="47"/>
      <c r="I1746" s="47">
        <f>IFERROR(__xludf.DUMMYFUNCTION("""COMPUTED_VALUE"""),2.0)</f>
        <v>2</v>
      </c>
      <c r="J1746" s="47" t="str">
        <f>IFERROR(__xludf.DUMMYFUNCTION("""COMPUTED_VALUE"""),"https:")</f>
        <v>https:</v>
      </c>
      <c r="K1746" s="78" t="str">
        <f>IFERROR(__xludf.DUMMYFUNCTION("""COMPUTED_VALUE"""),"www.munzee.com")</f>
        <v>www.munzee.com</v>
      </c>
      <c r="L1746" s="47" t="str">
        <f>IFERROR(__xludf.DUMMYFUNCTION("""COMPUTED_VALUE"""),"m")</f>
        <v>m</v>
      </c>
      <c r="M1746" s="47" t="str">
        <f>IFERROR(__xludf.DUMMYFUNCTION("""COMPUTED_VALUE"""),"habu")</f>
        <v>habu</v>
      </c>
    </row>
    <row r="1747">
      <c r="A1747" s="47" t="str">
        <f>IFERROR(__xludf.DUMMYFUNCTION("""COMPUTED_VALUE"""),"Virtual Brown")</f>
        <v>Virtual Brown</v>
      </c>
      <c r="B1747" s="47" t="str">
        <f>IFERROR(__xludf.DUMMYFUNCTION("""COMPUTED_VALUE"""),"barefootguru")</f>
        <v>barefootguru</v>
      </c>
      <c r="C1747" s="78" t="str">
        <f>IFERROR(__xludf.DUMMYFUNCTION("""COMPUTED_VALUE"""),"https://www.munzee.com/m/barefootguru/3277/")</f>
        <v>https://www.munzee.com/m/barefootguru/3277/</v>
      </c>
      <c r="D1747" s="47"/>
      <c r="E1747" s="47" t="b">
        <f>IFERROR(__xludf.DUMMYFUNCTION("""COMPUTED_VALUE"""),TRUE)</f>
        <v>1</v>
      </c>
      <c r="F1747" s="83" t="str">
        <f>IFERROR(__xludf.DUMMYFUNCTION("""COMPUTED_VALUE"""),"")</f>
        <v/>
      </c>
      <c r="G1747" s="47" t="str">
        <f>IFERROR(__xludf.DUMMYFUNCTION("""COMPUTED_VALUE"""),"")</f>
        <v/>
      </c>
      <c r="H1747" s="47"/>
      <c r="I1747" s="47">
        <f>IFERROR(__xludf.DUMMYFUNCTION("""COMPUTED_VALUE"""),2.0)</f>
        <v>2</v>
      </c>
      <c r="J1747" s="47" t="str">
        <f>IFERROR(__xludf.DUMMYFUNCTION("""COMPUTED_VALUE"""),"https:")</f>
        <v>https:</v>
      </c>
      <c r="K1747" s="78" t="str">
        <f>IFERROR(__xludf.DUMMYFUNCTION("""COMPUTED_VALUE"""),"www.munzee.com")</f>
        <v>www.munzee.com</v>
      </c>
      <c r="L1747" s="47" t="str">
        <f>IFERROR(__xludf.DUMMYFUNCTION("""COMPUTED_VALUE"""),"m")</f>
        <v>m</v>
      </c>
      <c r="M1747" s="47" t="str">
        <f>IFERROR(__xludf.DUMMYFUNCTION("""COMPUTED_VALUE"""),"barefootguru")</f>
        <v>barefootguru</v>
      </c>
    </row>
    <row r="1748">
      <c r="A1748" s="47" t="str">
        <f>IFERROR(__xludf.DUMMYFUNCTION("""COMPUTED_VALUE"""),"Virtual Brown")</f>
        <v>Virtual Brown</v>
      </c>
      <c r="B1748" s="47" t="str">
        <f>IFERROR(__xludf.DUMMYFUNCTION("""COMPUTED_VALUE"""),"mrsg9064")</f>
        <v>mrsg9064</v>
      </c>
      <c r="C1748" s="78" t="str">
        <f>IFERROR(__xludf.DUMMYFUNCTION("""COMPUTED_VALUE"""),"https://www.munzee.com/m/mrsg9064/8544/")</f>
        <v>https://www.munzee.com/m/mrsg9064/8544/</v>
      </c>
      <c r="D1748" s="47"/>
      <c r="E1748" s="47" t="b">
        <f>IFERROR(__xludf.DUMMYFUNCTION("""COMPUTED_VALUE"""),TRUE)</f>
        <v>1</v>
      </c>
      <c r="F1748" s="83" t="str">
        <f>IFERROR(__xludf.DUMMYFUNCTION("""COMPUTED_VALUE"""),"")</f>
        <v/>
      </c>
      <c r="G1748" s="47" t="str">
        <f>IFERROR(__xludf.DUMMYFUNCTION("""COMPUTED_VALUE"""),"")</f>
        <v/>
      </c>
      <c r="H1748" s="47"/>
      <c r="I1748" s="47">
        <f>IFERROR(__xludf.DUMMYFUNCTION("""COMPUTED_VALUE"""),2.0)</f>
        <v>2</v>
      </c>
      <c r="J1748" s="47" t="str">
        <f>IFERROR(__xludf.DUMMYFUNCTION("""COMPUTED_VALUE"""),"https:")</f>
        <v>https:</v>
      </c>
      <c r="K1748" s="78" t="str">
        <f>IFERROR(__xludf.DUMMYFUNCTION("""COMPUTED_VALUE"""),"www.munzee.com")</f>
        <v>www.munzee.com</v>
      </c>
      <c r="L1748" s="47" t="str">
        <f>IFERROR(__xludf.DUMMYFUNCTION("""COMPUTED_VALUE"""),"m")</f>
        <v>m</v>
      </c>
      <c r="M1748" s="47" t="str">
        <f>IFERROR(__xludf.DUMMYFUNCTION("""COMPUTED_VALUE"""),"mrsg9064")</f>
        <v>mrsg9064</v>
      </c>
    </row>
    <row r="1749">
      <c r="A1749" s="47" t="str">
        <f>IFERROR(__xludf.DUMMYFUNCTION("""COMPUTED_VALUE"""),"Virtual Brown")</f>
        <v>Virtual Brown</v>
      </c>
      <c r="B1749" s="47" t="str">
        <f>IFERROR(__xludf.DUMMYFUNCTION("""COMPUTED_VALUE"""),"xrayneex")</f>
        <v>xrayneex</v>
      </c>
      <c r="C1749" s="78" t="str">
        <f>IFERROR(__xludf.DUMMYFUNCTION("""COMPUTED_VALUE"""),"https://www.munzee.com/m/xrayneex/1851/")</f>
        <v>https://www.munzee.com/m/xrayneex/1851/</v>
      </c>
      <c r="D1749" s="47"/>
      <c r="E1749" s="47" t="b">
        <f>IFERROR(__xludf.DUMMYFUNCTION("""COMPUTED_VALUE"""),TRUE)</f>
        <v>1</v>
      </c>
      <c r="F1749" s="83" t="str">
        <f>IFERROR(__xludf.DUMMYFUNCTION("""COMPUTED_VALUE"""),"")</f>
        <v/>
      </c>
      <c r="G1749" s="47" t="str">
        <f>IFERROR(__xludf.DUMMYFUNCTION("""COMPUTED_VALUE"""),"")</f>
        <v/>
      </c>
      <c r="H1749" s="47"/>
      <c r="I1749" s="47">
        <f>IFERROR(__xludf.DUMMYFUNCTION("""COMPUTED_VALUE"""),2.0)</f>
        <v>2</v>
      </c>
      <c r="J1749" s="47" t="str">
        <f>IFERROR(__xludf.DUMMYFUNCTION("""COMPUTED_VALUE"""),"https:")</f>
        <v>https:</v>
      </c>
      <c r="K1749" s="78" t="str">
        <f>IFERROR(__xludf.DUMMYFUNCTION("""COMPUTED_VALUE"""),"www.munzee.com")</f>
        <v>www.munzee.com</v>
      </c>
      <c r="L1749" s="47" t="str">
        <f>IFERROR(__xludf.DUMMYFUNCTION("""COMPUTED_VALUE"""),"m")</f>
        <v>m</v>
      </c>
      <c r="M1749" s="47" t="str">
        <f>IFERROR(__xludf.DUMMYFUNCTION("""COMPUTED_VALUE"""),"xrayneex")</f>
        <v>xrayneex</v>
      </c>
    </row>
    <row r="1750">
      <c r="A1750" s="47" t="str">
        <f>IFERROR(__xludf.DUMMYFUNCTION("""COMPUTED_VALUE"""),"Virtual Brown")</f>
        <v>Virtual Brown</v>
      </c>
      <c r="B1750" s="47" t="str">
        <f>IFERROR(__xludf.DUMMYFUNCTION("""COMPUTED_VALUE"""),"Mcpo")</f>
        <v>Mcpo</v>
      </c>
      <c r="C1750" s="78" t="str">
        <f>IFERROR(__xludf.DUMMYFUNCTION("""COMPUTED_VALUE"""),"https://www.munzee.com/m/Mcpo/166/")</f>
        <v>https://www.munzee.com/m/Mcpo/166/</v>
      </c>
      <c r="D1750" s="47"/>
      <c r="E1750" s="47" t="b">
        <f>IFERROR(__xludf.DUMMYFUNCTION("""COMPUTED_VALUE"""),TRUE)</f>
        <v>1</v>
      </c>
      <c r="F1750" s="83" t="str">
        <f>IFERROR(__xludf.DUMMYFUNCTION("""COMPUTED_VALUE"""),"")</f>
        <v/>
      </c>
      <c r="G1750" s="47" t="str">
        <f>IFERROR(__xludf.DUMMYFUNCTION("""COMPUTED_VALUE"""),"")</f>
        <v/>
      </c>
      <c r="H1750" s="47"/>
      <c r="I1750" s="47">
        <f>IFERROR(__xludf.DUMMYFUNCTION("""COMPUTED_VALUE"""),2.0)</f>
        <v>2</v>
      </c>
      <c r="J1750" s="47" t="str">
        <f>IFERROR(__xludf.DUMMYFUNCTION("""COMPUTED_VALUE"""),"https:")</f>
        <v>https:</v>
      </c>
      <c r="K1750" s="78" t="str">
        <f>IFERROR(__xludf.DUMMYFUNCTION("""COMPUTED_VALUE"""),"www.munzee.com")</f>
        <v>www.munzee.com</v>
      </c>
      <c r="L1750" s="47" t="str">
        <f>IFERROR(__xludf.DUMMYFUNCTION("""COMPUTED_VALUE"""),"m")</f>
        <v>m</v>
      </c>
      <c r="M1750" s="47" t="str">
        <f>IFERROR(__xludf.DUMMYFUNCTION("""COMPUTED_VALUE"""),"Mcpo")</f>
        <v>Mcpo</v>
      </c>
    </row>
    <row r="1751">
      <c r="A1751" s="47" t="str">
        <f>IFERROR(__xludf.DUMMYFUNCTION("""COMPUTED_VALUE"""),"Virtual Brown")</f>
        <v>Virtual Brown</v>
      </c>
      <c r="B1751" s="47" t="str">
        <f>IFERROR(__xludf.DUMMYFUNCTION("""COMPUTED_VALUE"""),"Bisquick2")</f>
        <v>Bisquick2</v>
      </c>
      <c r="C1751" s="78" t="str">
        <f>IFERROR(__xludf.DUMMYFUNCTION("""COMPUTED_VALUE"""),"https://www.munzee.com/m/Bisquick2/4811/")</f>
        <v>https://www.munzee.com/m/Bisquick2/4811/</v>
      </c>
      <c r="D1751" s="47"/>
      <c r="E1751" s="47" t="b">
        <f>IFERROR(__xludf.DUMMYFUNCTION("""COMPUTED_VALUE"""),TRUE)</f>
        <v>1</v>
      </c>
      <c r="F1751" s="83" t="str">
        <f>IFERROR(__xludf.DUMMYFUNCTION("""COMPUTED_VALUE"""),"")</f>
        <v/>
      </c>
      <c r="G1751" s="47" t="str">
        <f>IFERROR(__xludf.DUMMYFUNCTION("""COMPUTED_VALUE"""),"")</f>
        <v/>
      </c>
      <c r="H1751" s="47"/>
      <c r="I1751" s="47">
        <f>IFERROR(__xludf.DUMMYFUNCTION("""COMPUTED_VALUE"""),2.0)</f>
        <v>2</v>
      </c>
      <c r="J1751" s="47" t="str">
        <f>IFERROR(__xludf.DUMMYFUNCTION("""COMPUTED_VALUE"""),"https:")</f>
        <v>https:</v>
      </c>
      <c r="K1751" s="78" t="str">
        <f>IFERROR(__xludf.DUMMYFUNCTION("""COMPUTED_VALUE"""),"www.munzee.com")</f>
        <v>www.munzee.com</v>
      </c>
      <c r="L1751" s="47" t="str">
        <f>IFERROR(__xludf.DUMMYFUNCTION("""COMPUTED_VALUE"""),"m")</f>
        <v>m</v>
      </c>
      <c r="M1751" s="47" t="str">
        <f>IFERROR(__xludf.DUMMYFUNCTION("""COMPUTED_VALUE"""),"Bisquick2")</f>
        <v>Bisquick2</v>
      </c>
    </row>
    <row r="1752">
      <c r="A1752" s="47" t="str">
        <f>IFERROR(__xludf.DUMMYFUNCTION("""COMPUTED_VALUE"""),"Virtual Brown")</f>
        <v>Virtual Brown</v>
      </c>
      <c r="B1752" s="47" t="str">
        <f>IFERROR(__xludf.DUMMYFUNCTION("""COMPUTED_VALUE"""),"TheFatCats")</f>
        <v>TheFatCats</v>
      </c>
      <c r="C1752" s="78" t="str">
        <f>IFERROR(__xludf.DUMMYFUNCTION("""COMPUTED_VALUE"""),"https://www.munzee.com/m/TheFatCats/4525/")</f>
        <v>https://www.munzee.com/m/TheFatCats/4525/</v>
      </c>
      <c r="D1752" s="47"/>
      <c r="E1752" s="47" t="b">
        <f>IFERROR(__xludf.DUMMYFUNCTION("""COMPUTED_VALUE"""),TRUE)</f>
        <v>1</v>
      </c>
      <c r="F1752" s="83" t="str">
        <f>IFERROR(__xludf.DUMMYFUNCTION("""COMPUTED_VALUE"""),"")</f>
        <v/>
      </c>
      <c r="G1752" s="47" t="str">
        <f>IFERROR(__xludf.DUMMYFUNCTION("""COMPUTED_VALUE"""),"")</f>
        <v/>
      </c>
      <c r="H1752" s="47"/>
      <c r="I1752" s="47">
        <f>IFERROR(__xludf.DUMMYFUNCTION("""COMPUTED_VALUE"""),2.0)</f>
        <v>2</v>
      </c>
      <c r="J1752" s="47" t="str">
        <f>IFERROR(__xludf.DUMMYFUNCTION("""COMPUTED_VALUE"""),"https:")</f>
        <v>https:</v>
      </c>
      <c r="K1752" s="78" t="str">
        <f>IFERROR(__xludf.DUMMYFUNCTION("""COMPUTED_VALUE"""),"www.munzee.com")</f>
        <v>www.munzee.com</v>
      </c>
      <c r="L1752" s="47" t="str">
        <f>IFERROR(__xludf.DUMMYFUNCTION("""COMPUTED_VALUE"""),"m")</f>
        <v>m</v>
      </c>
      <c r="M1752" s="47" t="str">
        <f>IFERROR(__xludf.DUMMYFUNCTION("""COMPUTED_VALUE"""),"TheFatCats")</f>
        <v>TheFatCats</v>
      </c>
    </row>
    <row r="1753">
      <c r="A1753" s="47" t="str">
        <f>IFERROR(__xludf.DUMMYFUNCTION("""COMPUTED_VALUE"""),"Virtual Raw Sienna")</f>
        <v>Virtual Raw Sienna</v>
      </c>
      <c r="B1753" s="47" t="str">
        <f>IFERROR(__xludf.DUMMYFUNCTION("""COMPUTED_VALUE"""),"KublaKhan")</f>
        <v>KublaKhan</v>
      </c>
      <c r="C1753" s="78" t="str">
        <f>IFERROR(__xludf.DUMMYFUNCTION("""COMPUTED_VALUE"""),"https://www.munzee.com/m/KublaKhan/778/")</f>
        <v>https://www.munzee.com/m/KublaKhan/778/</v>
      </c>
      <c r="D1753" s="47"/>
      <c r="E1753" s="47" t="b">
        <f>IFERROR(__xludf.DUMMYFUNCTION("""COMPUTED_VALUE"""),TRUE)</f>
        <v>1</v>
      </c>
      <c r="F1753" s="83" t="str">
        <f>IFERROR(__xludf.DUMMYFUNCTION("""COMPUTED_VALUE"""),"")</f>
        <v/>
      </c>
      <c r="G1753" s="47" t="str">
        <f>IFERROR(__xludf.DUMMYFUNCTION("""COMPUTED_VALUE"""),"")</f>
        <v/>
      </c>
      <c r="H1753" s="47"/>
      <c r="I1753" s="47">
        <f>IFERROR(__xludf.DUMMYFUNCTION("""COMPUTED_VALUE"""),2.0)</f>
        <v>2</v>
      </c>
      <c r="J1753" s="47" t="str">
        <f>IFERROR(__xludf.DUMMYFUNCTION("""COMPUTED_VALUE"""),"https:")</f>
        <v>https:</v>
      </c>
      <c r="K1753" s="78" t="str">
        <f>IFERROR(__xludf.DUMMYFUNCTION("""COMPUTED_VALUE"""),"www.munzee.com")</f>
        <v>www.munzee.com</v>
      </c>
      <c r="L1753" s="47" t="str">
        <f>IFERROR(__xludf.DUMMYFUNCTION("""COMPUTED_VALUE"""),"m")</f>
        <v>m</v>
      </c>
      <c r="M1753" s="47" t="str">
        <f>IFERROR(__xludf.DUMMYFUNCTION("""COMPUTED_VALUE"""),"KublaKhan")</f>
        <v>KublaKhan</v>
      </c>
    </row>
    <row r="1754">
      <c r="A1754" s="47" t="str">
        <f>IFERROR(__xludf.DUMMYFUNCTION("""COMPUTED_VALUE"""),"Virtual Brown")</f>
        <v>Virtual Brown</v>
      </c>
      <c r="B1754" s="47" t="str">
        <f>IFERROR(__xludf.DUMMYFUNCTION("""COMPUTED_VALUE"""),"fsafranek")</f>
        <v>fsafranek</v>
      </c>
      <c r="C1754" s="78" t="str">
        <f>IFERROR(__xludf.DUMMYFUNCTION("""COMPUTED_VALUE"""),"https://www.munzee.com/m/fsafranek/5167/")</f>
        <v>https://www.munzee.com/m/fsafranek/5167/</v>
      </c>
      <c r="D1754" s="47"/>
      <c r="E1754" s="47" t="b">
        <f>IFERROR(__xludf.DUMMYFUNCTION("""COMPUTED_VALUE"""),TRUE)</f>
        <v>1</v>
      </c>
      <c r="F1754" s="83" t="str">
        <f>IFERROR(__xludf.DUMMYFUNCTION("""COMPUTED_VALUE"""),"")</f>
        <v/>
      </c>
      <c r="G1754" s="47" t="str">
        <f>IFERROR(__xludf.DUMMYFUNCTION("""COMPUTED_VALUE"""),"")</f>
        <v/>
      </c>
      <c r="H1754" s="47"/>
      <c r="I1754" s="47">
        <f>IFERROR(__xludf.DUMMYFUNCTION("""COMPUTED_VALUE"""),2.0)</f>
        <v>2</v>
      </c>
      <c r="J1754" s="47" t="str">
        <f>IFERROR(__xludf.DUMMYFUNCTION("""COMPUTED_VALUE"""),"https:")</f>
        <v>https:</v>
      </c>
      <c r="K1754" s="78" t="str">
        <f>IFERROR(__xludf.DUMMYFUNCTION("""COMPUTED_VALUE"""),"www.munzee.com")</f>
        <v>www.munzee.com</v>
      </c>
      <c r="L1754" s="47" t="str">
        <f>IFERROR(__xludf.DUMMYFUNCTION("""COMPUTED_VALUE"""),"m")</f>
        <v>m</v>
      </c>
      <c r="M1754" s="47" t="str">
        <f>IFERROR(__xludf.DUMMYFUNCTION("""COMPUTED_VALUE"""),"fsafranek")</f>
        <v>fsafranek</v>
      </c>
    </row>
    <row r="1755">
      <c r="A1755" s="47" t="str">
        <f>IFERROR(__xludf.DUMMYFUNCTION("""COMPUTED_VALUE"""),"Virtual Brown")</f>
        <v>Virtual Brown</v>
      </c>
      <c r="B1755" s="47" t="str">
        <f>IFERROR(__xludf.DUMMYFUNCTION("""COMPUTED_VALUE"""),"TheFatCats")</f>
        <v>TheFatCats</v>
      </c>
      <c r="C1755" s="78" t="str">
        <f>IFERROR(__xludf.DUMMYFUNCTION("""COMPUTED_VALUE"""),"https://www.munzee.com/m/TheFatCats/4564/")</f>
        <v>https://www.munzee.com/m/TheFatCats/4564/</v>
      </c>
      <c r="D1755" s="47"/>
      <c r="E1755" s="47" t="b">
        <f>IFERROR(__xludf.DUMMYFUNCTION("""COMPUTED_VALUE"""),TRUE)</f>
        <v>1</v>
      </c>
      <c r="F1755" s="83" t="str">
        <f>IFERROR(__xludf.DUMMYFUNCTION("""COMPUTED_VALUE"""),"")</f>
        <v/>
      </c>
      <c r="G1755" s="47" t="str">
        <f>IFERROR(__xludf.DUMMYFUNCTION("""COMPUTED_VALUE"""),"")</f>
        <v/>
      </c>
      <c r="H1755" s="47"/>
      <c r="I1755" s="47">
        <f>IFERROR(__xludf.DUMMYFUNCTION("""COMPUTED_VALUE"""),2.0)</f>
        <v>2</v>
      </c>
      <c r="J1755" s="47" t="str">
        <f>IFERROR(__xludf.DUMMYFUNCTION("""COMPUTED_VALUE"""),"https:")</f>
        <v>https:</v>
      </c>
      <c r="K1755" s="78" t="str">
        <f>IFERROR(__xludf.DUMMYFUNCTION("""COMPUTED_VALUE"""),"www.munzee.com")</f>
        <v>www.munzee.com</v>
      </c>
      <c r="L1755" s="47" t="str">
        <f>IFERROR(__xludf.DUMMYFUNCTION("""COMPUTED_VALUE"""),"m")</f>
        <v>m</v>
      </c>
      <c r="M1755" s="47" t="str">
        <f>IFERROR(__xludf.DUMMYFUNCTION("""COMPUTED_VALUE"""),"TheFatCats")</f>
        <v>TheFatCats</v>
      </c>
    </row>
    <row r="1756">
      <c r="A1756" s="47" t="str">
        <f>IFERROR(__xludf.DUMMYFUNCTION("""COMPUTED_VALUE"""),"Virtual Raw Sienna")</f>
        <v>Virtual Raw Sienna</v>
      </c>
      <c r="B1756" s="47" t="str">
        <f>IFERROR(__xludf.DUMMYFUNCTION("""COMPUTED_VALUE"""),"KublaKhan")</f>
        <v>KublaKhan</v>
      </c>
      <c r="C1756" s="78" t="str">
        <f>IFERROR(__xludf.DUMMYFUNCTION("""COMPUTED_VALUE"""),"https://www.munzee.com/m/KublaKhan/782/")</f>
        <v>https://www.munzee.com/m/KublaKhan/782/</v>
      </c>
      <c r="D1756" s="47"/>
      <c r="E1756" s="47" t="b">
        <f>IFERROR(__xludf.DUMMYFUNCTION("""COMPUTED_VALUE"""),TRUE)</f>
        <v>1</v>
      </c>
      <c r="F1756" s="83" t="str">
        <f>IFERROR(__xludf.DUMMYFUNCTION("""COMPUTED_VALUE"""),"")</f>
        <v/>
      </c>
      <c r="G1756" s="47" t="str">
        <f>IFERROR(__xludf.DUMMYFUNCTION("""COMPUTED_VALUE"""),"")</f>
        <v/>
      </c>
      <c r="H1756" s="47"/>
      <c r="I1756" s="47">
        <f>IFERROR(__xludf.DUMMYFUNCTION("""COMPUTED_VALUE"""),2.0)</f>
        <v>2</v>
      </c>
      <c r="J1756" s="47" t="str">
        <f>IFERROR(__xludf.DUMMYFUNCTION("""COMPUTED_VALUE"""),"https:")</f>
        <v>https:</v>
      </c>
      <c r="K1756" s="78" t="str">
        <f>IFERROR(__xludf.DUMMYFUNCTION("""COMPUTED_VALUE"""),"www.munzee.com")</f>
        <v>www.munzee.com</v>
      </c>
      <c r="L1756" s="47" t="str">
        <f>IFERROR(__xludf.DUMMYFUNCTION("""COMPUTED_VALUE"""),"m")</f>
        <v>m</v>
      </c>
      <c r="M1756" s="47" t="str">
        <f>IFERROR(__xludf.DUMMYFUNCTION("""COMPUTED_VALUE"""),"KublaKhan")</f>
        <v>KublaKhan</v>
      </c>
    </row>
    <row r="1757">
      <c r="A1757" s="47" t="str">
        <f>IFERROR(__xludf.DUMMYFUNCTION("""COMPUTED_VALUE"""),"Virtual Brown")</f>
        <v>Virtual Brown</v>
      </c>
      <c r="B1757" s="47" t="str">
        <f>IFERROR(__xludf.DUMMYFUNCTION("""COMPUTED_VALUE"""),"TheFrog")</f>
        <v>TheFrog</v>
      </c>
      <c r="C1757" s="78" t="str">
        <f>IFERROR(__xludf.DUMMYFUNCTION("""COMPUTED_VALUE"""),"https://www.munzee.com/m/TheFrog/4758/")</f>
        <v>https://www.munzee.com/m/TheFrog/4758/</v>
      </c>
      <c r="D1757" s="47"/>
      <c r="E1757" s="47" t="b">
        <f>IFERROR(__xludf.DUMMYFUNCTION("""COMPUTED_VALUE"""),TRUE)</f>
        <v>1</v>
      </c>
      <c r="F1757" s="83" t="str">
        <f>IFERROR(__xludf.DUMMYFUNCTION("""COMPUTED_VALUE"""),"")</f>
        <v/>
      </c>
      <c r="G1757" s="47" t="str">
        <f>IFERROR(__xludf.DUMMYFUNCTION("""COMPUTED_VALUE"""),"")</f>
        <v/>
      </c>
      <c r="H1757" s="47"/>
      <c r="I1757" s="47">
        <f>IFERROR(__xludf.DUMMYFUNCTION("""COMPUTED_VALUE"""),2.0)</f>
        <v>2</v>
      </c>
      <c r="J1757" s="47" t="str">
        <f>IFERROR(__xludf.DUMMYFUNCTION("""COMPUTED_VALUE"""),"https:")</f>
        <v>https:</v>
      </c>
      <c r="K1757" s="78" t="str">
        <f>IFERROR(__xludf.DUMMYFUNCTION("""COMPUTED_VALUE"""),"www.munzee.com")</f>
        <v>www.munzee.com</v>
      </c>
      <c r="L1757" s="47" t="str">
        <f>IFERROR(__xludf.DUMMYFUNCTION("""COMPUTED_VALUE"""),"m")</f>
        <v>m</v>
      </c>
      <c r="M1757" s="47" t="str">
        <f>IFERROR(__xludf.DUMMYFUNCTION("""COMPUTED_VALUE"""),"TheFrog")</f>
        <v>TheFrog</v>
      </c>
    </row>
    <row r="1758">
      <c r="A1758" s="47" t="str">
        <f>IFERROR(__xludf.DUMMYFUNCTION("""COMPUTED_VALUE"""),"Virtual Brown")</f>
        <v>Virtual Brown</v>
      </c>
      <c r="B1758" s="47" t="str">
        <f>IFERROR(__xludf.DUMMYFUNCTION("""COMPUTED_VALUE"""),"123xilef")</f>
        <v>123xilef</v>
      </c>
      <c r="C1758" s="78" t="str">
        <f>IFERROR(__xludf.DUMMYFUNCTION("""COMPUTED_VALUE"""),"https://www.munzee.com/m/123xilef/8621/")</f>
        <v>https://www.munzee.com/m/123xilef/8621/</v>
      </c>
      <c r="D1758" s="47"/>
      <c r="E1758" s="47" t="b">
        <f>IFERROR(__xludf.DUMMYFUNCTION("""COMPUTED_VALUE"""),TRUE)</f>
        <v>1</v>
      </c>
      <c r="F1758" s="83" t="str">
        <f>IFERROR(__xludf.DUMMYFUNCTION("""COMPUTED_VALUE"""),"")</f>
        <v/>
      </c>
      <c r="G1758" s="47" t="str">
        <f>IFERROR(__xludf.DUMMYFUNCTION("""COMPUTED_VALUE"""),"")</f>
        <v/>
      </c>
      <c r="H1758" s="47"/>
      <c r="I1758" s="47">
        <f>IFERROR(__xludf.DUMMYFUNCTION("""COMPUTED_VALUE"""),2.0)</f>
        <v>2</v>
      </c>
      <c r="J1758" s="47" t="str">
        <f>IFERROR(__xludf.DUMMYFUNCTION("""COMPUTED_VALUE"""),"https:")</f>
        <v>https:</v>
      </c>
      <c r="K1758" s="78" t="str">
        <f>IFERROR(__xludf.DUMMYFUNCTION("""COMPUTED_VALUE"""),"www.munzee.com")</f>
        <v>www.munzee.com</v>
      </c>
      <c r="L1758" s="47" t="str">
        <f>IFERROR(__xludf.DUMMYFUNCTION("""COMPUTED_VALUE"""),"m")</f>
        <v>m</v>
      </c>
      <c r="M1758" s="47" t="str">
        <f>IFERROR(__xludf.DUMMYFUNCTION("""COMPUTED_VALUE"""),"123xilef")</f>
        <v>123xilef</v>
      </c>
    </row>
    <row r="1759">
      <c r="A1759" s="47" t="str">
        <f>IFERROR(__xludf.DUMMYFUNCTION("""COMPUTED_VALUE"""),"Virtual Raw Sienna")</f>
        <v>Virtual Raw Sienna</v>
      </c>
      <c r="B1759" s="47" t="str">
        <f>IFERROR(__xludf.DUMMYFUNCTION("""COMPUTED_VALUE"""),"FlatBlack")</f>
        <v>FlatBlack</v>
      </c>
      <c r="C1759" s="78" t="str">
        <f>IFERROR(__xludf.DUMMYFUNCTION("""COMPUTED_VALUE"""),"https://www.munzee.com/m/FlatBlack/696")</f>
        <v>https://www.munzee.com/m/FlatBlack/696</v>
      </c>
      <c r="D1759" s="47"/>
      <c r="E1759" s="47" t="b">
        <f>IFERROR(__xludf.DUMMYFUNCTION("""COMPUTED_VALUE"""),TRUE)</f>
        <v>1</v>
      </c>
      <c r="F1759" s="83" t="str">
        <f>IFERROR(__xludf.DUMMYFUNCTION("""COMPUTED_VALUE"""),"")</f>
        <v/>
      </c>
      <c r="G1759" s="47" t="str">
        <f>IFERROR(__xludf.DUMMYFUNCTION("""COMPUTED_VALUE"""),"")</f>
        <v/>
      </c>
      <c r="H1759" s="47"/>
      <c r="I1759" s="47">
        <f>IFERROR(__xludf.DUMMYFUNCTION("""COMPUTED_VALUE"""),2.0)</f>
        <v>2</v>
      </c>
      <c r="J1759" s="47" t="str">
        <f>IFERROR(__xludf.DUMMYFUNCTION("""COMPUTED_VALUE"""),"https:")</f>
        <v>https:</v>
      </c>
      <c r="K1759" s="78" t="str">
        <f>IFERROR(__xludf.DUMMYFUNCTION("""COMPUTED_VALUE"""),"www.munzee.com")</f>
        <v>www.munzee.com</v>
      </c>
      <c r="L1759" s="47" t="str">
        <f>IFERROR(__xludf.DUMMYFUNCTION("""COMPUTED_VALUE"""),"m")</f>
        <v>m</v>
      </c>
      <c r="M1759" s="47" t="str">
        <f>IFERROR(__xludf.DUMMYFUNCTION("""COMPUTED_VALUE"""),"FlatBlack")</f>
        <v>FlatBlack</v>
      </c>
    </row>
    <row r="1760">
      <c r="A1760" s="47" t="str">
        <f>IFERROR(__xludf.DUMMYFUNCTION("""COMPUTED_VALUE"""),"Virtual Brown")</f>
        <v>Virtual Brown</v>
      </c>
      <c r="B1760" s="47" t="str">
        <f>IFERROR(__xludf.DUMMYFUNCTION("""COMPUTED_VALUE"""),"Fossillady")</f>
        <v>Fossillady</v>
      </c>
      <c r="C1760" s="78" t="str">
        <f>IFERROR(__xludf.DUMMYFUNCTION("""COMPUTED_VALUE"""),"https://www.munzee.com/m/Fossillady/3524")</f>
        <v>https://www.munzee.com/m/Fossillady/3524</v>
      </c>
      <c r="D1760" s="47"/>
      <c r="E1760" s="47" t="b">
        <f>IFERROR(__xludf.DUMMYFUNCTION("""COMPUTED_VALUE"""),TRUE)</f>
        <v>1</v>
      </c>
      <c r="F1760" s="83" t="str">
        <f>IFERROR(__xludf.DUMMYFUNCTION("""COMPUTED_VALUE"""),"")</f>
        <v/>
      </c>
      <c r="G1760" s="47" t="str">
        <f>IFERROR(__xludf.DUMMYFUNCTION("""COMPUTED_VALUE"""),"")</f>
        <v/>
      </c>
      <c r="H1760" s="47"/>
      <c r="I1760" s="47">
        <f>IFERROR(__xludf.DUMMYFUNCTION("""COMPUTED_VALUE"""),2.0)</f>
        <v>2</v>
      </c>
      <c r="J1760" s="47" t="str">
        <f>IFERROR(__xludf.DUMMYFUNCTION("""COMPUTED_VALUE"""),"https:")</f>
        <v>https:</v>
      </c>
      <c r="K1760" s="78" t="str">
        <f>IFERROR(__xludf.DUMMYFUNCTION("""COMPUTED_VALUE"""),"www.munzee.com")</f>
        <v>www.munzee.com</v>
      </c>
      <c r="L1760" s="47" t="str">
        <f>IFERROR(__xludf.DUMMYFUNCTION("""COMPUTED_VALUE"""),"m")</f>
        <v>m</v>
      </c>
      <c r="M1760" s="47" t="str">
        <f>IFERROR(__xludf.DUMMYFUNCTION("""COMPUTED_VALUE"""),"Fossillady")</f>
        <v>Fossillady</v>
      </c>
    </row>
    <row r="1761">
      <c r="A1761" s="47" t="str">
        <f>IFERROR(__xludf.DUMMYFUNCTION("""COMPUTED_VALUE"""),"Virtual Brown")</f>
        <v>Virtual Brown</v>
      </c>
      <c r="B1761" s="47" t="str">
        <f>IFERROR(__xludf.DUMMYFUNCTION("""COMPUTED_VALUE"""),"WriteAndMane")</f>
        <v>WriteAndMane</v>
      </c>
      <c r="C1761" s="78" t="str">
        <f>IFERROR(__xludf.DUMMYFUNCTION("""COMPUTED_VALUE"""),"https://www.munzee.com/m/WriteAndMane/6449")</f>
        <v>https://www.munzee.com/m/WriteAndMane/6449</v>
      </c>
      <c r="D1761" s="47"/>
      <c r="E1761" s="47" t="b">
        <f>IFERROR(__xludf.DUMMYFUNCTION("""COMPUTED_VALUE"""),TRUE)</f>
        <v>1</v>
      </c>
      <c r="F1761" s="83" t="str">
        <f>IFERROR(__xludf.DUMMYFUNCTION("""COMPUTED_VALUE"""),"")</f>
        <v/>
      </c>
      <c r="G1761" s="47" t="str">
        <f>IFERROR(__xludf.DUMMYFUNCTION("""COMPUTED_VALUE"""),"")</f>
        <v/>
      </c>
      <c r="H1761" s="47"/>
      <c r="I1761" s="47">
        <f>IFERROR(__xludf.DUMMYFUNCTION("""COMPUTED_VALUE"""),2.0)</f>
        <v>2</v>
      </c>
      <c r="J1761" s="47" t="str">
        <f>IFERROR(__xludf.DUMMYFUNCTION("""COMPUTED_VALUE"""),"https:")</f>
        <v>https:</v>
      </c>
      <c r="K1761" s="78" t="str">
        <f>IFERROR(__xludf.DUMMYFUNCTION("""COMPUTED_VALUE"""),"www.munzee.com")</f>
        <v>www.munzee.com</v>
      </c>
      <c r="L1761" s="47" t="str">
        <f>IFERROR(__xludf.DUMMYFUNCTION("""COMPUTED_VALUE"""),"m")</f>
        <v>m</v>
      </c>
      <c r="M1761" s="47" t="str">
        <f>IFERROR(__xludf.DUMMYFUNCTION("""COMPUTED_VALUE"""),"WriteAndMane")</f>
        <v>WriteAndMane</v>
      </c>
    </row>
    <row r="1762">
      <c r="A1762" s="47" t="str">
        <f>IFERROR(__xludf.DUMMYFUNCTION("""COMPUTED_VALUE"""),"Virtual Brown")</f>
        <v>Virtual Brown</v>
      </c>
      <c r="B1762" s="47" t="str">
        <f>IFERROR(__xludf.DUMMYFUNCTION("""COMPUTED_VALUE"""),"TeamTazmina")</f>
        <v>TeamTazmina</v>
      </c>
      <c r="C1762" s="78" t="str">
        <f>IFERROR(__xludf.DUMMYFUNCTION("""COMPUTED_VALUE"""),"https://www.munzee.com/m/TeamTazmina/1324/")</f>
        <v>https://www.munzee.com/m/TeamTazmina/1324/</v>
      </c>
      <c r="D1762" s="47"/>
      <c r="E1762" s="47" t="b">
        <f>IFERROR(__xludf.DUMMYFUNCTION("""COMPUTED_VALUE"""),TRUE)</f>
        <v>1</v>
      </c>
      <c r="F1762" s="83" t="str">
        <f>IFERROR(__xludf.DUMMYFUNCTION("""COMPUTED_VALUE"""),"")</f>
        <v/>
      </c>
      <c r="G1762" s="47" t="str">
        <f>IFERROR(__xludf.DUMMYFUNCTION("""COMPUTED_VALUE"""),"")</f>
        <v/>
      </c>
      <c r="H1762" s="47"/>
      <c r="I1762" s="47">
        <f>IFERROR(__xludf.DUMMYFUNCTION("""COMPUTED_VALUE"""),2.0)</f>
        <v>2</v>
      </c>
      <c r="J1762" s="47" t="str">
        <f>IFERROR(__xludf.DUMMYFUNCTION("""COMPUTED_VALUE"""),"https:")</f>
        <v>https:</v>
      </c>
      <c r="K1762" s="78" t="str">
        <f>IFERROR(__xludf.DUMMYFUNCTION("""COMPUTED_VALUE"""),"www.munzee.com")</f>
        <v>www.munzee.com</v>
      </c>
      <c r="L1762" s="47" t="str">
        <f>IFERROR(__xludf.DUMMYFUNCTION("""COMPUTED_VALUE"""),"m")</f>
        <v>m</v>
      </c>
      <c r="M1762" s="47" t="str">
        <f>IFERROR(__xludf.DUMMYFUNCTION("""COMPUTED_VALUE"""),"TeamTazmina")</f>
        <v>TeamTazmina</v>
      </c>
    </row>
    <row r="1763">
      <c r="A1763" s="47" t="str">
        <f>IFERROR(__xludf.DUMMYFUNCTION("""COMPUTED_VALUE"""),"Virtual Brown")</f>
        <v>Virtual Brown</v>
      </c>
      <c r="B1763" s="47" t="str">
        <f>IFERROR(__xludf.DUMMYFUNCTION("""COMPUTED_VALUE"""),"WangoTango")</f>
        <v>WangoTango</v>
      </c>
      <c r="C1763" s="78" t="str">
        <f>IFERROR(__xludf.DUMMYFUNCTION("""COMPUTED_VALUE"""),"https://www.munzee.com/m/Wangotango/1667/")</f>
        <v>https://www.munzee.com/m/Wangotango/1667/</v>
      </c>
      <c r="D1763" s="47"/>
      <c r="E1763" s="47" t="b">
        <f>IFERROR(__xludf.DUMMYFUNCTION("""COMPUTED_VALUE"""),TRUE)</f>
        <v>1</v>
      </c>
      <c r="F1763" s="83" t="str">
        <f>IFERROR(__xludf.DUMMYFUNCTION("""COMPUTED_VALUE"""),"")</f>
        <v/>
      </c>
      <c r="G1763" s="47" t="str">
        <f>IFERROR(__xludf.DUMMYFUNCTION("""COMPUTED_VALUE"""),"")</f>
        <v/>
      </c>
      <c r="H1763" s="47"/>
      <c r="I1763" s="47">
        <f>IFERROR(__xludf.DUMMYFUNCTION("""COMPUTED_VALUE"""),2.0)</f>
        <v>2</v>
      </c>
      <c r="J1763" s="47" t="str">
        <f>IFERROR(__xludf.DUMMYFUNCTION("""COMPUTED_VALUE"""),"https:")</f>
        <v>https:</v>
      </c>
      <c r="K1763" s="78" t="str">
        <f>IFERROR(__xludf.DUMMYFUNCTION("""COMPUTED_VALUE"""),"www.munzee.com")</f>
        <v>www.munzee.com</v>
      </c>
      <c r="L1763" s="47" t="str">
        <f>IFERROR(__xludf.DUMMYFUNCTION("""COMPUTED_VALUE"""),"m")</f>
        <v>m</v>
      </c>
      <c r="M1763" s="47" t="str">
        <f>IFERROR(__xludf.DUMMYFUNCTION("""COMPUTED_VALUE"""),"Wangotango")</f>
        <v>Wangotango</v>
      </c>
    </row>
    <row r="1764">
      <c r="A1764" s="47" t="str">
        <f>IFERROR(__xludf.DUMMYFUNCTION("""COMPUTED_VALUE"""),"Virtual Brown")</f>
        <v>Virtual Brown</v>
      </c>
      <c r="B1764" s="47" t="str">
        <f>IFERROR(__xludf.DUMMYFUNCTION("""COMPUTED_VALUE"""),"Derlame ")</f>
        <v>Derlame </v>
      </c>
      <c r="C1764" s="78" t="str">
        <f>IFERROR(__xludf.DUMMYFUNCTION("""COMPUTED_VALUE"""),"https://www.munzee.com/m/Derlame/14917/")</f>
        <v>https://www.munzee.com/m/Derlame/14917/</v>
      </c>
      <c r="D1764" s="47"/>
      <c r="E1764" s="47" t="b">
        <f>IFERROR(__xludf.DUMMYFUNCTION("""COMPUTED_VALUE"""),TRUE)</f>
        <v>1</v>
      </c>
      <c r="F1764" s="83"/>
      <c r="G1764" s="47" t="str">
        <f>IFERROR(__xludf.DUMMYFUNCTION("""COMPUTED_VALUE"""),"")</f>
        <v/>
      </c>
      <c r="H1764" s="47"/>
      <c r="I1764" s="47">
        <f>IFERROR(__xludf.DUMMYFUNCTION("""COMPUTED_VALUE"""),2.0)</f>
        <v>2</v>
      </c>
      <c r="J1764" s="47" t="str">
        <f>IFERROR(__xludf.DUMMYFUNCTION("""COMPUTED_VALUE"""),"https:")</f>
        <v>https:</v>
      </c>
      <c r="K1764" s="78" t="str">
        <f>IFERROR(__xludf.DUMMYFUNCTION("""COMPUTED_VALUE"""),"www.munzee.com")</f>
        <v>www.munzee.com</v>
      </c>
      <c r="L1764" s="47" t="str">
        <f>IFERROR(__xludf.DUMMYFUNCTION("""COMPUTED_VALUE"""),"m")</f>
        <v>m</v>
      </c>
      <c r="M1764" s="47" t="str">
        <f>IFERROR(__xludf.DUMMYFUNCTION("""COMPUTED_VALUE"""),"Derlame")</f>
        <v>Derlame</v>
      </c>
    </row>
    <row r="1765">
      <c r="A1765" s="47" t="str">
        <f>IFERROR(__xludf.DUMMYFUNCTION("""COMPUTED_VALUE"""),"Virtual Brown")</f>
        <v>Virtual Brown</v>
      </c>
      <c r="B1765" s="47" t="str">
        <f>IFERROR(__xludf.DUMMYFUNCTION("""COMPUTED_VALUE"""),"dwyers5")</f>
        <v>dwyers5</v>
      </c>
      <c r="C1765" s="78" t="str">
        <f>IFERROR(__xludf.DUMMYFUNCTION("""COMPUTED_VALUE"""),"https://www.munzee.com/m/dwyers5/2575/")</f>
        <v>https://www.munzee.com/m/dwyers5/2575/</v>
      </c>
      <c r="D1765" s="47"/>
      <c r="E1765" s="47" t="b">
        <f>IFERROR(__xludf.DUMMYFUNCTION("""COMPUTED_VALUE"""),TRUE)</f>
        <v>1</v>
      </c>
      <c r="F1765" s="83" t="str">
        <f>IFERROR(__xludf.DUMMYFUNCTION("""COMPUTED_VALUE"""),"")</f>
        <v/>
      </c>
      <c r="G1765" s="47" t="str">
        <f>IFERROR(__xludf.DUMMYFUNCTION("""COMPUTED_VALUE"""),"")</f>
        <v/>
      </c>
      <c r="H1765" s="47"/>
      <c r="I1765" s="47">
        <f>IFERROR(__xludf.DUMMYFUNCTION("""COMPUTED_VALUE"""),2.0)</f>
        <v>2</v>
      </c>
      <c r="J1765" s="47" t="str">
        <f>IFERROR(__xludf.DUMMYFUNCTION("""COMPUTED_VALUE"""),"https:")</f>
        <v>https:</v>
      </c>
      <c r="K1765" s="78" t="str">
        <f>IFERROR(__xludf.DUMMYFUNCTION("""COMPUTED_VALUE"""),"www.munzee.com")</f>
        <v>www.munzee.com</v>
      </c>
      <c r="L1765" s="47" t="str">
        <f>IFERROR(__xludf.DUMMYFUNCTION("""COMPUTED_VALUE"""),"m")</f>
        <v>m</v>
      </c>
      <c r="M1765" s="47" t="str">
        <f>IFERROR(__xludf.DUMMYFUNCTION("""COMPUTED_VALUE"""),"dwyers5")</f>
        <v>dwyers5</v>
      </c>
    </row>
    <row r="1766">
      <c r="A1766" s="47" t="str">
        <f>IFERROR(__xludf.DUMMYFUNCTION("""COMPUTED_VALUE"""),"Virtual Raw Sienna")</f>
        <v>Virtual Raw Sienna</v>
      </c>
      <c r="B1766" s="47" t="str">
        <f>IFERROR(__xludf.DUMMYFUNCTION("""COMPUTED_VALUE"""),"habu")</f>
        <v>habu</v>
      </c>
      <c r="C1766" s="78" t="str">
        <f>IFERROR(__xludf.DUMMYFUNCTION("""COMPUTED_VALUE"""),"https://www.munzee.com/m/habu/11226/")</f>
        <v>https://www.munzee.com/m/habu/11226/</v>
      </c>
      <c r="D1766" s="47"/>
      <c r="E1766" s="47" t="b">
        <f>IFERROR(__xludf.DUMMYFUNCTION("""COMPUTED_VALUE"""),TRUE)</f>
        <v>1</v>
      </c>
      <c r="F1766" s="83" t="str">
        <f>IFERROR(__xludf.DUMMYFUNCTION("""COMPUTED_VALUE"""),"")</f>
        <v/>
      </c>
      <c r="G1766" s="47" t="str">
        <f>IFERROR(__xludf.DUMMYFUNCTION("""COMPUTED_VALUE"""),"")</f>
        <v/>
      </c>
      <c r="H1766" s="47"/>
      <c r="I1766" s="47">
        <f>IFERROR(__xludf.DUMMYFUNCTION("""COMPUTED_VALUE"""),2.0)</f>
        <v>2</v>
      </c>
      <c r="J1766" s="47" t="str">
        <f>IFERROR(__xludf.DUMMYFUNCTION("""COMPUTED_VALUE"""),"https:")</f>
        <v>https:</v>
      </c>
      <c r="K1766" s="78" t="str">
        <f>IFERROR(__xludf.DUMMYFUNCTION("""COMPUTED_VALUE"""),"www.munzee.com")</f>
        <v>www.munzee.com</v>
      </c>
      <c r="L1766" s="47" t="str">
        <f>IFERROR(__xludf.DUMMYFUNCTION("""COMPUTED_VALUE"""),"m")</f>
        <v>m</v>
      </c>
      <c r="M1766" s="47" t="str">
        <f>IFERROR(__xludf.DUMMYFUNCTION("""COMPUTED_VALUE"""),"habu")</f>
        <v>habu</v>
      </c>
    </row>
    <row r="1767">
      <c r="A1767" s="47" t="str">
        <f>IFERROR(__xludf.DUMMYFUNCTION("""COMPUTED_VALUE"""),"Virtual Raw Sienna")</f>
        <v>Virtual Raw Sienna</v>
      </c>
      <c r="B1767" s="47" t="str">
        <f>IFERROR(__xludf.DUMMYFUNCTION("""COMPUTED_VALUE"""),"mrsg9064")</f>
        <v>mrsg9064</v>
      </c>
      <c r="C1767" s="78" t="str">
        <f>IFERROR(__xludf.DUMMYFUNCTION("""COMPUTED_VALUE"""),"https://www.munzee.com/m/mrsg9064/8547/")</f>
        <v>https://www.munzee.com/m/mrsg9064/8547/</v>
      </c>
      <c r="D1767" s="47"/>
      <c r="E1767" s="47" t="b">
        <f>IFERROR(__xludf.DUMMYFUNCTION("""COMPUTED_VALUE"""),TRUE)</f>
        <v>1</v>
      </c>
      <c r="F1767" s="83" t="str">
        <f>IFERROR(__xludf.DUMMYFUNCTION("""COMPUTED_VALUE"""),"")</f>
        <v/>
      </c>
      <c r="G1767" s="47" t="str">
        <f>IFERROR(__xludf.DUMMYFUNCTION("""COMPUTED_VALUE"""),"")</f>
        <v/>
      </c>
      <c r="H1767" s="47"/>
      <c r="I1767" s="47">
        <f>IFERROR(__xludf.DUMMYFUNCTION("""COMPUTED_VALUE"""),2.0)</f>
        <v>2</v>
      </c>
      <c r="J1767" s="47" t="str">
        <f>IFERROR(__xludf.DUMMYFUNCTION("""COMPUTED_VALUE"""),"https:")</f>
        <v>https:</v>
      </c>
      <c r="K1767" s="78" t="str">
        <f>IFERROR(__xludf.DUMMYFUNCTION("""COMPUTED_VALUE"""),"www.munzee.com")</f>
        <v>www.munzee.com</v>
      </c>
      <c r="L1767" s="47" t="str">
        <f>IFERROR(__xludf.DUMMYFUNCTION("""COMPUTED_VALUE"""),"m")</f>
        <v>m</v>
      </c>
      <c r="M1767" s="47" t="str">
        <f>IFERROR(__xludf.DUMMYFUNCTION("""COMPUTED_VALUE"""),"mrsg9064")</f>
        <v>mrsg9064</v>
      </c>
    </row>
    <row r="1768">
      <c r="A1768" s="47" t="str">
        <f>IFERROR(__xludf.DUMMYFUNCTION("""COMPUTED_VALUE"""),"Virtual Brown")</f>
        <v>Virtual Brown</v>
      </c>
      <c r="B1768" s="47" t="str">
        <f>IFERROR(__xludf.DUMMYFUNCTION("""COMPUTED_VALUE"""),"xrayneex")</f>
        <v>xrayneex</v>
      </c>
      <c r="C1768" s="78" t="str">
        <f>IFERROR(__xludf.DUMMYFUNCTION("""COMPUTED_VALUE"""),"https://www.munzee.com/m/xrayneex/1822/")</f>
        <v>https://www.munzee.com/m/xrayneex/1822/</v>
      </c>
      <c r="D1768" s="47"/>
      <c r="E1768" s="47" t="b">
        <f>IFERROR(__xludf.DUMMYFUNCTION("""COMPUTED_VALUE"""),TRUE)</f>
        <v>1</v>
      </c>
      <c r="F1768" s="83" t="str">
        <f>IFERROR(__xludf.DUMMYFUNCTION("""COMPUTED_VALUE"""),"")</f>
        <v/>
      </c>
      <c r="G1768" s="47" t="str">
        <f>IFERROR(__xludf.DUMMYFUNCTION("""COMPUTED_VALUE"""),"")</f>
        <v/>
      </c>
      <c r="H1768" s="47"/>
      <c r="I1768" s="47">
        <f>IFERROR(__xludf.DUMMYFUNCTION("""COMPUTED_VALUE"""),2.0)</f>
        <v>2</v>
      </c>
      <c r="J1768" s="47" t="str">
        <f>IFERROR(__xludf.DUMMYFUNCTION("""COMPUTED_VALUE"""),"https:")</f>
        <v>https:</v>
      </c>
      <c r="K1768" s="78" t="str">
        <f>IFERROR(__xludf.DUMMYFUNCTION("""COMPUTED_VALUE"""),"www.munzee.com")</f>
        <v>www.munzee.com</v>
      </c>
      <c r="L1768" s="47" t="str">
        <f>IFERROR(__xludf.DUMMYFUNCTION("""COMPUTED_VALUE"""),"m")</f>
        <v>m</v>
      </c>
      <c r="M1768" s="47" t="str">
        <f>IFERROR(__xludf.DUMMYFUNCTION("""COMPUTED_VALUE"""),"xrayneex")</f>
        <v>xrayneex</v>
      </c>
    </row>
    <row r="1769">
      <c r="A1769" s="47" t="str">
        <f>IFERROR(__xludf.DUMMYFUNCTION("""COMPUTED_VALUE"""),"Virtual Brown")</f>
        <v>Virtual Brown</v>
      </c>
      <c r="B1769" s="47" t="str">
        <f>IFERROR(__xludf.DUMMYFUNCTION("""COMPUTED_VALUE"""),"raunas")</f>
        <v>raunas</v>
      </c>
      <c r="C1769" s="78" t="str">
        <f>IFERROR(__xludf.DUMMYFUNCTION("""COMPUTED_VALUE"""),"https://www.munzee.com/m/raunas/12597")</f>
        <v>https://www.munzee.com/m/raunas/12597</v>
      </c>
      <c r="D1769" s="47"/>
      <c r="E1769" s="47" t="b">
        <f>IFERROR(__xludf.DUMMYFUNCTION("""COMPUTED_VALUE"""),TRUE)</f>
        <v>1</v>
      </c>
      <c r="F1769" s="47"/>
      <c r="G1769" s="47" t="str">
        <f>IFERROR(__xludf.DUMMYFUNCTION("""COMPUTED_VALUE"""),"")</f>
        <v/>
      </c>
      <c r="H1769" s="47"/>
      <c r="I1769" s="47">
        <f>IFERROR(__xludf.DUMMYFUNCTION("""COMPUTED_VALUE"""),2.0)</f>
        <v>2</v>
      </c>
      <c r="J1769" s="47" t="str">
        <f>IFERROR(__xludf.DUMMYFUNCTION("""COMPUTED_VALUE"""),"https:")</f>
        <v>https:</v>
      </c>
      <c r="K1769" s="78" t="str">
        <f>IFERROR(__xludf.DUMMYFUNCTION("""COMPUTED_VALUE"""),"www.munzee.com")</f>
        <v>www.munzee.com</v>
      </c>
      <c r="L1769" s="47" t="str">
        <f>IFERROR(__xludf.DUMMYFUNCTION("""COMPUTED_VALUE"""),"m")</f>
        <v>m</v>
      </c>
      <c r="M1769" s="47" t="str">
        <f>IFERROR(__xludf.DUMMYFUNCTION("""COMPUTED_VALUE"""),"raunas")</f>
        <v>raunas</v>
      </c>
    </row>
    <row r="1770">
      <c r="A1770" s="47" t="str">
        <f>IFERROR(__xludf.DUMMYFUNCTION("""COMPUTED_VALUE"""),"Virtual Brown")</f>
        <v>Virtual Brown</v>
      </c>
      <c r="B1770" s="47" t="str">
        <f>IFERROR(__xludf.DUMMYFUNCTION("""COMPUTED_VALUE"""),"sverlaan")</f>
        <v>sverlaan</v>
      </c>
      <c r="C1770" s="78" t="str">
        <f>IFERROR(__xludf.DUMMYFUNCTION("""COMPUTED_VALUE"""),"https://www.munzee.com/m/sverlaan/6279/")</f>
        <v>https://www.munzee.com/m/sverlaan/6279/</v>
      </c>
      <c r="D1770" s="47"/>
      <c r="E1770" s="47" t="b">
        <f>IFERROR(__xludf.DUMMYFUNCTION("""COMPUTED_VALUE"""),TRUE)</f>
        <v>1</v>
      </c>
      <c r="F1770" s="47"/>
      <c r="G1770" s="47" t="str">
        <f>IFERROR(__xludf.DUMMYFUNCTION("""COMPUTED_VALUE"""),"")</f>
        <v/>
      </c>
      <c r="H1770" s="47"/>
      <c r="I1770" s="47">
        <f>IFERROR(__xludf.DUMMYFUNCTION("""COMPUTED_VALUE"""),2.0)</f>
        <v>2</v>
      </c>
      <c r="J1770" s="47" t="str">
        <f>IFERROR(__xludf.DUMMYFUNCTION("""COMPUTED_VALUE"""),"https:")</f>
        <v>https:</v>
      </c>
      <c r="K1770" s="78" t="str">
        <f>IFERROR(__xludf.DUMMYFUNCTION("""COMPUTED_VALUE"""),"www.munzee.com")</f>
        <v>www.munzee.com</v>
      </c>
      <c r="L1770" s="47" t="str">
        <f>IFERROR(__xludf.DUMMYFUNCTION("""COMPUTED_VALUE"""),"m")</f>
        <v>m</v>
      </c>
      <c r="M1770" s="47" t="str">
        <f>IFERROR(__xludf.DUMMYFUNCTION("""COMPUTED_VALUE"""),"sverlaan")</f>
        <v>sverlaan</v>
      </c>
    </row>
    <row r="1771">
      <c r="A1771" s="47" t="str">
        <f>IFERROR(__xludf.DUMMYFUNCTION("""COMPUTED_VALUE"""),"Virtual Raw Sienna")</f>
        <v>Virtual Raw Sienna</v>
      </c>
      <c r="B1771" s="47" t="str">
        <f>IFERROR(__xludf.DUMMYFUNCTION("""COMPUTED_VALUE"""),"pawpatrolthomas")</f>
        <v>pawpatrolthomas</v>
      </c>
      <c r="C1771" s="78" t="str">
        <f>IFERROR(__xludf.DUMMYFUNCTION("""COMPUTED_VALUE"""),"https://www.munzee.com/m/PawPatrolThomas/4209/")</f>
        <v>https://www.munzee.com/m/PawPatrolThomas/4209/</v>
      </c>
      <c r="D1771" s="47"/>
      <c r="E1771" s="47" t="b">
        <f>IFERROR(__xludf.DUMMYFUNCTION("""COMPUTED_VALUE"""),TRUE)</f>
        <v>1</v>
      </c>
      <c r="F1771" s="47" t="str">
        <f>IFERROR(__xludf.DUMMYFUNCTION("""COMPUTED_VALUE"""),"")</f>
        <v/>
      </c>
      <c r="G1771" s="47" t="str">
        <f>IFERROR(__xludf.DUMMYFUNCTION("""COMPUTED_VALUE"""),"")</f>
        <v/>
      </c>
      <c r="H1771" s="47"/>
      <c r="I1771" s="47">
        <f>IFERROR(__xludf.DUMMYFUNCTION("""COMPUTED_VALUE"""),2.0)</f>
        <v>2</v>
      </c>
      <c r="J1771" s="47" t="str">
        <f>IFERROR(__xludf.DUMMYFUNCTION("""COMPUTED_VALUE"""),"https:")</f>
        <v>https:</v>
      </c>
      <c r="K1771" s="78" t="str">
        <f>IFERROR(__xludf.DUMMYFUNCTION("""COMPUTED_VALUE"""),"www.munzee.com")</f>
        <v>www.munzee.com</v>
      </c>
      <c r="L1771" s="47" t="str">
        <f>IFERROR(__xludf.DUMMYFUNCTION("""COMPUTED_VALUE"""),"m")</f>
        <v>m</v>
      </c>
      <c r="M1771" s="47" t="str">
        <f>IFERROR(__xludf.DUMMYFUNCTION("""COMPUTED_VALUE"""),"PawPatrolThomas")</f>
        <v>PawPatrolThomas</v>
      </c>
    </row>
    <row r="1772">
      <c r="A1772" s="47" t="str">
        <f>IFERROR(__xludf.DUMMYFUNCTION("""COMPUTED_VALUE"""),"Virtual Raw Sienna")</f>
        <v>Virtual Raw Sienna</v>
      </c>
      <c r="B1772" s="47" t="str">
        <f>IFERROR(__xludf.DUMMYFUNCTION("""COMPUTED_VALUE"""),"emilep68")</f>
        <v>emilep68</v>
      </c>
      <c r="C1772" s="78" t="str">
        <f>IFERROR(__xludf.DUMMYFUNCTION("""COMPUTED_VALUE"""),"https://www.munzee.com/m/EmileP68/5027/")</f>
        <v>https://www.munzee.com/m/EmileP68/5027/</v>
      </c>
      <c r="D1772" s="47"/>
      <c r="E1772" s="47" t="b">
        <f>IFERROR(__xludf.DUMMYFUNCTION("""COMPUTED_VALUE"""),TRUE)</f>
        <v>1</v>
      </c>
      <c r="F1772" s="47" t="str">
        <f>IFERROR(__xludf.DUMMYFUNCTION("""COMPUTED_VALUE"""),"")</f>
        <v/>
      </c>
      <c r="G1772" s="47" t="str">
        <f>IFERROR(__xludf.DUMMYFUNCTION("""COMPUTED_VALUE"""),"")</f>
        <v/>
      </c>
      <c r="H1772" s="47"/>
      <c r="I1772" s="47">
        <f>IFERROR(__xludf.DUMMYFUNCTION("""COMPUTED_VALUE"""),2.0)</f>
        <v>2</v>
      </c>
      <c r="J1772" s="47" t="str">
        <f>IFERROR(__xludf.DUMMYFUNCTION("""COMPUTED_VALUE"""),"https:")</f>
        <v>https:</v>
      </c>
      <c r="K1772" s="78" t="str">
        <f>IFERROR(__xludf.DUMMYFUNCTION("""COMPUTED_VALUE"""),"www.munzee.com")</f>
        <v>www.munzee.com</v>
      </c>
      <c r="L1772" s="47" t="str">
        <f>IFERROR(__xludf.DUMMYFUNCTION("""COMPUTED_VALUE"""),"m")</f>
        <v>m</v>
      </c>
      <c r="M1772" s="47" t="str">
        <f>IFERROR(__xludf.DUMMYFUNCTION("""COMPUTED_VALUE"""),"EmileP68")</f>
        <v>EmileP68</v>
      </c>
    </row>
    <row r="1773">
      <c r="A1773" s="47" t="str">
        <f>IFERROR(__xludf.DUMMYFUNCTION("""COMPUTED_VALUE"""),"Virtual Brown")</f>
        <v>Virtual Brown</v>
      </c>
      <c r="B1773" s="47" t="str">
        <f>IFERROR(__xludf.DUMMYFUNCTION("""COMPUTED_VALUE"""),"BrotherWilliam")</f>
        <v>BrotherWilliam</v>
      </c>
      <c r="C1773" s="78" t="str">
        <f>IFERROR(__xludf.DUMMYFUNCTION("""COMPUTED_VALUE"""),"https://www.munzee.com/m/BrotherWilliam/5258/")</f>
        <v>https://www.munzee.com/m/BrotherWilliam/5258/</v>
      </c>
      <c r="D1773" s="47"/>
      <c r="E1773" s="47" t="b">
        <f>IFERROR(__xludf.DUMMYFUNCTION("""COMPUTED_VALUE"""),TRUE)</f>
        <v>1</v>
      </c>
      <c r="F1773" s="47" t="str">
        <f>IFERROR(__xludf.DUMMYFUNCTION("""COMPUTED_VALUE"""),"")</f>
        <v/>
      </c>
      <c r="G1773" s="47" t="str">
        <f>IFERROR(__xludf.DUMMYFUNCTION("""COMPUTED_VALUE"""),"")</f>
        <v/>
      </c>
      <c r="H1773" s="47"/>
      <c r="I1773" s="47">
        <f>IFERROR(__xludf.DUMMYFUNCTION("""COMPUTED_VALUE"""),2.0)</f>
        <v>2</v>
      </c>
      <c r="J1773" s="47" t="str">
        <f>IFERROR(__xludf.DUMMYFUNCTION("""COMPUTED_VALUE"""),"https:")</f>
        <v>https:</v>
      </c>
      <c r="K1773" s="78" t="str">
        <f>IFERROR(__xludf.DUMMYFUNCTION("""COMPUTED_VALUE"""),"www.munzee.com")</f>
        <v>www.munzee.com</v>
      </c>
      <c r="L1773" s="47" t="str">
        <f>IFERROR(__xludf.DUMMYFUNCTION("""COMPUTED_VALUE"""),"m")</f>
        <v>m</v>
      </c>
      <c r="M1773" s="47" t="str">
        <f>IFERROR(__xludf.DUMMYFUNCTION("""COMPUTED_VALUE"""),"BrotherWilliam")</f>
        <v>BrotherWilliam</v>
      </c>
    </row>
    <row r="1774">
      <c r="A1774" s="47" t="str">
        <f>IFERROR(__xludf.DUMMYFUNCTION("""COMPUTED_VALUE"""),"Virtual Brown")</f>
        <v>Virtual Brown</v>
      </c>
      <c r="B1774" s="47" t="str">
        <f>IFERROR(__xludf.DUMMYFUNCTION("""COMPUTED_VALUE"""),"ArtofEco")</f>
        <v>ArtofEco</v>
      </c>
      <c r="C1774" s="78" t="str">
        <f>IFERROR(__xludf.DUMMYFUNCTION("""COMPUTED_VALUE"""),"https://www.munzee.com/m/ArtofEco/3589/")</f>
        <v>https://www.munzee.com/m/ArtofEco/3589/</v>
      </c>
      <c r="D1774" s="47"/>
      <c r="E1774" s="47" t="b">
        <f>IFERROR(__xludf.DUMMYFUNCTION("""COMPUTED_VALUE"""),TRUE)</f>
        <v>1</v>
      </c>
      <c r="F1774" s="47" t="str">
        <f>IFERROR(__xludf.DUMMYFUNCTION("""COMPUTED_VALUE"""),"")</f>
        <v/>
      </c>
      <c r="G1774" s="47" t="str">
        <f>IFERROR(__xludf.DUMMYFUNCTION("""COMPUTED_VALUE"""),"")</f>
        <v/>
      </c>
      <c r="H1774" s="47"/>
      <c r="I1774" s="47">
        <f>IFERROR(__xludf.DUMMYFUNCTION("""COMPUTED_VALUE"""),2.0)</f>
        <v>2</v>
      </c>
      <c r="J1774" s="47" t="str">
        <f>IFERROR(__xludf.DUMMYFUNCTION("""COMPUTED_VALUE"""),"https:")</f>
        <v>https:</v>
      </c>
      <c r="K1774" s="78" t="str">
        <f>IFERROR(__xludf.DUMMYFUNCTION("""COMPUTED_VALUE"""),"www.munzee.com")</f>
        <v>www.munzee.com</v>
      </c>
      <c r="L1774" s="47" t="str">
        <f>IFERROR(__xludf.DUMMYFUNCTION("""COMPUTED_VALUE"""),"m")</f>
        <v>m</v>
      </c>
      <c r="M1774" s="47" t="str">
        <f>IFERROR(__xludf.DUMMYFUNCTION("""COMPUTED_VALUE"""),"ArtofEco")</f>
        <v>ArtofEco</v>
      </c>
    </row>
    <row r="1775">
      <c r="A1775" s="47" t="str">
        <f>IFERROR(__xludf.DUMMYFUNCTION("""COMPUTED_VALUE"""),"Virtual Brown")</f>
        <v>Virtual Brown</v>
      </c>
      <c r="B1775" s="47" t="str">
        <f>IFERROR(__xludf.DUMMYFUNCTION("""COMPUTED_VALUE"""),"J1Huisman")</f>
        <v>J1Huisman</v>
      </c>
      <c r="C1775" s="78" t="str">
        <f>IFERROR(__xludf.DUMMYFUNCTION("""COMPUTED_VALUE"""),"https://www.munzee.com/m/J1Huisman/13013/")</f>
        <v>https://www.munzee.com/m/J1Huisman/13013/</v>
      </c>
      <c r="D1775" s="47"/>
      <c r="E1775" s="47" t="b">
        <f>IFERROR(__xludf.DUMMYFUNCTION("""COMPUTED_VALUE"""),TRUE)</f>
        <v>1</v>
      </c>
      <c r="F1775" s="47" t="str">
        <f>IFERROR(__xludf.DUMMYFUNCTION("""COMPUTED_VALUE"""),"")</f>
        <v/>
      </c>
      <c r="G1775" s="47" t="str">
        <f>IFERROR(__xludf.DUMMYFUNCTION("""COMPUTED_VALUE"""),"")</f>
        <v/>
      </c>
      <c r="H1775" s="47"/>
      <c r="I1775" s="47">
        <f>IFERROR(__xludf.DUMMYFUNCTION("""COMPUTED_VALUE"""),2.0)</f>
        <v>2</v>
      </c>
      <c r="J1775" s="47" t="str">
        <f>IFERROR(__xludf.DUMMYFUNCTION("""COMPUTED_VALUE"""),"https:")</f>
        <v>https:</v>
      </c>
      <c r="K1775" s="78" t="str">
        <f>IFERROR(__xludf.DUMMYFUNCTION("""COMPUTED_VALUE"""),"www.munzee.com")</f>
        <v>www.munzee.com</v>
      </c>
      <c r="L1775" s="47" t="str">
        <f>IFERROR(__xludf.DUMMYFUNCTION("""COMPUTED_VALUE"""),"m")</f>
        <v>m</v>
      </c>
      <c r="M1775" s="47" t="str">
        <f>IFERROR(__xludf.DUMMYFUNCTION("""COMPUTED_VALUE"""),"J1Huisman")</f>
        <v>J1Huisman</v>
      </c>
    </row>
    <row r="1776">
      <c r="A1776" s="47" t="str">
        <f>IFERROR(__xludf.DUMMYFUNCTION("""COMPUTED_VALUE"""),"Virtual Raw Sienna")</f>
        <v>Virtual Raw Sienna</v>
      </c>
      <c r="B1776" s="47" t="str">
        <f>IFERROR(__xludf.DUMMYFUNCTION("""COMPUTED_VALUE"""),"fsafranek")</f>
        <v>fsafranek</v>
      </c>
      <c r="C1776" s="78" t="str">
        <f>IFERROR(__xludf.DUMMYFUNCTION("""COMPUTED_VALUE"""),"https://www.munzee.com/m/fsafranek/5489/")</f>
        <v>https://www.munzee.com/m/fsafranek/5489/</v>
      </c>
      <c r="D1776" s="47"/>
      <c r="E1776" s="47" t="b">
        <f>IFERROR(__xludf.DUMMYFUNCTION("""COMPUTED_VALUE"""),TRUE)</f>
        <v>1</v>
      </c>
      <c r="F1776" s="47" t="str">
        <f>IFERROR(__xludf.DUMMYFUNCTION("""COMPUTED_VALUE"""),"")</f>
        <v/>
      </c>
      <c r="G1776" s="47" t="str">
        <f>IFERROR(__xludf.DUMMYFUNCTION("""COMPUTED_VALUE"""),"")</f>
        <v/>
      </c>
      <c r="H1776" s="47"/>
      <c r="I1776" s="47">
        <f>IFERROR(__xludf.DUMMYFUNCTION("""COMPUTED_VALUE"""),2.0)</f>
        <v>2</v>
      </c>
      <c r="J1776" s="47" t="str">
        <f>IFERROR(__xludf.DUMMYFUNCTION("""COMPUTED_VALUE"""),"https:")</f>
        <v>https:</v>
      </c>
      <c r="K1776" s="78" t="str">
        <f>IFERROR(__xludf.DUMMYFUNCTION("""COMPUTED_VALUE"""),"www.munzee.com")</f>
        <v>www.munzee.com</v>
      </c>
      <c r="L1776" s="47" t="str">
        <f>IFERROR(__xludf.DUMMYFUNCTION("""COMPUTED_VALUE"""),"m")</f>
        <v>m</v>
      </c>
      <c r="M1776" s="47" t="str">
        <f>IFERROR(__xludf.DUMMYFUNCTION("""COMPUTED_VALUE"""),"fsafranek")</f>
        <v>fsafranek</v>
      </c>
    </row>
    <row r="1777">
      <c r="A1777" s="47" t="str">
        <f>IFERROR(__xludf.DUMMYFUNCTION("""COMPUTED_VALUE"""),"Virtual Brown")</f>
        <v>Virtual Brown</v>
      </c>
      <c r="B1777" s="47" t="str">
        <f>IFERROR(__xludf.DUMMYFUNCTION("""COMPUTED_VALUE"""),"Ellesche")</f>
        <v>Ellesche</v>
      </c>
      <c r="C1777" s="78" t="str">
        <f>IFERROR(__xludf.DUMMYFUNCTION("""COMPUTED_VALUE"""),"https://www.munzee.com/m/Ellesche/811/")</f>
        <v>https://www.munzee.com/m/Ellesche/811/</v>
      </c>
      <c r="D1777" s="47"/>
      <c r="E1777" s="47" t="b">
        <f>IFERROR(__xludf.DUMMYFUNCTION("""COMPUTED_VALUE"""),TRUE)</f>
        <v>1</v>
      </c>
      <c r="F1777" s="47" t="str">
        <f>IFERROR(__xludf.DUMMYFUNCTION("""COMPUTED_VALUE"""),"")</f>
        <v/>
      </c>
      <c r="G1777" s="47" t="str">
        <f>IFERROR(__xludf.DUMMYFUNCTION("""COMPUTED_VALUE"""),"")</f>
        <v/>
      </c>
      <c r="H1777" s="47"/>
      <c r="I1777" s="47">
        <f>IFERROR(__xludf.DUMMYFUNCTION("""COMPUTED_VALUE"""),2.0)</f>
        <v>2</v>
      </c>
      <c r="J1777" s="47" t="str">
        <f>IFERROR(__xludf.DUMMYFUNCTION("""COMPUTED_VALUE"""),"https:")</f>
        <v>https:</v>
      </c>
      <c r="K1777" s="78" t="str">
        <f>IFERROR(__xludf.DUMMYFUNCTION("""COMPUTED_VALUE"""),"www.munzee.com")</f>
        <v>www.munzee.com</v>
      </c>
      <c r="L1777" s="47" t="str">
        <f>IFERROR(__xludf.DUMMYFUNCTION("""COMPUTED_VALUE"""),"m")</f>
        <v>m</v>
      </c>
      <c r="M1777" s="47" t="str">
        <f>IFERROR(__xludf.DUMMYFUNCTION("""COMPUTED_VALUE"""),"Ellesche")</f>
        <v>Ellesche</v>
      </c>
    </row>
    <row r="1778">
      <c r="A1778" s="47" t="str">
        <f>IFERROR(__xludf.DUMMYFUNCTION("""COMPUTED_VALUE"""),"Virtual Brown")</f>
        <v>Virtual Brown</v>
      </c>
      <c r="B1778" s="47" t="str">
        <f>IFERROR(__xludf.DUMMYFUNCTION("""COMPUTED_VALUE"""),"xrayneex")</f>
        <v>xrayneex</v>
      </c>
      <c r="C1778" s="78" t="str">
        <f>IFERROR(__xludf.DUMMYFUNCTION("""COMPUTED_VALUE"""),"https://www.munzee.com/m/xrayneex/2645/")</f>
        <v>https://www.munzee.com/m/xrayneex/2645/</v>
      </c>
      <c r="D1778" s="47"/>
      <c r="E1778" s="47" t="b">
        <f>IFERROR(__xludf.DUMMYFUNCTION("""COMPUTED_VALUE"""),TRUE)</f>
        <v>1</v>
      </c>
      <c r="F1778" s="47" t="str">
        <f>IFERROR(__xludf.DUMMYFUNCTION("""COMPUTED_VALUE"""),"")</f>
        <v/>
      </c>
      <c r="G1778" s="47" t="str">
        <f>IFERROR(__xludf.DUMMYFUNCTION("""COMPUTED_VALUE"""),"")</f>
        <v/>
      </c>
      <c r="H1778" s="47"/>
      <c r="I1778" s="47">
        <f>IFERROR(__xludf.DUMMYFUNCTION("""COMPUTED_VALUE"""),2.0)</f>
        <v>2</v>
      </c>
      <c r="J1778" s="47" t="str">
        <f>IFERROR(__xludf.DUMMYFUNCTION("""COMPUTED_VALUE"""),"https:")</f>
        <v>https:</v>
      </c>
      <c r="K1778" s="78" t="str">
        <f>IFERROR(__xludf.DUMMYFUNCTION("""COMPUTED_VALUE"""),"www.munzee.com")</f>
        <v>www.munzee.com</v>
      </c>
      <c r="L1778" s="47" t="str">
        <f>IFERROR(__xludf.DUMMYFUNCTION("""COMPUTED_VALUE"""),"m")</f>
        <v>m</v>
      </c>
      <c r="M1778" s="47" t="str">
        <f>IFERROR(__xludf.DUMMYFUNCTION("""COMPUTED_VALUE"""),"xrayneex")</f>
        <v>xrayneex</v>
      </c>
    </row>
    <row r="1779">
      <c r="A1779" s="47" t="str">
        <f>IFERROR(__xludf.DUMMYFUNCTION("""COMPUTED_VALUE"""),"Virtual Brown")</f>
        <v>Virtual Brown</v>
      </c>
      <c r="B1779" s="47" t="str">
        <f>IFERROR(__xludf.DUMMYFUNCTION("""COMPUTED_VALUE"""),"res2100")</f>
        <v>res2100</v>
      </c>
      <c r="C1779" s="78" t="str">
        <f>IFERROR(__xludf.DUMMYFUNCTION("""COMPUTED_VALUE"""),"https://www.munzee.com/m/res2100/845")</f>
        <v>https://www.munzee.com/m/res2100/845</v>
      </c>
      <c r="D1779" s="47"/>
      <c r="E1779" s="47" t="b">
        <f>IFERROR(__xludf.DUMMYFUNCTION("""COMPUTED_VALUE"""),TRUE)</f>
        <v>1</v>
      </c>
      <c r="F1779" s="47" t="str">
        <f>IFERROR(__xludf.DUMMYFUNCTION("""COMPUTED_VALUE"""),"")</f>
        <v/>
      </c>
      <c r="G1779" s="47" t="str">
        <f>IFERROR(__xludf.DUMMYFUNCTION("""COMPUTED_VALUE"""),"")</f>
        <v/>
      </c>
      <c r="H1779" s="47"/>
      <c r="I1779" s="47">
        <f>IFERROR(__xludf.DUMMYFUNCTION("""COMPUTED_VALUE"""),2.0)</f>
        <v>2</v>
      </c>
      <c r="J1779" s="47" t="str">
        <f>IFERROR(__xludf.DUMMYFUNCTION("""COMPUTED_VALUE"""),"https:")</f>
        <v>https:</v>
      </c>
      <c r="K1779" s="78" t="str">
        <f>IFERROR(__xludf.DUMMYFUNCTION("""COMPUTED_VALUE"""),"www.munzee.com")</f>
        <v>www.munzee.com</v>
      </c>
      <c r="L1779" s="47" t="str">
        <f>IFERROR(__xludf.DUMMYFUNCTION("""COMPUTED_VALUE"""),"m")</f>
        <v>m</v>
      </c>
      <c r="M1779" s="47" t="str">
        <f>IFERROR(__xludf.DUMMYFUNCTION("""COMPUTED_VALUE"""),"res2100")</f>
        <v>res2100</v>
      </c>
    </row>
    <row r="1780">
      <c r="A1780" s="47" t="str">
        <f>IFERROR(__xludf.DUMMYFUNCTION("""COMPUTED_VALUE"""),"Virtual Brown")</f>
        <v>Virtual Brown</v>
      </c>
      <c r="B1780" s="47" t="str">
        <f>IFERROR(__xludf.DUMMYFUNCTION("""COMPUTED_VALUE"""),"Drazoria")</f>
        <v>Drazoria</v>
      </c>
      <c r="C1780" s="78" t="str">
        <f>IFERROR(__xludf.DUMMYFUNCTION("""COMPUTED_VALUE"""),"https://www.munzee.com/m/Drazoria/1687/")</f>
        <v>https://www.munzee.com/m/Drazoria/1687/</v>
      </c>
      <c r="D1780" s="47"/>
      <c r="E1780" s="47" t="b">
        <f>IFERROR(__xludf.DUMMYFUNCTION("""COMPUTED_VALUE"""),TRUE)</f>
        <v>1</v>
      </c>
      <c r="F1780" s="47" t="str">
        <f>IFERROR(__xludf.DUMMYFUNCTION("""COMPUTED_VALUE"""),"")</f>
        <v/>
      </c>
      <c r="G1780" s="47" t="str">
        <f>IFERROR(__xludf.DUMMYFUNCTION("""COMPUTED_VALUE"""),"")</f>
        <v/>
      </c>
      <c r="H1780" s="47"/>
      <c r="I1780" s="47">
        <f>IFERROR(__xludf.DUMMYFUNCTION("""COMPUTED_VALUE"""),2.0)</f>
        <v>2</v>
      </c>
      <c r="J1780" s="47" t="str">
        <f>IFERROR(__xludf.DUMMYFUNCTION("""COMPUTED_VALUE"""),"https:")</f>
        <v>https:</v>
      </c>
      <c r="K1780" s="78" t="str">
        <f>IFERROR(__xludf.DUMMYFUNCTION("""COMPUTED_VALUE"""),"www.munzee.com")</f>
        <v>www.munzee.com</v>
      </c>
      <c r="L1780" s="47" t="str">
        <f>IFERROR(__xludf.DUMMYFUNCTION("""COMPUTED_VALUE"""),"m")</f>
        <v>m</v>
      </c>
      <c r="M1780" s="47" t="str">
        <f>IFERROR(__xludf.DUMMYFUNCTION("""COMPUTED_VALUE"""),"Drazoria")</f>
        <v>Drazoria</v>
      </c>
    </row>
    <row r="1781">
      <c r="A1781" s="47" t="str">
        <f>IFERROR(__xludf.DUMMYFUNCTION("""COMPUTED_VALUE"""),"Virtual Brown")</f>
        <v>Virtual Brown</v>
      </c>
      <c r="B1781" s="47" t="str">
        <f>IFERROR(__xludf.DUMMYFUNCTION("""COMPUTED_VALUE"""),"Tinake1309")</f>
        <v>Tinake1309</v>
      </c>
      <c r="C1781" s="78" t="str">
        <f>IFERROR(__xludf.DUMMYFUNCTION("""COMPUTED_VALUE"""),"https://www.munzee.com/m/Tinake1309/1595/")</f>
        <v>https://www.munzee.com/m/Tinake1309/1595/</v>
      </c>
      <c r="D1781" s="47"/>
      <c r="E1781" s="47" t="b">
        <f>IFERROR(__xludf.DUMMYFUNCTION("""COMPUTED_VALUE"""),TRUE)</f>
        <v>1</v>
      </c>
      <c r="F1781" s="47" t="str">
        <f>IFERROR(__xludf.DUMMYFUNCTION("""COMPUTED_VALUE"""),"")</f>
        <v/>
      </c>
      <c r="G1781" s="47" t="str">
        <f>IFERROR(__xludf.DUMMYFUNCTION("""COMPUTED_VALUE"""),"")</f>
        <v/>
      </c>
      <c r="H1781" s="47"/>
      <c r="I1781" s="47">
        <f>IFERROR(__xludf.DUMMYFUNCTION("""COMPUTED_VALUE"""),2.0)</f>
        <v>2</v>
      </c>
      <c r="J1781" s="47" t="str">
        <f>IFERROR(__xludf.DUMMYFUNCTION("""COMPUTED_VALUE"""),"https:")</f>
        <v>https:</v>
      </c>
      <c r="K1781" s="78" t="str">
        <f>IFERROR(__xludf.DUMMYFUNCTION("""COMPUTED_VALUE"""),"www.munzee.com")</f>
        <v>www.munzee.com</v>
      </c>
      <c r="L1781" s="47" t="str">
        <f>IFERROR(__xludf.DUMMYFUNCTION("""COMPUTED_VALUE"""),"m")</f>
        <v>m</v>
      </c>
      <c r="M1781" s="47" t="str">
        <f>IFERROR(__xludf.DUMMYFUNCTION("""COMPUTED_VALUE"""),"Tinake1309")</f>
        <v>Tinake1309</v>
      </c>
    </row>
    <row r="1782">
      <c r="A1782" s="47" t="str">
        <f>IFERROR(__xludf.DUMMYFUNCTION("""COMPUTED_VALUE"""),"Virtual Brown")</f>
        <v>Virtual Brown</v>
      </c>
      <c r="B1782" s="47" t="str">
        <f>IFERROR(__xludf.DUMMYFUNCTION("""COMPUTED_VALUE"""),"Berg14")</f>
        <v>Berg14</v>
      </c>
      <c r="C1782" s="78" t="str">
        <f>IFERROR(__xludf.DUMMYFUNCTION("""COMPUTED_VALUE"""),"https://www.munzee.com/m/Berg14/1515/")</f>
        <v>https://www.munzee.com/m/Berg14/1515/</v>
      </c>
      <c r="D1782" s="47"/>
      <c r="E1782" s="47" t="b">
        <f>IFERROR(__xludf.DUMMYFUNCTION("""COMPUTED_VALUE"""),TRUE)</f>
        <v>1</v>
      </c>
      <c r="F1782" s="47" t="str">
        <f>IFERROR(__xludf.DUMMYFUNCTION("""COMPUTED_VALUE"""),"")</f>
        <v/>
      </c>
      <c r="G1782" s="47" t="str">
        <f>IFERROR(__xludf.DUMMYFUNCTION("""COMPUTED_VALUE"""),"")</f>
        <v/>
      </c>
      <c r="H1782" s="47"/>
      <c r="I1782" s="47">
        <f>IFERROR(__xludf.DUMMYFUNCTION("""COMPUTED_VALUE"""),2.0)</f>
        <v>2</v>
      </c>
      <c r="J1782" s="47" t="str">
        <f>IFERROR(__xludf.DUMMYFUNCTION("""COMPUTED_VALUE"""),"https:")</f>
        <v>https:</v>
      </c>
      <c r="K1782" s="78" t="str">
        <f>IFERROR(__xludf.DUMMYFUNCTION("""COMPUTED_VALUE"""),"www.munzee.com")</f>
        <v>www.munzee.com</v>
      </c>
      <c r="L1782" s="47" t="str">
        <f>IFERROR(__xludf.DUMMYFUNCTION("""COMPUTED_VALUE"""),"m")</f>
        <v>m</v>
      </c>
      <c r="M1782" s="47" t="str">
        <f>IFERROR(__xludf.DUMMYFUNCTION("""COMPUTED_VALUE"""),"Berg14")</f>
        <v>Berg14</v>
      </c>
    </row>
    <row r="1783">
      <c r="A1783" s="47" t="str">
        <f>IFERROR(__xludf.DUMMYFUNCTION("""COMPUTED_VALUE"""),"Virtual Brown")</f>
        <v>Virtual Brown</v>
      </c>
      <c r="B1783" s="47" t="str">
        <f>IFERROR(__xludf.DUMMYFUNCTION("""COMPUTED_VALUE"""),"Niks13")</f>
        <v>Niks13</v>
      </c>
      <c r="C1783" s="78" t="str">
        <f>IFERROR(__xludf.DUMMYFUNCTION("""COMPUTED_VALUE"""),"https://www.munzee.com/m/Niks13/1498/")</f>
        <v>https://www.munzee.com/m/Niks13/1498/</v>
      </c>
      <c r="D1783" s="47"/>
      <c r="E1783" s="47" t="b">
        <f>IFERROR(__xludf.DUMMYFUNCTION("""COMPUTED_VALUE"""),TRUE)</f>
        <v>1</v>
      </c>
      <c r="F1783" s="47" t="str">
        <f>IFERROR(__xludf.DUMMYFUNCTION("""COMPUTED_VALUE"""),"")</f>
        <v/>
      </c>
      <c r="G1783" s="47" t="str">
        <f>IFERROR(__xludf.DUMMYFUNCTION("""COMPUTED_VALUE"""),"")</f>
        <v/>
      </c>
      <c r="H1783" s="47"/>
      <c r="I1783" s="47">
        <f>IFERROR(__xludf.DUMMYFUNCTION("""COMPUTED_VALUE"""),2.0)</f>
        <v>2</v>
      </c>
      <c r="J1783" s="47" t="str">
        <f>IFERROR(__xludf.DUMMYFUNCTION("""COMPUTED_VALUE"""),"https:")</f>
        <v>https:</v>
      </c>
      <c r="K1783" s="78" t="str">
        <f>IFERROR(__xludf.DUMMYFUNCTION("""COMPUTED_VALUE"""),"www.munzee.com")</f>
        <v>www.munzee.com</v>
      </c>
      <c r="L1783" s="47" t="str">
        <f>IFERROR(__xludf.DUMMYFUNCTION("""COMPUTED_VALUE"""),"m")</f>
        <v>m</v>
      </c>
      <c r="M1783" s="47" t="str">
        <f>IFERROR(__xludf.DUMMYFUNCTION("""COMPUTED_VALUE"""),"Niks13")</f>
        <v>Niks13</v>
      </c>
    </row>
    <row r="1784">
      <c r="A1784" s="47" t="str">
        <f>IFERROR(__xludf.DUMMYFUNCTION("""COMPUTED_VALUE"""),"Virtual Brown")</f>
        <v>Virtual Brown</v>
      </c>
      <c r="B1784" s="47" t="str">
        <f>IFERROR(__xludf.DUMMYFUNCTION("""COMPUTED_VALUE"""),"lupo6")</f>
        <v>lupo6</v>
      </c>
      <c r="C1784" s="78" t="str">
        <f>IFERROR(__xludf.DUMMYFUNCTION("""COMPUTED_VALUE"""),"https://www.munzee.com/m/lupo6/6419/")</f>
        <v>https://www.munzee.com/m/lupo6/6419/</v>
      </c>
      <c r="D1784" s="47"/>
      <c r="E1784" s="47" t="b">
        <f>IFERROR(__xludf.DUMMYFUNCTION("""COMPUTED_VALUE"""),TRUE)</f>
        <v>1</v>
      </c>
      <c r="F1784" s="47" t="str">
        <f>IFERROR(__xludf.DUMMYFUNCTION("""COMPUTED_VALUE"""),"")</f>
        <v/>
      </c>
      <c r="G1784" s="47" t="str">
        <f>IFERROR(__xludf.DUMMYFUNCTION("""COMPUTED_VALUE"""),"")</f>
        <v/>
      </c>
      <c r="H1784" s="47"/>
      <c r="I1784" s="47">
        <f>IFERROR(__xludf.DUMMYFUNCTION("""COMPUTED_VALUE"""),2.0)</f>
        <v>2</v>
      </c>
      <c r="J1784" s="47" t="str">
        <f>IFERROR(__xludf.DUMMYFUNCTION("""COMPUTED_VALUE"""),"https:")</f>
        <v>https:</v>
      </c>
      <c r="K1784" s="78" t="str">
        <f>IFERROR(__xludf.DUMMYFUNCTION("""COMPUTED_VALUE"""),"www.munzee.com")</f>
        <v>www.munzee.com</v>
      </c>
      <c r="L1784" s="47" t="str">
        <f>IFERROR(__xludf.DUMMYFUNCTION("""COMPUTED_VALUE"""),"m")</f>
        <v>m</v>
      </c>
      <c r="M1784" s="47" t="str">
        <f>IFERROR(__xludf.DUMMYFUNCTION("""COMPUTED_VALUE"""),"lupo6")</f>
        <v>lupo6</v>
      </c>
    </row>
    <row r="1785">
      <c r="A1785" s="47" t="str">
        <f>IFERROR(__xludf.DUMMYFUNCTION("""COMPUTED_VALUE"""),"Virtual Brown")</f>
        <v>Virtual Brown</v>
      </c>
      <c r="B1785" s="47" t="str">
        <f>IFERROR(__xludf.DUMMYFUNCTION("""COMPUTED_VALUE"""),"TD42")</f>
        <v>TD42</v>
      </c>
      <c r="C1785" s="78" t="str">
        <f>IFERROR(__xludf.DUMMYFUNCTION("""COMPUTED_VALUE"""),"https://www.munzee.com/m/TD42/3513/")</f>
        <v>https://www.munzee.com/m/TD42/3513/</v>
      </c>
      <c r="D1785" s="47"/>
      <c r="E1785" s="47" t="b">
        <f>IFERROR(__xludf.DUMMYFUNCTION("""COMPUTED_VALUE"""),TRUE)</f>
        <v>1</v>
      </c>
      <c r="F1785" s="47" t="str">
        <f>IFERROR(__xludf.DUMMYFUNCTION("""COMPUTED_VALUE"""),"")</f>
        <v/>
      </c>
      <c r="G1785" s="47" t="str">
        <f>IFERROR(__xludf.DUMMYFUNCTION("""COMPUTED_VALUE"""),"")</f>
        <v/>
      </c>
      <c r="H1785" s="47"/>
      <c r="I1785" s="47">
        <f>IFERROR(__xludf.DUMMYFUNCTION("""COMPUTED_VALUE"""),2.0)</f>
        <v>2</v>
      </c>
      <c r="J1785" s="47" t="str">
        <f>IFERROR(__xludf.DUMMYFUNCTION("""COMPUTED_VALUE"""),"https:")</f>
        <v>https:</v>
      </c>
      <c r="K1785" s="78" t="str">
        <f>IFERROR(__xludf.DUMMYFUNCTION("""COMPUTED_VALUE"""),"www.munzee.com")</f>
        <v>www.munzee.com</v>
      </c>
      <c r="L1785" s="47" t="str">
        <f>IFERROR(__xludf.DUMMYFUNCTION("""COMPUTED_VALUE"""),"m")</f>
        <v>m</v>
      </c>
      <c r="M1785" s="47" t="str">
        <f>IFERROR(__xludf.DUMMYFUNCTION("""COMPUTED_VALUE"""),"TD42")</f>
        <v>TD42</v>
      </c>
    </row>
    <row r="1786">
      <c r="A1786" s="47" t="str">
        <f>IFERROR(__xludf.DUMMYFUNCTION("""COMPUTED_VALUE"""),"Virtual Brown")</f>
        <v>Virtual Brown</v>
      </c>
      <c r="B1786" s="47" t="str">
        <f>IFERROR(__xludf.DUMMYFUNCTION("""COMPUTED_VALUE"""),"OdinsFiRe")</f>
        <v>OdinsFiRe</v>
      </c>
      <c r="C1786" s="78" t="str">
        <f>IFERROR(__xludf.DUMMYFUNCTION("""COMPUTED_VALUE"""),"https://www.munzee.com/m/OdinsFiRe/2065/")</f>
        <v>https://www.munzee.com/m/OdinsFiRe/2065/</v>
      </c>
      <c r="D1786" s="47"/>
      <c r="E1786" s="47" t="b">
        <f>IFERROR(__xludf.DUMMYFUNCTION("""COMPUTED_VALUE"""),TRUE)</f>
        <v>1</v>
      </c>
      <c r="F1786" s="47" t="str">
        <f>IFERROR(__xludf.DUMMYFUNCTION("""COMPUTED_VALUE"""),"")</f>
        <v/>
      </c>
      <c r="G1786" s="47" t="str">
        <f>IFERROR(__xludf.DUMMYFUNCTION("""COMPUTED_VALUE"""),"")</f>
        <v/>
      </c>
      <c r="H1786" s="47"/>
      <c r="I1786" s="47">
        <f>IFERROR(__xludf.DUMMYFUNCTION("""COMPUTED_VALUE"""),2.0)</f>
        <v>2</v>
      </c>
      <c r="J1786" s="47" t="str">
        <f>IFERROR(__xludf.DUMMYFUNCTION("""COMPUTED_VALUE"""),"https:")</f>
        <v>https:</v>
      </c>
      <c r="K1786" s="78" t="str">
        <f>IFERROR(__xludf.DUMMYFUNCTION("""COMPUTED_VALUE"""),"www.munzee.com")</f>
        <v>www.munzee.com</v>
      </c>
      <c r="L1786" s="47" t="str">
        <f>IFERROR(__xludf.DUMMYFUNCTION("""COMPUTED_VALUE"""),"m")</f>
        <v>m</v>
      </c>
      <c r="M1786" s="47" t="str">
        <f>IFERROR(__xludf.DUMMYFUNCTION("""COMPUTED_VALUE"""),"OdinsFiRe")</f>
        <v>OdinsFiRe</v>
      </c>
    </row>
    <row r="1787">
      <c r="A1787" s="47" t="str">
        <f>IFERROR(__xludf.DUMMYFUNCTION("""COMPUTED_VALUE"""),"Virtual Brown")</f>
        <v>Virtual Brown</v>
      </c>
      <c r="B1787" s="47" t="str">
        <f>IFERROR(__xludf.DUMMYFUNCTION("""COMPUTED_VALUE"""),"lupo6")</f>
        <v>lupo6</v>
      </c>
      <c r="C1787" s="78" t="str">
        <f>IFERROR(__xludf.DUMMYFUNCTION("""COMPUTED_VALUE"""),"https://www.munzee.com/m/lupo6/2732")</f>
        <v>https://www.munzee.com/m/lupo6/2732</v>
      </c>
      <c r="D1787" s="47"/>
      <c r="E1787" s="47" t="b">
        <f>IFERROR(__xludf.DUMMYFUNCTION("""COMPUTED_VALUE"""),TRUE)</f>
        <v>1</v>
      </c>
      <c r="F1787" s="47" t="str">
        <f>IFERROR(__xludf.DUMMYFUNCTION("""COMPUTED_VALUE"""),"")</f>
        <v/>
      </c>
      <c r="G1787" s="47" t="str">
        <f>IFERROR(__xludf.DUMMYFUNCTION("""COMPUTED_VALUE"""),"")</f>
        <v/>
      </c>
      <c r="H1787" s="47"/>
      <c r="I1787" s="47">
        <f>IFERROR(__xludf.DUMMYFUNCTION("""COMPUTED_VALUE"""),2.0)</f>
        <v>2</v>
      </c>
      <c r="J1787" s="47" t="str">
        <f>IFERROR(__xludf.DUMMYFUNCTION("""COMPUTED_VALUE"""),"https:")</f>
        <v>https:</v>
      </c>
      <c r="K1787" s="78" t="str">
        <f>IFERROR(__xludf.DUMMYFUNCTION("""COMPUTED_VALUE"""),"www.munzee.com")</f>
        <v>www.munzee.com</v>
      </c>
      <c r="L1787" s="47" t="str">
        <f>IFERROR(__xludf.DUMMYFUNCTION("""COMPUTED_VALUE"""),"m")</f>
        <v>m</v>
      </c>
      <c r="M1787" s="47" t="str">
        <f>IFERROR(__xludf.DUMMYFUNCTION("""COMPUTED_VALUE"""),"lupo6")</f>
        <v>lupo6</v>
      </c>
    </row>
    <row r="1788">
      <c r="A1788" s="47" t="str">
        <f>IFERROR(__xludf.DUMMYFUNCTION("""COMPUTED_VALUE"""),"Virtual Raw Sienna")</f>
        <v>Virtual Raw Sienna</v>
      </c>
      <c r="B1788" s="47" t="str">
        <f>IFERROR(__xludf.DUMMYFUNCTION("""COMPUTED_VALUE"""),"crscousins")</f>
        <v>crscousins</v>
      </c>
      <c r="C1788" s="78" t="str">
        <f>IFERROR(__xludf.DUMMYFUNCTION("""COMPUTED_VALUE"""),"https://www.munzee.com/m/crscousins/7152/")</f>
        <v>https://www.munzee.com/m/crscousins/7152/</v>
      </c>
      <c r="D1788" s="47"/>
      <c r="E1788" s="47" t="b">
        <f>IFERROR(__xludf.DUMMYFUNCTION("""COMPUTED_VALUE"""),TRUE)</f>
        <v>1</v>
      </c>
      <c r="F1788" s="47" t="str">
        <f>IFERROR(__xludf.DUMMYFUNCTION("""COMPUTED_VALUE"""),"")</f>
        <v/>
      </c>
      <c r="G1788" s="47" t="str">
        <f>IFERROR(__xludf.DUMMYFUNCTION("""COMPUTED_VALUE"""),"")</f>
        <v/>
      </c>
      <c r="H1788" s="47"/>
      <c r="I1788" s="47">
        <f>IFERROR(__xludf.DUMMYFUNCTION("""COMPUTED_VALUE"""),2.0)</f>
        <v>2</v>
      </c>
      <c r="J1788" s="47" t="str">
        <f>IFERROR(__xludf.DUMMYFUNCTION("""COMPUTED_VALUE"""),"https:")</f>
        <v>https:</v>
      </c>
      <c r="K1788" s="78" t="str">
        <f>IFERROR(__xludf.DUMMYFUNCTION("""COMPUTED_VALUE"""),"www.munzee.com")</f>
        <v>www.munzee.com</v>
      </c>
      <c r="L1788" s="47" t="str">
        <f>IFERROR(__xludf.DUMMYFUNCTION("""COMPUTED_VALUE"""),"m")</f>
        <v>m</v>
      </c>
      <c r="M1788" s="47" t="str">
        <f>IFERROR(__xludf.DUMMYFUNCTION("""COMPUTED_VALUE"""),"crscousins")</f>
        <v>crscousins</v>
      </c>
    </row>
    <row r="1789">
      <c r="A1789" s="47" t="str">
        <f>IFERROR(__xludf.DUMMYFUNCTION("""COMPUTED_VALUE"""),"Virtual Brown")</f>
        <v>Virtual Brown</v>
      </c>
      <c r="B1789" s="47" t="str">
        <f>IFERROR(__xludf.DUMMYFUNCTION("""COMPUTED_VALUE"""),"TD42")</f>
        <v>TD42</v>
      </c>
      <c r="C1789" s="78" t="str">
        <f>IFERROR(__xludf.DUMMYFUNCTION("""COMPUTED_VALUE"""),"https://www.munzee.com/m/TD42/3511/")</f>
        <v>https://www.munzee.com/m/TD42/3511/</v>
      </c>
      <c r="D1789" s="47"/>
      <c r="E1789" s="47" t="b">
        <f>IFERROR(__xludf.DUMMYFUNCTION("""COMPUTED_VALUE"""),TRUE)</f>
        <v>1</v>
      </c>
      <c r="F1789" s="47" t="str">
        <f>IFERROR(__xludf.DUMMYFUNCTION("""COMPUTED_VALUE"""),"")</f>
        <v/>
      </c>
      <c r="G1789" s="47" t="str">
        <f>IFERROR(__xludf.DUMMYFUNCTION("""COMPUTED_VALUE"""),"")</f>
        <v/>
      </c>
      <c r="H1789" s="47"/>
      <c r="I1789" s="47">
        <f>IFERROR(__xludf.DUMMYFUNCTION("""COMPUTED_VALUE"""),2.0)</f>
        <v>2</v>
      </c>
      <c r="J1789" s="47" t="str">
        <f>IFERROR(__xludf.DUMMYFUNCTION("""COMPUTED_VALUE"""),"https:")</f>
        <v>https:</v>
      </c>
      <c r="K1789" s="78" t="str">
        <f>IFERROR(__xludf.DUMMYFUNCTION("""COMPUTED_VALUE"""),"www.munzee.com")</f>
        <v>www.munzee.com</v>
      </c>
      <c r="L1789" s="47" t="str">
        <f>IFERROR(__xludf.DUMMYFUNCTION("""COMPUTED_VALUE"""),"m")</f>
        <v>m</v>
      </c>
      <c r="M1789" s="47" t="str">
        <f>IFERROR(__xludf.DUMMYFUNCTION("""COMPUTED_VALUE"""),"TD42")</f>
        <v>TD42</v>
      </c>
    </row>
    <row r="1790">
      <c r="A1790" s="47" t="str">
        <f>IFERROR(__xludf.DUMMYFUNCTION("""COMPUTED_VALUE"""),"Virtual Brown")</f>
        <v>Virtual Brown</v>
      </c>
      <c r="B1790" s="47" t="str">
        <f>IFERROR(__xludf.DUMMYFUNCTION("""COMPUTED_VALUE"""),"Anetzet ")</f>
        <v>Anetzet </v>
      </c>
      <c r="C1790" s="78" t="str">
        <f>IFERROR(__xludf.DUMMYFUNCTION("""COMPUTED_VALUE"""),"https://www.munzee.com/m/Anetzet/4628/")</f>
        <v>https://www.munzee.com/m/Anetzet/4628/</v>
      </c>
      <c r="D1790" s="47"/>
      <c r="E1790" s="47" t="b">
        <f>IFERROR(__xludf.DUMMYFUNCTION("""COMPUTED_VALUE"""),TRUE)</f>
        <v>1</v>
      </c>
      <c r="F1790" s="47" t="str">
        <f>IFERROR(__xludf.DUMMYFUNCTION("""COMPUTED_VALUE"""),"")</f>
        <v/>
      </c>
      <c r="G1790" s="47" t="str">
        <f>IFERROR(__xludf.DUMMYFUNCTION("""COMPUTED_VALUE"""),"")</f>
        <v/>
      </c>
      <c r="H1790" s="47"/>
      <c r="I1790" s="47">
        <f>IFERROR(__xludf.DUMMYFUNCTION("""COMPUTED_VALUE"""),2.0)</f>
        <v>2</v>
      </c>
      <c r="J1790" s="47" t="str">
        <f>IFERROR(__xludf.DUMMYFUNCTION("""COMPUTED_VALUE"""),"https:")</f>
        <v>https:</v>
      </c>
      <c r="K1790" s="78" t="str">
        <f>IFERROR(__xludf.DUMMYFUNCTION("""COMPUTED_VALUE"""),"www.munzee.com")</f>
        <v>www.munzee.com</v>
      </c>
      <c r="L1790" s="47" t="str">
        <f>IFERROR(__xludf.DUMMYFUNCTION("""COMPUTED_VALUE"""),"m")</f>
        <v>m</v>
      </c>
      <c r="M1790" s="47" t="str">
        <f>IFERROR(__xludf.DUMMYFUNCTION("""COMPUTED_VALUE"""),"Anetzet")</f>
        <v>Anetzet</v>
      </c>
    </row>
    <row r="1791">
      <c r="A1791" s="47" t="str">
        <f>IFERROR(__xludf.DUMMYFUNCTION("""COMPUTED_VALUE"""),"Virtual Brown")</f>
        <v>Virtual Brown</v>
      </c>
      <c r="B1791" s="47" t="str">
        <f>IFERROR(__xludf.DUMMYFUNCTION("""COMPUTED_VALUE"""),"GroteSufferd")</f>
        <v>GroteSufferd</v>
      </c>
      <c r="C1791" s="78" t="str">
        <f>IFERROR(__xludf.DUMMYFUNCTION("""COMPUTED_VALUE"""),"https://www.munzee.com/m/GroteSufferd/754/")</f>
        <v>https://www.munzee.com/m/GroteSufferd/754/</v>
      </c>
      <c r="D1791" s="47"/>
      <c r="E1791" s="47" t="b">
        <f>IFERROR(__xludf.DUMMYFUNCTION("""COMPUTED_VALUE"""),TRUE)</f>
        <v>1</v>
      </c>
      <c r="F1791" s="47" t="str">
        <f>IFERROR(__xludf.DUMMYFUNCTION("""COMPUTED_VALUE"""),"")</f>
        <v/>
      </c>
      <c r="G1791" s="47" t="str">
        <f>IFERROR(__xludf.DUMMYFUNCTION("""COMPUTED_VALUE"""),"")</f>
        <v/>
      </c>
      <c r="H1791" s="47"/>
      <c r="I1791" s="47">
        <f>IFERROR(__xludf.DUMMYFUNCTION("""COMPUTED_VALUE"""),2.0)</f>
        <v>2</v>
      </c>
      <c r="J1791" s="47" t="str">
        <f>IFERROR(__xludf.DUMMYFUNCTION("""COMPUTED_VALUE"""),"https:")</f>
        <v>https:</v>
      </c>
      <c r="K1791" s="78" t="str">
        <f>IFERROR(__xludf.DUMMYFUNCTION("""COMPUTED_VALUE"""),"www.munzee.com")</f>
        <v>www.munzee.com</v>
      </c>
      <c r="L1791" s="47" t="str">
        <f>IFERROR(__xludf.DUMMYFUNCTION("""COMPUTED_VALUE"""),"m")</f>
        <v>m</v>
      </c>
      <c r="M1791" s="47" t="str">
        <f>IFERROR(__xludf.DUMMYFUNCTION("""COMPUTED_VALUE"""),"GroteSufferd")</f>
        <v>GroteSufferd</v>
      </c>
    </row>
    <row r="1792">
      <c r="A1792" s="47" t="str">
        <f>IFERROR(__xludf.DUMMYFUNCTION("""COMPUTED_VALUE"""),"Virtual Raw Sienna")</f>
        <v>Virtual Raw Sienna</v>
      </c>
      <c r="B1792" s="47" t="str">
        <f>IFERROR(__xludf.DUMMYFUNCTION("""COMPUTED_VALUE"""),"Bungle")</f>
        <v>Bungle</v>
      </c>
      <c r="C1792" s="78" t="str">
        <f>IFERROR(__xludf.DUMMYFUNCTION("""COMPUTED_VALUE"""),"https://www.munzee.com/m/Bungle/10657")</f>
        <v>https://www.munzee.com/m/Bungle/10657</v>
      </c>
      <c r="D1792" s="47"/>
      <c r="E1792" s="47" t="b">
        <f>IFERROR(__xludf.DUMMYFUNCTION("""COMPUTED_VALUE"""),TRUE)</f>
        <v>1</v>
      </c>
      <c r="F1792" s="47"/>
      <c r="G1792" s="47" t="str">
        <f>IFERROR(__xludf.DUMMYFUNCTION("""COMPUTED_VALUE"""),"")</f>
        <v/>
      </c>
      <c r="H1792" s="47"/>
      <c r="I1792" s="47">
        <f>IFERROR(__xludf.DUMMYFUNCTION("""COMPUTED_VALUE"""),2.0)</f>
        <v>2</v>
      </c>
      <c r="J1792" s="47" t="str">
        <f>IFERROR(__xludf.DUMMYFUNCTION("""COMPUTED_VALUE"""),"https:")</f>
        <v>https:</v>
      </c>
      <c r="K1792" s="78" t="str">
        <f>IFERROR(__xludf.DUMMYFUNCTION("""COMPUTED_VALUE"""),"www.munzee.com")</f>
        <v>www.munzee.com</v>
      </c>
      <c r="L1792" s="47" t="str">
        <f>IFERROR(__xludf.DUMMYFUNCTION("""COMPUTED_VALUE"""),"m")</f>
        <v>m</v>
      </c>
      <c r="M1792" s="47" t="str">
        <f>IFERROR(__xludf.DUMMYFUNCTION("""COMPUTED_VALUE"""),"Bungle")</f>
        <v>Bungle</v>
      </c>
    </row>
    <row r="1793">
      <c r="A1793" s="47" t="str">
        <f>IFERROR(__xludf.DUMMYFUNCTION("""COMPUTED_VALUE"""),"Virtual Brown")</f>
        <v>Virtual Brown</v>
      </c>
      <c r="B1793" s="47" t="str">
        <f>IFERROR(__xludf.DUMMYFUNCTION("""COMPUTED_VALUE"""),"rita85gto")</f>
        <v>rita85gto</v>
      </c>
      <c r="C1793" s="78" t="str">
        <f>IFERROR(__xludf.DUMMYFUNCTION("""COMPUTED_VALUE"""),"https://www.munzee.com/m/rita85gto/5116/")</f>
        <v>https://www.munzee.com/m/rita85gto/5116/</v>
      </c>
      <c r="D1793" s="47" t="str">
        <f>IFERROR(__xludf.DUMMYFUNCTION("""COMPUTED_VALUE"""),"dep. Aug. '22")</f>
        <v>dep. Aug. '22</v>
      </c>
      <c r="E1793" s="47" t="b">
        <f>IFERROR(__xludf.DUMMYFUNCTION("""COMPUTED_VALUE"""),TRUE)</f>
        <v>1</v>
      </c>
      <c r="F1793" s="47" t="str">
        <f>IFERROR(__xludf.DUMMYFUNCTION("""COMPUTED_VALUE"""),"")</f>
        <v/>
      </c>
      <c r="G1793" s="47" t="str">
        <f>IFERROR(__xludf.DUMMYFUNCTION("""COMPUTED_VALUE"""),"")</f>
        <v/>
      </c>
      <c r="H1793" s="47"/>
      <c r="I1793" s="47">
        <f>IFERROR(__xludf.DUMMYFUNCTION("""COMPUTED_VALUE"""),2.0)</f>
        <v>2</v>
      </c>
      <c r="J1793" s="47" t="str">
        <f>IFERROR(__xludf.DUMMYFUNCTION("""COMPUTED_VALUE"""),"https:")</f>
        <v>https:</v>
      </c>
      <c r="K1793" s="78" t="str">
        <f>IFERROR(__xludf.DUMMYFUNCTION("""COMPUTED_VALUE"""),"www.munzee.com")</f>
        <v>www.munzee.com</v>
      </c>
      <c r="L1793" s="47" t="str">
        <f>IFERROR(__xludf.DUMMYFUNCTION("""COMPUTED_VALUE"""),"m")</f>
        <v>m</v>
      </c>
      <c r="M1793" s="47" t="str">
        <f>IFERROR(__xludf.DUMMYFUNCTION("""COMPUTED_VALUE"""),"rita85gto")</f>
        <v>rita85gto</v>
      </c>
    </row>
    <row r="1794">
      <c r="A1794" s="47" t="str">
        <f>IFERROR(__xludf.DUMMYFUNCTION("""COMPUTED_VALUE"""),"Virtual Brown")</f>
        <v>Virtual Brown</v>
      </c>
      <c r="B1794" s="47"/>
      <c r="C1794" s="47"/>
      <c r="D1794" s="47"/>
      <c r="E1794" s="47" t="b">
        <f>IFERROR(__xludf.DUMMYFUNCTION("""COMPUTED_VALUE"""),FALSE)</f>
        <v>0</v>
      </c>
      <c r="F1794" s="47"/>
      <c r="G1794" s="47" t="str">
        <f>IFERROR(__xludf.DUMMYFUNCTION("""COMPUTED_VALUE"""),"")</f>
        <v/>
      </c>
      <c r="H1794" s="47"/>
      <c r="I1794" s="47">
        <f>IFERROR(__xludf.DUMMYFUNCTION("""COMPUTED_VALUE"""),0.0)</f>
        <v>0</v>
      </c>
      <c r="J1794" s="47" t="str">
        <f>IFERROR(__xludf.DUMMYFUNCTION("""COMPUTED_VALUE"""),"#VALUE!")</f>
        <v>#VALUE!</v>
      </c>
      <c r="K1794" s="47"/>
      <c r="L1794" s="47"/>
      <c r="M1794" s="47"/>
    </row>
    <row r="1795">
      <c r="A1795" s="47" t="str">
        <f>IFERROR(__xludf.DUMMYFUNCTION("""COMPUTED_VALUE"""),"Virtual Raw Sienna")</f>
        <v>Virtual Raw Sienna</v>
      </c>
      <c r="B1795" s="47"/>
      <c r="C1795" s="47"/>
      <c r="D1795" s="47"/>
      <c r="E1795" s="47" t="b">
        <f>IFERROR(__xludf.DUMMYFUNCTION("""COMPUTED_VALUE"""),FALSE)</f>
        <v>0</v>
      </c>
      <c r="F1795" s="47"/>
      <c r="G1795" s="47" t="str">
        <f>IFERROR(__xludf.DUMMYFUNCTION("""COMPUTED_VALUE"""),"")</f>
        <v/>
      </c>
      <c r="H1795" s="47"/>
      <c r="I1795" s="47">
        <f>IFERROR(__xludf.DUMMYFUNCTION("""COMPUTED_VALUE"""),0.0)</f>
        <v>0</v>
      </c>
      <c r="J1795" s="47" t="str">
        <f>IFERROR(__xludf.DUMMYFUNCTION("""COMPUTED_VALUE"""),"#VALUE!")</f>
        <v>#VALUE!</v>
      </c>
      <c r="K1795" s="47"/>
      <c r="L1795" s="47"/>
      <c r="M1795" s="47"/>
    </row>
    <row r="1796">
      <c r="A1796" s="47" t="str">
        <f>IFERROR(__xludf.DUMMYFUNCTION("""COMPUTED_VALUE"""),"Virtual Brown")</f>
        <v>Virtual Brown</v>
      </c>
      <c r="B1796" s="47" t="str">
        <f>IFERROR(__xludf.DUMMYFUNCTION("""COMPUTED_VALUE"""),"cbf600")</f>
        <v>cbf600</v>
      </c>
      <c r="C1796" s="78" t="str">
        <f>IFERROR(__xludf.DUMMYFUNCTION("""COMPUTED_VALUE"""),"https://www.munzee.com/m/cbf600/3801/")</f>
        <v>https://www.munzee.com/m/cbf600/3801/</v>
      </c>
      <c r="D1796" s="47"/>
      <c r="E1796" s="47" t="b">
        <f>IFERROR(__xludf.DUMMYFUNCTION("""COMPUTED_VALUE"""),TRUE)</f>
        <v>1</v>
      </c>
      <c r="F1796" s="47" t="str">
        <f>IFERROR(__xludf.DUMMYFUNCTION("""COMPUTED_VALUE"""),"")</f>
        <v/>
      </c>
      <c r="G1796" s="47" t="str">
        <f>IFERROR(__xludf.DUMMYFUNCTION("""COMPUTED_VALUE"""),"")</f>
        <v/>
      </c>
      <c r="H1796" s="47"/>
      <c r="I1796" s="47">
        <f>IFERROR(__xludf.DUMMYFUNCTION("""COMPUTED_VALUE"""),2.0)</f>
        <v>2</v>
      </c>
      <c r="J1796" s="47" t="str">
        <f>IFERROR(__xludf.DUMMYFUNCTION("""COMPUTED_VALUE"""),"https:")</f>
        <v>https:</v>
      </c>
      <c r="K1796" s="78" t="str">
        <f>IFERROR(__xludf.DUMMYFUNCTION("""COMPUTED_VALUE"""),"www.munzee.com")</f>
        <v>www.munzee.com</v>
      </c>
      <c r="L1796" s="47" t="str">
        <f>IFERROR(__xludf.DUMMYFUNCTION("""COMPUTED_VALUE"""),"m")</f>
        <v>m</v>
      </c>
      <c r="M1796" s="47" t="str">
        <f>IFERROR(__xludf.DUMMYFUNCTION("""COMPUTED_VALUE"""),"cbf600")</f>
        <v>cbf600</v>
      </c>
    </row>
    <row r="1797">
      <c r="A1797" s="47" t="str">
        <f>IFERROR(__xludf.DUMMYFUNCTION("""COMPUTED_VALUE"""),"Virtual Raw Sienna")</f>
        <v>Virtual Raw Sienna</v>
      </c>
      <c r="B1797" s="47"/>
      <c r="C1797" s="47"/>
      <c r="D1797" s="47"/>
      <c r="E1797" s="47" t="b">
        <f>IFERROR(__xludf.DUMMYFUNCTION("""COMPUTED_VALUE"""),FALSE)</f>
        <v>0</v>
      </c>
      <c r="F1797" s="47"/>
      <c r="G1797" s="47" t="str">
        <f>IFERROR(__xludf.DUMMYFUNCTION("""COMPUTED_VALUE"""),"")</f>
        <v/>
      </c>
      <c r="H1797" s="47"/>
      <c r="I1797" s="47">
        <f>IFERROR(__xludf.DUMMYFUNCTION("""COMPUTED_VALUE"""),0.0)</f>
        <v>0</v>
      </c>
      <c r="J1797" s="47" t="str">
        <f>IFERROR(__xludf.DUMMYFUNCTION("""COMPUTED_VALUE"""),"#VALUE!")</f>
        <v>#VALUE!</v>
      </c>
      <c r="K1797" s="47"/>
      <c r="L1797" s="47"/>
      <c r="M1797" s="47"/>
    </row>
    <row r="1798">
      <c r="A1798" s="47" t="str">
        <f>IFERROR(__xludf.DUMMYFUNCTION("""COMPUTED_VALUE"""),"Virtual Brown")</f>
        <v>Virtual Brown</v>
      </c>
      <c r="B1798" s="47"/>
      <c r="C1798" s="47"/>
      <c r="D1798" s="47"/>
      <c r="E1798" s="47" t="b">
        <f>IFERROR(__xludf.DUMMYFUNCTION("""COMPUTED_VALUE"""),FALSE)</f>
        <v>0</v>
      </c>
      <c r="F1798" s="47"/>
      <c r="G1798" s="47" t="str">
        <f>IFERROR(__xludf.DUMMYFUNCTION("""COMPUTED_VALUE"""),"")</f>
        <v/>
      </c>
      <c r="H1798" s="47"/>
      <c r="I1798" s="47">
        <f>IFERROR(__xludf.DUMMYFUNCTION("""COMPUTED_VALUE"""),0.0)</f>
        <v>0</v>
      </c>
      <c r="J1798" s="47" t="str">
        <f>IFERROR(__xludf.DUMMYFUNCTION("""COMPUTED_VALUE"""),"#VALUE!")</f>
        <v>#VALUE!</v>
      </c>
      <c r="K1798" s="47"/>
      <c r="L1798" s="47"/>
      <c r="M1798" s="47"/>
    </row>
    <row r="1799">
      <c r="A1799" s="47" t="str">
        <f>IFERROR(__xludf.DUMMYFUNCTION("""COMPUTED_VALUE"""),"Virtual Brown")</f>
        <v>Virtual Brown</v>
      </c>
      <c r="B1799" s="47"/>
      <c r="C1799" s="47"/>
      <c r="D1799" s="47"/>
      <c r="E1799" s="47" t="b">
        <f>IFERROR(__xludf.DUMMYFUNCTION("""COMPUTED_VALUE"""),FALSE)</f>
        <v>0</v>
      </c>
      <c r="F1799" s="47"/>
      <c r="G1799" s="47" t="str">
        <f>IFERROR(__xludf.DUMMYFUNCTION("""COMPUTED_VALUE"""),"")</f>
        <v/>
      </c>
      <c r="H1799" s="47"/>
      <c r="I1799" s="47">
        <f>IFERROR(__xludf.DUMMYFUNCTION("""COMPUTED_VALUE"""),0.0)</f>
        <v>0</v>
      </c>
      <c r="J1799" s="47" t="str">
        <f>IFERROR(__xludf.DUMMYFUNCTION("""COMPUTED_VALUE"""),"#VALUE!")</f>
        <v>#VALUE!</v>
      </c>
      <c r="K1799" s="47"/>
      <c r="L1799" s="47"/>
      <c r="M1799" s="47"/>
    </row>
    <row r="1800">
      <c r="A1800" s="47" t="str">
        <f>IFERROR(__xludf.DUMMYFUNCTION("""COMPUTED_VALUE"""),"Virtual Brown")</f>
        <v>Virtual Brown</v>
      </c>
      <c r="B1800" s="47"/>
      <c r="C1800" s="47"/>
      <c r="D1800" s="47"/>
      <c r="E1800" s="47" t="b">
        <f>IFERROR(__xludf.DUMMYFUNCTION("""COMPUTED_VALUE"""),FALSE)</f>
        <v>0</v>
      </c>
      <c r="F1800" s="47"/>
      <c r="G1800" s="47" t="str">
        <f>IFERROR(__xludf.DUMMYFUNCTION("""COMPUTED_VALUE"""),"")</f>
        <v/>
      </c>
      <c r="H1800" s="47"/>
      <c r="I1800" s="47">
        <f>IFERROR(__xludf.DUMMYFUNCTION("""COMPUTED_VALUE"""),0.0)</f>
        <v>0</v>
      </c>
      <c r="J1800" s="47" t="str">
        <f>IFERROR(__xludf.DUMMYFUNCTION("""COMPUTED_VALUE"""),"#VALUE!")</f>
        <v>#VALUE!</v>
      </c>
      <c r="K1800" s="47"/>
      <c r="L1800" s="47"/>
      <c r="M1800" s="47"/>
    </row>
    <row r="1801">
      <c r="A1801" s="47" t="str">
        <f>IFERROR(__xludf.DUMMYFUNCTION("""COMPUTED_VALUE"""),"Virtual Brown")</f>
        <v>Virtual Brown</v>
      </c>
      <c r="B1801" s="47"/>
      <c r="C1801" s="47"/>
      <c r="D1801" s="47"/>
      <c r="E1801" s="47" t="b">
        <f>IFERROR(__xludf.DUMMYFUNCTION("""COMPUTED_VALUE"""),FALSE)</f>
        <v>0</v>
      </c>
      <c r="F1801" s="47"/>
      <c r="G1801" s="47" t="str">
        <f>IFERROR(__xludf.DUMMYFUNCTION("""COMPUTED_VALUE"""),"")</f>
        <v/>
      </c>
      <c r="H1801" s="47"/>
      <c r="I1801" s="47">
        <f>IFERROR(__xludf.DUMMYFUNCTION("""COMPUTED_VALUE"""),0.0)</f>
        <v>0</v>
      </c>
      <c r="J1801" s="47" t="str">
        <f>IFERROR(__xludf.DUMMYFUNCTION("""COMPUTED_VALUE"""),"#VALUE!")</f>
        <v>#VALUE!</v>
      </c>
      <c r="K1801" s="47"/>
      <c r="L1801" s="47"/>
      <c r="M1801" s="47"/>
    </row>
    <row r="1802">
      <c r="A1802" s="47" t="str">
        <f>IFERROR(__xludf.DUMMYFUNCTION("""COMPUTED_VALUE"""),"Virtual Brown")</f>
        <v>Virtual Brown</v>
      </c>
      <c r="B1802" s="47" t="str">
        <f>IFERROR(__xludf.DUMMYFUNCTION("""COMPUTED_VALUE""")," ")</f>
        <v> </v>
      </c>
      <c r="C1802" s="47"/>
      <c r="D1802" s="47"/>
      <c r="E1802" s="47" t="b">
        <f>IFERROR(__xludf.DUMMYFUNCTION("""COMPUTED_VALUE"""),FALSE)</f>
        <v>0</v>
      </c>
      <c r="F1802" s="47"/>
      <c r="G1802" s="47" t="str">
        <f>IFERROR(__xludf.DUMMYFUNCTION("""COMPUTED_VALUE"""),"")</f>
        <v/>
      </c>
      <c r="H1802" s="47"/>
      <c r="I1802" s="47">
        <f>IFERROR(__xludf.DUMMYFUNCTION("""COMPUTED_VALUE"""),0.0)</f>
        <v>0</v>
      </c>
      <c r="J1802" s="47" t="str">
        <f>IFERROR(__xludf.DUMMYFUNCTION("""COMPUTED_VALUE"""),"#VALUE!")</f>
        <v>#VALUE!</v>
      </c>
      <c r="K1802" s="47"/>
      <c r="L1802" s="47"/>
      <c r="M1802" s="47"/>
    </row>
    <row r="1803">
      <c r="A1803" s="47" t="str">
        <f>IFERROR(__xludf.DUMMYFUNCTION("""COMPUTED_VALUE"""),"Virtual Brown")</f>
        <v>Virtual Brown</v>
      </c>
      <c r="B1803" s="47" t="str">
        <f>IFERROR(__xludf.DUMMYFUNCTION("""COMPUTED_VALUE"""),"Bisquick2")</f>
        <v>Bisquick2</v>
      </c>
      <c r="C1803" s="78" t="str">
        <f>IFERROR(__xludf.DUMMYFUNCTION("""COMPUTED_VALUE"""),"https://www.munzee.com/m/Bisquick2/7168/")</f>
        <v>https://www.munzee.com/m/Bisquick2/7168/</v>
      </c>
      <c r="D1803" s="47"/>
      <c r="E1803" s="47" t="b">
        <f>IFERROR(__xludf.DUMMYFUNCTION("""COMPUTED_VALUE"""),TRUE)</f>
        <v>1</v>
      </c>
      <c r="F1803" s="47" t="str">
        <f>IFERROR(__xludf.DUMMYFUNCTION("""COMPUTED_VALUE"""),"")</f>
        <v/>
      </c>
      <c r="G1803" s="47" t="str">
        <f>IFERROR(__xludf.DUMMYFUNCTION("""COMPUTED_VALUE"""),"")</f>
        <v/>
      </c>
      <c r="H1803" s="47"/>
      <c r="I1803" s="47">
        <f>IFERROR(__xludf.DUMMYFUNCTION("""COMPUTED_VALUE"""),2.0)</f>
        <v>2</v>
      </c>
      <c r="J1803" s="47" t="str">
        <f>IFERROR(__xludf.DUMMYFUNCTION("""COMPUTED_VALUE"""),"https:")</f>
        <v>https:</v>
      </c>
      <c r="K1803" s="78" t="str">
        <f>IFERROR(__xludf.DUMMYFUNCTION("""COMPUTED_VALUE"""),"www.munzee.com")</f>
        <v>www.munzee.com</v>
      </c>
      <c r="L1803" s="47" t="str">
        <f>IFERROR(__xludf.DUMMYFUNCTION("""COMPUTED_VALUE"""),"m")</f>
        <v>m</v>
      </c>
      <c r="M1803" s="47" t="str">
        <f>IFERROR(__xludf.DUMMYFUNCTION("""COMPUTED_VALUE"""),"Bisquick2")</f>
        <v>Bisquick2</v>
      </c>
    </row>
    <row r="1804">
      <c r="A1804" s="47" t="str">
        <f>IFERROR(__xludf.DUMMYFUNCTION("""COMPUTED_VALUE"""),"Virtual Brown")</f>
        <v>Virtual Brown</v>
      </c>
      <c r="B1804" s="47"/>
      <c r="C1804" s="47"/>
      <c r="D1804" s="47"/>
      <c r="E1804" s="47" t="b">
        <f>IFERROR(__xludf.DUMMYFUNCTION("""COMPUTED_VALUE"""),FALSE)</f>
        <v>0</v>
      </c>
      <c r="F1804" s="47"/>
      <c r="G1804" s="47" t="str">
        <f>IFERROR(__xludf.DUMMYFUNCTION("""COMPUTED_VALUE"""),"")</f>
        <v/>
      </c>
      <c r="H1804" s="47"/>
      <c r="I1804" s="47">
        <f>IFERROR(__xludf.DUMMYFUNCTION("""COMPUTED_VALUE"""),0.0)</f>
        <v>0</v>
      </c>
      <c r="J1804" s="47" t="str">
        <f>IFERROR(__xludf.DUMMYFUNCTION("""COMPUTED_VALUE"""),"#VALUE!")</f>
        <v>#VALUE!</v>
      </c>
      <c r="K1804" s="47"/>
      <c r="L1804" s="47"/>
      <c r="M1804" s="47"/>
    </row>
    <row r="1805">
      <c r="A1805" s="47" t="str">
        <f>IFERROR(__xludf.DUMMYFUNCTION("""COMPUTED_VALUE"""),"Virtual Raw Sienna")</f>
        <v>Virtual Raw Sienna</v>
      </c>
      <c r="B1805" s="47"/>
      <c r="C1805" s="47"/>
      <c r="D1805" s="47"/>
      <c r="E1805" s="47" t="b">
        <f>IFERROR(__xludf.DUMMYFUNCTION("""COMPUTED_VALUE"""),FALSE)</f>
        <v>0</v>
      </c>
      <c r="F1805" s="47"/>
      <c r="G1805" s="47" t="str">
        <f>IFERROR(__xludf.DUMMYFUNCTION("""COMPUTED_VALUE"""),"")</f>
        <v/>
      </c>
      <c r="H1805" s="47"/>
      <c r="I1805" s="47">
        <f>IFERROR(__xludf.DUMMYFUNCTION("""COMPUTED_VALUE"""),0.0)</f>
        <v>0</v>
      </c>
      <c r="J1805" s="47" t="str">
        <f>IFERROR(__xludf.DUMMYFUNCTION("""COMPUTED_VALUE"""),"#VALUE!")</f>
        <v>#VALUE!</v>
      </c>
      <c r="K1805" s="47"/>
      <c r="L1805" s="47"/>
      <c r="M1805" s="47"/>
    </row>
    <row r="1806">
      <c r="A1806" s="47" t="str">
        <f>IFERROR(__xludf.DUMMYFUNCTION("""COMPUTED_VALUE"""),"Virtual Brown")</f>
        <v>Virtual Brown</v>
      </c>
      <c r="B1806" s="47"/>
      <c r="C1806" s="47"/>
      <c r="D1806" s="47"/>
      <c r="E1806" s="47" t="b">
        <f>IFERROR(__xludf.DUMMYFUNCTION("""COMPUTED_VALUE"""),FALSE)</f>
        <v>0</v>
      </c>
      <c r="F1806" s="47"/>
      <c r="G1806" s="47" t="str">
        <f>IFERROR(__xludf.DUMMYFUNCTION("""COMPUTED_VALUE"""),"")</f>
        <v/>
      </c>
      <c r="H1806" s="47"/>
      <c r="I1806" s="47">
        <f>IFERROR(__xludf.DUMMYFUNCTION("""COMPUTED_VALUE"""),0.0)</f>
        <v>0</v>
      </c>
      <c r="J1806" s="47" t="str">
        <f>IFERROR(__xludf.DUMMYFUNCTION("""COMPUTED_VALUE"""),"#VALUE!")</f>
        <v>#VALUE!</v>
      </c>
      <c r="K1806" s="47"/>
      <c r="L1806" s="47"/>
      <c r="M1806" s="47"/>
    </row>
    <row r="1807">
      <c r="A1807" s="47" t="str">
        <f>IFERROR(__xludf.DUMMYFUNCTION("""COMPUTED_VALUE"""),"Virtual Brown")</f>
        <v>Virtual Brown</v>
      </c>
      <c r="B1807" s="47"/>
      <c r="C1807" s="47"/>
      <c r="D1807" s="47"/>
      <c r="E1807" s="47" t="b">
        <f>IFERROR(__xludf.DUMMYFUNCTION("""COMPUTED_VALUE"""),FALSE)</f>
        <v>0</v>
      </c>
      <c r="F1807" s="47"/>
      <c r="G1807" s="47" t="str">
        <f>IFERROR(__xludf.DUMMYFUNCTION("""COMPUTED_VALUE"""),"")</f>
        <v/>
      </c>
      <c r="H1807" s="47"/>
      <c r="I1807" s="47">
        <f>IFERROR(__xludf.DUMMYFUNCTION("""COMPUTED_VALUE"""),0.0)</f>
        <v>0</v>
      </c>
      <c r="J1807" s="47" t="str">
        <f>IFERROR(__xludf.DUMMYFUNCTION("""COMPUTED_VALUE"""),"#VALUE!")</f>
        <v>#VALUE!</v>
      </c>
      <c r="K1807" s="47"/>
      <c r="L1807" s="47"/>
      <c r="M1807" s="47"/>
    </row>
    <row r="1808">
      <c r="A1808" s="47" t="str">
        <f>IFERROR(__xludf.DUMMYFUNCTION("""COMPUTED_VALUE"""),"Virtual Raw Sienna")</f>
        <v>Virtual Raw Sienna</v>
      </c>
      <c r="B1808" s="47"/>
      <c r="C1808" s="47"/>
      <c r="D1808" s="47"/>
      <c r="E1808" s="47" t="b">
        <f>IFERROR(__xludf.DUMMYFUNCTION("""COMPUTED_VALUE"""),FALSE)</f>
        <v>0</v>
      </c>
      <c r="F1808" s="47"/>
      <c r="G1808" s="47" t="str">
        <f>IFERROR(__xludf.DUMMYFUNCTION("""COMPUTED_VALUE"""),"")</f>
        <v/>
      </c>
      <c r="H1808" s="47"/>
      <c r="I1808" s="47">
        <f>IFERROR(__xludf.DUMMYFUNCTION("""COMPUTED_VALUE"""),0.0)</f>
        <v>0</v>
      </c>
      <c r="J1808" s="47" t="str">
        <f>IFERROR(__xludf.DUMMYFUNCTION("""COMPUTED_VALUE"""),"#VALUE!")</f>
        <v>#VALUE!</v>
      </c>
      <c r="K1808" s="47"/>
      <c r="L1808" s="47"/>
      <c r="M1808" s="47"/>
    </row>
    <row r="1809">
      <c r="A1809" s="47" t="str">
        <f>IFERROR(__xludf.DUMMYFUNCTION("""COMPUTED_VALUE"""),"Virtual Brown")</f>
        <v>Virtual Brown</v>
      </c>
      <c r="B1809" s="47" t="str">
        <f>IFERROR(__xludf.DUMMYFUNCTION("""COMPUTED_VALUE"""),"TheFrog")</f>
        <v>TheFrog</v>
      </c>
      <c r="C1809" s="78" t="str">
        <f>IFERROR(__xludf.DUMMYFUNCTION("""COMPUTED_VALUE"""),"https://www.munzee.com/m/TheFrog/3569/")</f>
        <v>https://www.munzee.com/m/TheFrog/3569/</v>
      </c>
      <c r="D1809" s="47"/>
      <c r="E1809" s="47" t="b">
        <f>IFERROR(__xludf.DUMMYFUNCTION("""COMPUTED_VALUE"""),TRUE)</f>
        <v>1</v>
      </c>
      <c r="F1809" s="47" t="str">
        <f>IFERROR(__xludf.DUMMYFUNCTION("""COMPUTED_VALUE"""),"")</f>
        <v/>
      </c>
      <c r="G1809" s="47" t="str">
        <f>IFERROR(__xludf.DUMMYFUNCTION("""COMPUTED_VALUE"""),"")</f>
        <v/>
      </c>
      <c r="H1809" s="47"/>
      <c r="I1809" s="47">
        <f>IFERROR(__xludf.DUMMYFUNCTION("""COMPUTED_VALUE"""),2.0)</f>
        <v>2</v>
      </c>
      <c r="J1809" s="47" t="str">
        <f>IFERROR(__xludf.DUMMYFUNCTION("""COMPUTED_VALUE"""),"https:")</f>
        <v>https:</v>
      </c>
      <c r="K1809" s="78" t="str">
        <f>IFERROR(__xludf.DUMMYFUNCTION("""COMPUTED_VALUE"""),"www.munzee.com")</f>
        <v>www.munzee.com</v>
      </c>
      <c r="L1809" s="47" t="str">
        <f>IFERROR(__xludf.DUMMYFUNCTION("""COMPUTED_VALUE"""),"m")</f>
        <v>m</v>
      </c>
      <c r="M1809" s="47" t="str">
        <f>IFERROR(__xludf.DUMMYFUNCTION("""COMPUTED_VALUE"""),"TheFrog")</f>
        <v>TheFrog</v>
      </c>
    </row>
    <row r="1810">
      <c r="A1810" s="47" t="str">
        <f>IFERROR(__xludf.DUMMYFUNCTION("""COMPUTED_VALUE"""),"Virtual Brown")</f>
        <v>Virtual Brown</v>
      </c>
      <c r="B1810" s="47" t="str">
        <f>IFERROR(__xludf.DUMMYFUNCTION("""COMPUTED_VALUE"""),"123xilef")</f>
        <v>123xilef</v>
      </c>
      <c r="C1810" s="78" t="str">
        <f>IFERROR(__xludf.DUMMYFUNCTION("""COMPUTED_VALUE"""),"https://www.munzee.com/m/123xilef/13726/")</f>
        <v>https://www.munzee.com/m/123xilef/13726/</v>
      </c>
      <c r="D1810" s="47"/>
      <c r="E1810" s="47" t="b">
        <f>IFERROR(__xludf.DUMMYFUNCTION("""COMPUTED_VALUE"""),TRUE)</f>
        <v>1</v>
      </c>
      <c r="F1810" s="47" t="str">
        <f>IFERROR(__xludf.DUMMYFUNCTION("""COMPUTED_VALUE"""),"")</f>
        <v/>
      </c>
      <c r="G1810" s="47" t="str">
        <f>IFERROR(__xludf.DUMMYFUNCTION("""COMPUTED_VALUE"""),"")</f>
        <v/>
      </c>
      <c r="H1810" s="47"/>
      <c r="I1810" s="47">
        <f>IFERROR(__xludf.DUMMYFUNCTION("""COMPUTED_VALUE"""),2.0)</f>
        <v>2</v>
      </c>
      <c r="J1810" s="47" t="str">
        <f>IFERROR(__xludf.DUMMYFUNCTION("""COMPUTED_VALUE"""),"https:")</f>
        <v>https:</v>
      </c>
      <c r="K1810" s="78" t="str">
        <f>IFERROR(__xludf.DUMMYFUNCTION("""COMPUTED_VALUE"""),"www.munzee.com")</f>
        <v>www.munzee.com</v>
      </c>
      <c r="L1810" s="47" t="str">
        <f>IFERROR(__xludf.DUMMYFUNCTION("""COMPUTED_VALUE"""),"m")</f>
        <v>m</v>
      </c>
      <c r="M1810" s="47" t="str">
        <f>IFERROR(__xludf.DUMMYFUNCTION("""COMPUTED_VALUE"""),"123xilef")</f>
        <v>123xilef</v>
      </c>
    </row>
    <row r="1811">
      <c r="A1811" s="47" t="str">
        <f>IFERROR(__xludf.DUMMYFUNCTION("""COMPUTED_VALUE"""),"Virtual Raw Sienna")</f>
        <v>Virtual Raw Sienna</v>
      </c>
      <c r="B1811" s="47"/>
      <c r="C1811" s="47"/>
      <c r="D1811" s="47"/>
      <c r="E1811" s="47" t="b">
        <f>IFERROR(__xludf.DUMMYFUNCTION("""COMPUTED_VALUE"""),FALSE)</f>
        <v>0</v>
      </c>
      <c r="F1811" s="47"/>
      <c r="G1811" s="47" t="str">
        <f>IFERROR(__xludf.DUMMYFUNCTION("""COMPUTED_VALUE"""),"")</f>
        <v/>
      </c>
      <c r="H1811" s="47"/>
      <c r="I1811" s="47">
        <f>IFERROR(__xludf.DUMMYFUNCTION("""COMPUTED_VALUE"""),0.0)</f>
        <v>0</v>
      </c>
      <c r="J1811" s="47" t="str">
        <f>IFERROR(__xludf.DUMMYFUNCTION("""COMPUTED_VALUE"""),"#VALUE!")</f>
        <v>#VALUE!</v>
      </c>
      <c r="K1811" s="47"/>
      <c r="L1811" s="47"/>
      <c r="M1811" s="47"/>
    </row>
    <row r="1812">
      <c r="A1812" s="47" t="str">
        <f>IFERROR(__xludf.DUMMYFUNCTION("""COMPUTED_VALUE"""),"Virtual Brown")</f>
        <v>Virtual Brown</v>
      </c>
      <c r="B1812" s="47"/>
      <c r="C1812" s="47"/>
      <c r="D1812" s="47"/>
      <c r="E1812" s="47" t="b">
        <f>IFERROR(__xludf.DUMMYFUNCTION("""COMPUTED_VALUE"""),FALSE)</f>
        <v>0</v>
      </c>
      <c r="F1812" s="47"/>
      <c r="G1812" s="47" t="str">
        <f>IFERROR(__xludf.DUMMYFUNCTION("""COMPUTED_VALUE"""),"")</f>
        <v/>
      </c>
      <c r="H1812" s="47"/>
      <c r="I1812" s="47">
        <f>IFERROR(__xludf.DUMMYFUNCTION("""COMPUTED_VALUE"""),0.0)</f>
        <v>0</v>
      </c>
      <c r="J1812" s="47" t="str">
        <f>IFERROR(__xludf.DUMMYFUNCTION("""COMPUTED_VALUE"""),"#VALUE!")</f>
        <v>#VALUE!</v>
      </c>
      <c r="K1812" s="47"/>
      <c r="L1812" s="47"/>
      <c r="M1812" s="47"/>
    </row>
    <row r="1813">
      <c r="A1813" s="47" t="str">
        <f>IFERROR(__xludf.DUMMYFUNCTION("""COMPUTED_VALUE"""),"Virtual Brown")</f>
        <v>Virtual Brown</v>
      </c>
      <c r="B1813" s="47"/>
      <c r="C1813" s="47"/>
      <c r="D1813" s="47"/>
      <c r="E1813" s="47" t="b">
        <f>IFERROR(__xludf.DUMMYFUNCTION("""COMPUTED_VALUE"""),FALSE)</f>
        <v>0</v>
      </c>
      <c r="F1813" s="47"/>
      <c r="G1813" s="47" t="str">
        <f>IFERROR(__xludf.DUMMYFUNCTION("""COMPUTED_VALUE"""),"")</f>
        <v/>
      </c>
      <c r="H1813" s="47"/>
      <c r="I1813" s="47">
        <f>IFERROR(__xludf.DUMMYFUNCTION("""COMPUTED_VALUE"""),0.0)</f>
        <v>0</v>
      </c>
      <c r="J1813" s="47" t="str">
        <f>IFERROR(__xludf.DUMMYFUNCTION("""COMPUTED_VALUE"""),"#VALUE!")</f>
        <v>#VALUE!</v>
      </c>
      <c r="K1813" s="47"/>
      <c r="L1813" s="47"/>
      <c r="M1813" s="47"/>
    </row>
    <row r="1814">
      <c r="A1814" s="47" t="str">
        <f>IFERROR(__xludf.DUMMYFUNCTION("""COMPUTED_VALUE"""),"Virtual Brown")</f>
        <v>Virtual Brown</v>
      </c>
      <c r="B1814" s="47"/>
      <c r="C1814" s="47"/>
      <c r="D1814" s="47"/>
      <c r="E1814" s="47" t="b">
        <f>IFERROR(__xludf.DUMMYFUNCTION("""COMPUTED_VALUE"""),FALSE)</f>
        <v>0</v>
      </c>
      <c r="F1814" s="47"/>
      <c r="G1814" s="47" t="str">
        <f>IFERROR(__xludf.DUMMYFUNCTION("""COMPUTED_VALUE"""),"")</f>
        <v/>
      </c>
      <c r="H1814" s="47"/>
      <c r="I1814" s="47">
        <f>IFERROR(__xludf.DUMMYFUNCTION("""COMPUTED_VALUE"""),0.0)</f>
        <v>0</v>
      </c>
      <c r="J1814" s="47" t="str">
        <f>IFERROR(__xludf.DUMMYFUNCTION("""COMPUTED_VALUE"""),"#VALUE!")</f>
        <v>#VALUE!</v>
      </c>
      <c r="K1814" s="47"/>
      <c r="L1814" s="47"/>
      <c r="M1814" s="47"/>
    </row>
    <row r="1815">
      <c r="A1815" s="47" t="str">
        <f>IFERROR(__xludf.DUMMYFUNCTION("""COMPUTED_VALUE"""),"Virtual Brown")</f>
        <v>Virtual Brown</v>
      </c>
      <c r="B1815" s="47"/>
      <c r="C1815" s="47"/>
      <c r="D1815" s="47"/>
      <c r="E1815" s="47" t="b">
        <f>IFERROR(__xludf.DUMMYFUNCTION("""COMPUTED_VALUE"""),FALSE)</f>
        <v>0</v>
      </c>
      <c r="F1815" s="47"/>
      <c r="G1815" s="47" t="str">
        <f>IFERROR(__xludf.DUMMYFUNCTION("""COMPUTED_VALUE"""),"")</f>
        <v/>
      </c>
      <c r="H1815" s="47"/>
      <c r="I1815" s="47">
        <f>IFERROR(__xludf.DUMMYFUNCTION("""COMPUTED_VALUE"""),0.0)</f>
        <v>0</v>
      </c>
      <c r="J1815" s="47" t="str">
        <f>IFERROR(__xludf.DUMMYFUNCTION("""COMPUTED_VALUE"""),"#VALUE!")</f>
        <v>#VALUE!</v>
      </c>
      <c r="K1815" s="47"/>
      <c r="L1815" s="47"/>
      <c r="M1815" s="47"/>
    </row>
    <row r="1816">
      <c r="A1816" s="47" t="str">
        <f>IFERROR(__xludf.DUMMYFUNCTION("""COMPUTED_VALUE"""),"Virtual Brown")</f>
        <v>Virtual Brown</v>
      </c>
      <c r="B1816" s="47" t="str">
        <f>IFERROR(__xludf.DUMMYFUNCTION("""COMPUTED_VALUE"""),"mortonfox")</f>
        <v>mortonfox</v>
      </c>
      <c r="C1816" s="78" t="str">
        <f>IFERROR(__xludf.DUMMYFUNCTION("""COMPUTED_VALUE"""),"https://www.munzee.com/m/mortonfox/24166/")</f>
        <v>https://www.munzee.com/m/mortonfox/24166/</v>
      </c>
      <c r="D1816" s="47"/>
      <c r="E1816" s="47" t="b">
        <f>IFERROR(__xludf.DUMMYFUNCTION("""COMPUTED_VALUE"""),TRUE)</f>
        <v>1</v>
      </c>
      <c r="F1816" s="47" t="str">
        <f>IFERROR(__xludf.DUMMYFUNCTION("""COMPUTED_VALUE"""),"")</f>
        <v/>
      </c>
      <c r="G1816" s="47" t="str">
        <f>IFERROR(__xludf.DUMMYFUNCTION("""COMPUTED_VALUE"""),"")</f>
        <v/>
      </c>
      <c r="H1816" s="47"/>
      <c r="I1816" s="47">
        <f>IFERROR(__xludf.DUMMYFUNCTION("""COMPUTED_VALUE"""),2.0)</f>
        <v>2</v>
      </c>
      <c r="J1816" s="47" t="str">
        <f>IFERROR(__xludf.DUMMYFUNCTION("""COMPUTED_VALUE"""),"https:")</f>
        <v>https:</v>
      </c>
      <c r="K1816" s="78" t="str">
        <f>IFERROR(__xludf.DUMMYFUNCTION("""COMPUTED_VALUE"""),"www.munzee.com")</f>
        <v>www.munzee.com</v>
      </c>
      <c r="L1816" s="47" t="str">
        <f>IFERROR(__xludf.DUMMYFUNCTION("""COMPUTED_VALUE"""),"m")</f>
        <v>m</v>
      </c>
      <c r="M1816" s="47" t="str">
        <f>IFERROR(__xludf.DUMMYFUNCTION("""COMPUTED_VALUE"""),"mortonfox")</f>
        <v>mortonfox</v>
      </c>
    </row>
    <row r="1817">
      <c r="A1817" s="47" t="str">
        <f>IFERROR(__xludf.DUMMYFUNCTION("""COMPUTED_VALUE"""),"Virtual Brown")</f>
        <v>Virtual Brown</v>
      </c>
      <c r="B1817" s="47"/>
      <c r="C1817" s="47"/>
      <c r="D1817" s="47"/>
      <c r="E1817" s="47" t="b">
        <f>IFERROR(__xludf.DUMMYFUNCTION("""COMPUTED_VALUE"""),FALSE)</f>
        <v>0</v>
      </c>
      <c r="F1817" s="47"/>
      <c r="G1817" s="47" t="str">
        <f>IFERROR(__xludf.DUMMYFUNCTION("""COMPUTED_VALUE"""),"")</f>
        <v/>
      </c>
      <c r="H1817" s="47"/>
      <c r="I1817" s="47">
        <f>IFERROR(__xludf.DUMMYFUNCTION("""COMPUTED_VALUE"""),0.0)</f>
        <v>0</v>
      </c>
      <c r="J1817" s="47" t="str">
        <f>IFERROR(__xludf.DUMMYFUNCTION("""COMPUTED_VALUE"""),"#VALUE!")</f>
        <v>#VALUE!</v>
      </c>
      <c r="K1817" s="47"/>
      <c r="L1817" s="47"/>
      <c r="M1817" s="47"/>
    </row>
    <row r="1818">
      <c r="A1818" s="47" t="str">
        <f>IFERROR(__xludf.DUMMYFUNCTION("""COMPUTED_VALUE"""),"Virtual Raw Sienna")</f>
        <v>Virtual Raw Sienna</v>
      </c>
      <c r="B1818" s="47"/>
      <c r="C1818" s="47"/>
      <c r="D1818" s="47"/>
      <c r="E1818" s="47" t="b">
        <f>IFERROR(__xludf.DUMMYFUNCTION("""COMPUTED_VALUE"""),FALSE)</f>
        <v>0</v>
      </c>
      <c r="F1818" s="47"/>
      <c r="G1818" s="47" t="str">
        <f>IFERROR(__xludf.DUMMYFUNCTION("""COMPUTED_VALUE"""),"")</f>
        <v/>
      </c>
      <c r="H1818" s="47"/>
      <c r="I1818" s="47">
        <f>IFERROR(__xludf.DUMMYFUNCTION("""COMPUTED_VALUE"""),0.0)</f>
        <v>0</v>
      </c>
      <c r="J1818" s="47" t="str">
        <f>IFERROR(__xludf.DUMMYFUNCTION("""COMPUTED_VALUE"""),"#VALUE!")</f>
        <v>#VALUE!</v>
      </c>
      <c r="K1818" s="47"/>
      <c r="L1818" s="47"/>
      <c r="M1818" s="47"/>
    </row>
    <row r="1819">
      <c r="A1819" s="47" t="str">
        <f>IFERROR(__xludf.DUMMYFUNCTION("""COMPUTED_VALUE"""),"Virtual Raw Sienna")</f>
        <v>Virtual Raw Sienna</v>
      </c>
      <c r="B1819" s="47" t="str">
        <f>IFERROR(__xludf.DUMMYFUNCTION("""COMPUTED_VALUE"""),"barefootguru")</f>
        <v>barefootguru</v>
      </c>
      <c r="C1819" s="78" t="str">
        <f>IFERROR(__xludf.DUMMYFUNCTION("""COMPUTED_VALUE"""),"https://www.munzee.com/m/barefootguru/3527/")</f>
        <v>https://www.munzee.com/m/barefootguru/3527/</v>
      </c>
      <c r="D1819" s="47"/>
      <c r="E1819" s="47" t="b">
        <f>IFERROR(__xludf.DUMMYFUNCTION("""COMPUTED_VALUE"""),TRUE)</f>
        <v>1</v>
      </c>
      <c r="F1819" s="47" t="str">
        <f>IFERROR(__xludf.DUMMYFUNCTION("""COMPUTED_VALUE"""),"")</f>
        <v/>
      </c>
      <c r="G1819" s="47" t="str">
        <f>IFERROR(__xludf.DUMMYFUNCTION("""COMPUTED_VALUE"""),"")</f>
        <v/>
      </c>
      <c r="H1819" s="47"/>
      <c r="I1819" s="47">
        <f>IFERROR(__xludf.DUMMYFUNCTION("""COMPUTED_VALUE"""),2.0)</f>
        <v>2</v>
      </c>
      <c r="J1819" s="47" t="str">
        <f>IFERROR(__xludf.DUMMYFUNCTION("""COMPUTED_VALUE"""),"https:")</f>
        <v>https:</v>
      </c>
      <c r="K1819" s="78" t="str">
        <f>IFERROR(__xludf.DUMMYFUNCTION("""COMPUTED_VALUE"""),"www.munzee.com")</f>
        <v>www.munzee.com</v>
      </c>
      <c r="L1819" s="47" t="str">
        <f>IFERROR(__xludf.DUMMYFUNCTION("""COMPUTED_VALUE"""),"m")</f>
        <v>m</v>
      </c>
      <c r="M1819" s="47" t="str">
        <f>IFERROR(__xludf.DUMMYFUNCTION("""COMPUTED_VALUE"""),"barefootguru")</f>
        <v>barefootguru</v>
      </c>
    </row>
    <row r="1820">
      <c r="A1820" s="47" t="str">
        <f>IFERROR(__xludf.DUMMYFUNCTION("""COMPUTED_VALUE"""),"Virtual Brown")</f>
        <v>Virtual Brown</v>
      </c>
      <c r="B1820" s="47" t="str">
        <f>IFERROR(__xludf.DUMMYFUNCTION("""COMPUTED_VALUE"""),"Ellesche")</f>
        <v>Ellesche</v>
      </c>
      <c r="C1820" s="78" t="str">
        <f>IFERROR(__xludf.DUMMYFUNCTION("""COMPUTED_VALUE"""),"https://www.munzee.com/m/Ellesche/769")</f>
        <v>https://www.munzee.com/m/Ellesche/769</v>
      </c>
      <c r="D1820" s="47"/>
      <c r="E1820" s="47" t="b">
        <f>IFERROR(__xludf.DUMMYFUNCTION("""COMPUTED_VALUE"""),TRUE)</f>
        <v>1</v>
      </c>
      <c r="F1820" s="47" t="str">
        <f>IFERROR(__xludf.DUMMYFUNCTION("""COMPUTED_VALUE"""),"")</f>
        <v/>
      </c>
      <c r="G1820" s="47" t="str">
        <f>IFERROR(__xludf.DUMMYFUNCTION("""COMPUTED_VALUE"""),"")</f>
        <v/>
      </c>
      <c r="H1820" s="47"/>
      <c r="I1820" s="47">
        <f>IFERROR(__xludf.DUMMYFUNCTION("""COMPUTED_VALUE"""),2.0)</f>
        <v>2</v>
      </c>
      <c r="J1820" s="47" t="str">
        <f>IFERROR(__xludf.DUMMYFUNCTION("""COMPUTED_VALUE"""),"https:")</f>
        <v>https:</v>
      </c>
      <c r="K1820" s="78" t="str">
        <f>IFERROR(__xludf.DUMMYFUNCTION("""COMPUTED_VALUE"""),"www.munzee.com")</f>
        <v>www.munzee.com</v>
      </c>
      <c r="L1820" s="47" t="str">
        <f>IFERROR(__xludf.DUMMYFUNCTION("""COMPUTED_VALUE"""),"m")</f>
        <v>m</v>
      </c>
      <c r="M1820" s="47" t="str">
        <f>IFERROR(__xludf.DUMMYFUNCTION("""COMPUTED_VALUE"""),"Ellesche")</f>
        <v>Ellesche</v>
      </c>
    </row>
    <row r="1821">
      <c r="A1821" s="47" t="str">
        <f>IFERROR(__xludf.DUMMYFUNCTION("""COMPUTED_VALUE"""),"Virtual Brown")</f>
        <v>Virtual Brown</v>
      </c>
      <c r="B1821" s="47" t="str">
        <f>IFERROR(__xludf.DUMMYFUNCTION("""COMPUTED_VALUE"""),"Belladivadee")</f>
        <v>Belladivadee</v>
      </c>
      <c r="C1821" s="78" t="str">
        <f>IFERROR(__xludf.DUMMYFUNCTION("""COMPUTED_VALUE"""),"https://www.munzee.com/m/belladivadee/3040")</f>
        <v>https://www.munzee.com/m/belladivadee/3040</v>
      </c>
      <c r="D1821" s="47"/>
      <c r="E1821" s="47" t="b">
        <f>IFERROR(__xludf.DUMMYFUNCTION("""COMPUTED_VALUE"""),TRUE)</f>
        <v>1</v>
      </c>
      <c r="F1821" s="47" t="str">
        <f>IFERROR(__xludf.DUMMYFUNCTION("""COMPUTED_VALUE"""),"")</f>
        <v/>
      </c>
      <c r="G1821" s="47" t="str">
        <f>IFERROR(__xludf.DUMMYFUNCTION("""COMPUTED_VALUE"""),"")</f>
        <v/>
      </c>
      <c r="H1821" s="47"/>
      <c r="I1821" s="47">
        <f>IFERROR(__xludf.DUMMYFUNCTION("""COMPUTED_VALUE"""),2.0)</f>
        <v>2</v>
      </c>
      <c r="J1821" s="47" t="str">
        <f>IFERROR(__xludf.DUMMYFUNCTION("""COMPUTED_VALUE"""),"https:")</f>
        <v>https:</v>
      </c>
      <c r="K1821" s="78" t="str">
        <f>IFERROR(__xludf.DUMMYFUNCTION("""COMPUTED_VALUE"""),"www.munzee.com")</f>
        <v>www.munzee.com</v>
      </c>
      <c r="L1821" s="47" t="str">
        <f>IFERROR(__xludf.DUMMYFUNCTION("""COMPUTED_VALUE"""),"m")</f>
        <v>m</v>
      </c>
      <c r="M1821" s="47" t="str">
        <f>IFERROR(__xludf.DUMMYFUNCTION("""COMPUTED_VALUE"""),"belladivadee")</f>
        <v>belladivadee</v>
      </c>
    </row>
    <row r="1822">
      <c r="A1822" s="47" t="str">
        <f>IFERROR(__xludf.DUMMYFUNCTION("""COMPUTED_VALUE"""),"Virtual Brown")</f>
        <v>Virtual Brown</v>
      </c>
      <c r="B1822" s="47" t="str">
        <f>IFERROR(__xludf.DUMMYFUNCTION("""COMPUTED_VALUE"""),"sverlaan")</f>
        <v>sverlaan</v>
      </c>
      <c r="C1822" s="78" t="str">
        <f>IFERROR(__xludf.DUMMYFUNCTION("""COMPUTED_VALUE"""),"https://www.munzee.com/m/sverlaan/4346/")</f>
        <v>https://www.munzee.com/m/sverlaan/4346/</v>
      </c>
      <c r="D1822" s="47"/>
      <c r="E1822" s="47" t="b">
        <f>IFERROR(__xludf.DUMMYFUNCTION("""COMPUTED_VALUE"""),TRUE)</f>
        <v>1</v>
      </c>
      <c r="F1822" s="47" t="str">
        <f>IFERROR(__xludf.DUMMYFUNCTION("""COMPUTED_VALUE"""),"")</f>
        <v/>
      </c>
      <c r="G1822" s="47" t="str">
        <f>IFERROR(__xludf.DUMMYFUNCTION("""COMPUTED_VALUE"""),"")</f>
        <v/>
      </c>
      <c r="H1822" s="47"/>
      <c r="I1822" s="47">
        <f>IFERROR(__xludf.DUMMYFUNCTION("""COMPUTED_VALUE"""),2.0)</f>
        <v>2</v>
      </c>
      <c r="J1822" s="47" t="str">
        <f>IFERROR(__xludf.DUMMYFUNCTION("""COMPUTED_VALUE"""),"https:")</f>
        <v>https:</v>
      </c>
      <c r="K1822" s="78" t="str">
        <f>IFERROR(__xludf.DUMMYFUNCTION("""COMPUTED_VALUE"""),"www.munzee.com")</f>
        <v>www.munzee.com</v>
      </c>
      <c r="L1822" s="47" t="str">
        <f>IFERROR(__xludf.DUMMYFUNCTION("""COMPUTED_VALUE"""),"m")</f>
        <v>m</v>
      </c>
      <c r="M1822" s="47" t="str">
        <f>IFERROR(__xludf.DUMMYFUNCTION("""COMPUTED_VALUE"""),"sverlaan")</f>
        <v>sverlaan</v>
      </c>
    </row>
    <row r="1823">
      <c r="A1823" s="47" t="str">
        <f>IFERROR(__xludf.DUMMYFUNCTION("""COMPUTED_VALUE"""),"Virtual Raw Sienna")</f>
        <v>Virtual Raw Sienna</v>
      </c>
      <c r="B1823" s="47" t="str">
        <f>IFERROR(__xludf.DUMMYFUNCTION("""COMPUTED_VALUE"""),"PawPatrolThomas")</f>
        <v>PawPatrolThomas</v>
      </c>
      <c r="C1823" s="78" t="str">
        <f>IFERROR(__xludf.DUMMYFUNCTION("""COMPUTED_VALUE"""),"https://www.munzee.com/m/PawPatrolThomas/2441/")</f>
        <v>https://www.munzee.com/m/PawPatrolThomas/2441/</v>
      </c>
      <c r="D1823" s="47"/>
      <c r="E1823" s="47" t="b">
        <f>IFERROR(__xludf.DUMMYFUNCTION("""COMPUTED_VALUE"""),TRUE)</f>
        <v>1</v>
      </c>
      <c r="F1823" s="47" t="str">
        <f>IFERROR(__xludf.DUMMYFUNCTION("""COMPUTED_VALUE"""),"")</f>
        <v/>
      </c>
      <c r="G1823" s="47" t="str">
        <f>IFERROR(__xludf.DUMMYFUNCTION("""COMPUTED_VALUE"""),"")</f>
        <v/>
      </c>
      <c r="H1823" s="47"/>
      <c r="I1823" s="47">
        <f>IFERROR(__xludf.DUMMYFUNCTION("""COMPUTED_VALUE"""),2.0)</f>
        <v>2</v>
      </c>
      <c r="J1823" s="47" t="str">
        <f>IFERROR(__xludf.DUMMYFUNCTION("""COMPUTED_VALUE"""),"https:")</f>
        <v>https:</v>
      </c>
      <c r="K1823" s="78" t="str">
        <f>IFERROR(__xludf.DUMMYFUNCTION("""COMPUTED_VALUE"""),"www.munzee.com")</f>
        <v>www.munzee.com</v>
      </c>
      <c r="L1823" s="47" t="str">
        <f>IFERROR(__xludf.DUMMYFUNCTION("""COMPUTED_VALUE"""),"m")</f>
        <v>m</v>
      </c>
      <c r="M1823" s="47" t="str">
        <f>IFERROR(__xludf.DUMMYFUNCTION("""COMPUTED_VALUE"""),"PawPatrolThomas")</f>
        <v>PawPatrolThomas</v>
      </c>
    </row>
    <row r="1824">
      <c r="A1824" s="47" t="str">
        <f>IFERROR(__xludf.DUMMYFUNCTION("""COMPUTED_VALUE"""),"Virtual Raw Sienna")</f>
        <v>Virtual Raw Sienna</v>
      </c>
      <c r="B1824" s="47" t="str">
        <f>IFERROR(__xludf.DUMMYFUNCTION("""COMPUTED_VALUE"""),"EmileP68")</f>
        <v>EmileP68</v>
      </c>
      <c r="C1824" s="78" t="str">
        <f>IFERROR(__xludf.DUMMYFUNCTION("""COMPUTED_VALUE"""),"https://www.munzee.com/m/EmileP68/3141/")</f>
        <v>https://www.munzee.com/m/EmileP68/3141/</v>
      </c>
      <c r="D1824" s="47"/>
      <c r="E1824" s="47" t="b">
        <f>IFERROR(__xludf.DUMMYFUNCTION("""COMPUTED_VALUE"""),TRUE)</f>
        <v>1</v>
      </c>
      <c r="F1824" s="47" t="str">
        <f>IFERROR(__xludf.DUMMYFUNCTION("""COMPUTED_VALUE"""),"")</f>
        <v/>
      </c>
      <c r="G1824" s="47" t="str">
        <f>IFERROR(__xludf.DUMMYFUNCTION("""COMPUTED_VALUE"""),"")</f>
        <v/>
      </c>
      <c r="H1824" s="47"/>
      <c r="I1824" s="47">
        <f>IFERROR(__xludf.DUMMYFUNCTION("""COMPUTED_VALUE"""),2.0)</f>
        <v>2</v>
      </c>
      <c r="J1824" s="47" t="str">
        <f>IFERROR(__xludf.DUMMYFUNCTION("""COMPUTED_VALUE"""),"https:")</f>
        <v>https:</v>
      </c>
      <c r="K1824" s="78" t="str">
        <f>IFERROR(__xludf.DUMMYFUNCTION("""COMPUTED_VALUE"""),"www.munzee.com")</f>
        <v>www.munzee.com</v>
      </c>
      <c r="L1824" s="47" t="str">
        <f>IFERROR(__xludf.DUMMYFUNCTION("""COMPUTED_VALUE"""),"m")</f>
        <v>m</v>
      </c>
      <c r="M1824" s="47" t="str">
        <f>IFERROR(__xludf.DUMMYFUNCTION("""COMPUTED_VALUE"""),"EmileP68")</f>
        <v>EmileP68</v>
      </c>
    </row>
    <row r="1825">
      <c r="A1825" s="47" t="str">
        <f>IFERROR(__xludf.DUMMYFUNCTION("""COMPUTED_VALUE"""),"Virtual Brown")</f>
        <v>Virtual Brown</v>
      </c>
      <c r="B1825" s="47" t="str">
        <f>IFERROR(__xludf.DUMMYFUNCTION("""COMPUTED_VALUE"""),"OdinsFiRe")</f>
        <v>OdinsFiRe</v>
      </c>
      <c r="C1825" s="78" t="str">
        <f>IFERROR(__xludf.DUMMYFUNCTION("""COMPUTED_VALUE"""),"https://www.munzee.com/m/OdinsFiRe/1646/")</f>
        <v>https://www.munzee.com/m/OdinsFiRe/1646/</v>
      </c>
      <c r="D1825" s="47" t="str">
        <f>IFERROR(__xludf.DUMMYFUNCTION("""COMPUTED_VALUE"""),"27/8")</f>
        <v>27/8</v>
      </c>
      <c r="E1825" s="47" t="b">
        <f>IFERROR(__xludf.DUMMYFUNCTION("""COMPUTED_VALUE"""),TRUE)</f>
        <v>1</v>
      </c>
      <c r="F1825" s="47" t="str">
        <f>IFERROR(__xludf.DUMMYFUNCTION("""COMPUTED_VALUE"""),"")</f>
        <v/>
      </c>
      <c r="G1825" s="47" t="str">
        <f>IFERROR(__xludf.DUMMYFUNCTION("""COMPUTED_VALUE"""),"")</f>
        <v/>
      </c>
      <c r="H1825" s="47"/>
      <c r="I1825" s="47">
        <f>IFERROR(__xludf.DUMMYFUNCTION("""COMPUTED_VALUE"""),2.0)</f>
        <v>2</v>
      </c>
      <c r="J1825" s="47" t="str">
        <f>IFERROR(__xludf.DUMMYFUNCTION("""COMPUTED_VALUE"""),"https:")</f>
        <v>https:</v>
      </c>
      <c r="K1825" s="78" t="str">
        <f>IFERROR(__xludf.DUMMYFUNCTION("""COMPUTED_VALUE"""),"www.munzee.com")</f>
        <v>www.munzee.com</v>
      </c>
      <c r="L1825" s="47" t="str">
        <f>IFERROR(__xludf.DUMMYFUNCTION("""COMPUTED_VALUE"""),"m")</f>
        <v>m</v>
      </c>
      <c r="M1825" s="47" t="str">
        <f>IFERROR(__xludf.DUMMYFUNCTION("""COMPUTED_VALUE"""),"OdinsFiRe")</f>
        <v>OdinsFiRe</v>
      </c>
    </row>
    <row r="1826">
      <c r="A1826" s="47" t="str">
        <f>IFERROR(__xludf.DUMMYFUNCTION("""COMPUTED_VALUE"""),"Virtual Brown")</f>
        <v>Virtual Brown</v>
      </c>
      <c r="B1826" s="47" t="str">
        <f>IFERROR(__xludf.DUMMYFUNCTION("""COMPUTED_VALUE"""),"Drazoria")</f>
        <v>Drazoria</v>
      </c>
      <c r="C1826" s="78" t="str">
        <f>IFERROR(__xludf.DUMMYFUNCTION("""COMPUTED_VALUE"""),"https://www.munzee.com/m/Drazoria/838/")</f>
        <v>https://www.munzee.com/m/Drazoria/838/</v>
      </c>
      <c r="D1826" s="47"/>
      <c r="E1826" s="47" t="b">
        <f>IFERROR(__xludf.DUMMYFUNCTION("""COMPUTED_VALUE"""),TRUE)</f>
        <v>1</v>
      </c>
      <c r="F1826" s="47" t="str">
        <f>IFERROR(__xludf.DUMMYFUNCTION("""COMPUTED_VALUE"""),"")</f>
        <v/>
      </c>
      <c r="G1826" s="47" t="str">
        <f>IFERROR(__xludf.DUMMYFUNCTION("""COMPUTED_VALUE"""),"")</f>
        <v/>
      </c>
      <c r="H1826" s="47"/>
      <c r="I1826" s="47">
        <f>IFERROR(__xludf.DUMMYFUNCTION("""COMPUTED_VALUE"""),2.0)</f>
        <v>2</v>
      </c>
      <c r="J1826" s="47" t="str">
        <f>IFERROR(__xludf.DUMMYFUNCTION("""COMPUTED_VALUE"""),"https:")</f>
        <v>https:</v>
      </c>
      <c r="K1826" s="78" t="str">
        <f>IFERROR(__xludf.DUMMYFUNCTION("""COMPUTED_VALUE"""),"www.munzee.com")</f>
        <v>www.munzee.com</v>
      </c>
      <c r="L1826" s="47" t="str">
        <f>IFERROR(__xludf.DUMMYFUNCTION("""COMPUTED_VALUE"""),"m")</f>
        <v>m</v>
      </c>
      <c r="M1826" s="47" t="str">
        <f>IFERROR(__xludf.DUMMYFUNCTION("""COMPUTED_VALUE"""),"Drazoria")</f>
        <v>Drazoria</v>
      </c>
    </row>
    <row r="1827">
      <c r="A1827" s="47" t="str">
        <f>IFERROR(__xludf.DUMMYFUNCTION("""COMPUTED_VALUE"""),"Virtual Brown")</f>
        <v>Virtual Brown</v>
      </c>
      <c r="B1827" s="47" t="str">
        <f>IFERROR(__xludf.DUMMYFUNCTION("""COMPUTED_VALUE"""),"Tinake1309")</f>
        <v>Tinake1309</v>
      </c>
      <c r="C1827" s="78" t="str">
        <f>IFERROR(__xludf.DUMMYFUNCTION("""COMPUTED_VALUE"""),"https://www.munzee.com/m/Tinake1309/793/")</f>
        <v>https://www.munzee.com/m/Tinake1309/793/</v>
      </c>
      <c r="D1827" s="47"/>
      <c r="E1827" s="47" t="b">
        <f>IFERROR(__xludf.DUMMYFUNCTION("""COMPUTED_VALUE"""),TRUE)</f>
        <v>1</v>
      </c>
      <c r="F1827" s="47" t="str">
        <f>IFERROR(__xludf.DUMMYFUNCTION("""COMPUTED_VALUE"""),"")</f>
        <v/>
      </c>
      <c r="G1827" s="47" t="str">
        <f>IFERROR(__xludf.DUMMYFUNCTION("""COMPUTED_VALUE"""),"")</f>
        <v/>
      </c>
      <c r="H1827" s="47"/>
      <c r="I1827" s="47">
        <f>IFERROR(__xludf.DUMMYFUNCTION("""COMPUTED_VALUE"""),2.0)</f>
        <v>2</v>
      </c>
      <c r="J1827" s="47" t="str">
        <f>IFERROR(__xludf.DUMMYFUNCTION("""COMPUTED_VALUE"""),"https:")</f>
        <v>https:</v>
      </c>
      <c r="K1827" s="78" t="str">
        <f>IFERROR(__xludf.DUMMYFUNCTION("""COMPUTED_VALUE"""),"www.munzee.com")</f>
        <v>www.munzee.com</v>
      </c>
      <c r="L1827" s="47" t="str">
        <f>IFERROR(__xludf.DUMMYFUNCTION("""COMPUTED_VALUE"""),"m")</f>
        <v>m</v>
      </c>
      <c r="M1827" s="47" t="str">
        <f>IFERROR(__xludf.DUMMYFUNCTION("""COMPUTED_VALUE"""),"Tinake1309")</f>
        <v>Tinake1309</v>
      </c>
    </row>
    <row r="1828">
      <c r="A1828" s="47" t="str">
        <f>IFERROR(__xludf.DUMMYFUNCTION("""COMPUTED_VALUE"""),"Virtual Raw Sienna")</f>
        <v>Virtual Raw Sienna</v>
      </c>
      <c r="B1828" s="47" t="str">
        <f>IFERROR(__xludf.DUMMYFUNCTION("""COMPUTED_VALUE"""),"Berg14")</f>
        <v>Berg14</v>
      </c>
      <c r="C1828" s="78" t="str">
        <f>IFERROR(__xludf.DUMMYFUNCTION("""COMPUTED_VALUE"""),"https://www.munzee.com/m/Berg14/637/")</f>
        <v>https://www.munzee.com/m/Berg14/637/</v>
      </c>
      <c r="D1828" s="47"/>
      <c r="E1828" s="47" t="b">
        <f>IFERROR(__xludf.DUMMYFUNCTION("""COMPUTED_VALUE"""),TRUE)</f>
        <v>1</v>
      </c>
      <c r="F1828" s="47" t="str">
        <f>IFERROR(__xludf.DUMMYFUNCTION("""COMPUTED_VALUE"""),"")</f>
        <v/>
      </c>
      <c r="G1828" s="47" t="str">
        <f>IFERROR(__xludf.DUMMYFUNCTION("""COMPUTED_VALUE"""),"")</f>
        <v/>
      </c>
      <c r="H1828" s="47"/>
      <c r="I1828" s="47">
        <f>IFERROR(__xludf.DUMMYFUNCTION("""COMPUTED_VALUE"""),2.0)</f>
        <v>2</v>
      </c>
      <c r="J1828" s="47" t="str">
        <f>IFERROR(__xludf.DUMMYFUNCTION("""COMPUTED_VALUE"""),"https:")</f>
        <v>https:</v>
      </c>
      <c r="K1828" s="78" t="str">
        <f>IFERROR(__xludf.DUMMYFUNCTION("""COMPUTED_VALUE"""),"www.munzee.com")</f>
        <v>www.munzee.com</v>
      </c>
      <c r="L1828" s="47" t="str">
        <f>IFERROR(__xludf.DUMMYFUNCTION("""COMPUTED_VALUE"""),"m")</f>
        <v>m</v>
      </c>
      <c r="M1828" s="47" t="str">
        <f>IFERROR(__xludf.DUMMYFUNCTION("""COMPUTED_VALUE"""),"Berg14")</f>
        <v>Berg14</v>
      </c>
    </row>
    <row r="1829">
      <c r="A1829" s="47" t="str">
        <f>IFERROR(__xludf.DUMMYFUNCTION("""COMPUTED_VALUE"""),"Virtual Brown")</f>
        <v>Virtual Brown</v>
      </c>
      <c r="B1829" s="47" t="str">
        <f>IFERROR(__xludf.DUMMYFUNCTION("""COMPUTED_VALUE"""),"Niks14")</f>
        <v>Niks14</v>
      </c>
      <c r="C1829" s="78" t="str">
        <f>IFERROR(__xludf.DUMMYFUNCTION("""COMPUTED_VALUE"""),"https://www.munzee.com/m/Niks13/612/")</f>
        <v>https://www.munzee.com/m/Niks13/612/</v>
      </c>
      <c r="D1829" s="47"/>
      <c r="E1829" s="47" t="b">
        <f>IFERROR(__xludf.DUMMYFUNCTION("""COMPUTED_VALUE"""),TRUE)</f>
        <v>1</v>
      </c>
      <c r="F1829" s="47" t="str">
        <f>IFERROR(__xludf.DUMMYFUNCTION("""COMPUTED_VALUE"""),"")</f>
        <v/>
      </c>
      <c r="G1829" s="47" t="str">
        <f>IFERROR(__xludf.DUMMYFUNCTION("""COMPUTED_VALUE"""),"")</f>
        <v/>
      </c>
      <c r="H1829" s="47"/>
      <c r="I1829" s="47">
        <f>IFERROR(__xludf.DUMMYFUNCTION("""COMPUTED_VALUE"""),2.0)</f>
        <v>2</v>
      </c>
      <c r="J1829" s="47" t="str">
        <f>IFERROR(__xludf.DUMMYFUNCTION("""COMPUTED_VALUE"""),"https:")</f>
        <v>https:</v>
      </c>
      <c r="K1829" s="78" t="str">
        <f>IFERROR(__xludf.DUMMYFUNCTION("""COMPUTED_VALUE"""),"www.munzee.com")</f>
        <v>www.munzee.com</v>
      </c>
      <c r="L1829" s="47" t="str">
        <f>IFERROR(__xludf.DUMMYFUNCTION("""COMPUTED_VALUE"""),"m")</f>
        <v>m</v>
      </c>
      <c r="M1829" s="47" t="str">
        <f>IFERROR(__xludf.DUMMYFUNCTION("""COMPUTED_VALUE"""),"Niks13")</f>
        <v>Niks13</v>
      </c>
    </row>
    <row r="1830">
      <c r="A1830" s="47" t="str">
        <f>IFERROR(__xludf.DUMMYFUNCTION("""COMPUTED_VALUE"""),"Virtual Brown")</f>
        <v>Virtual Brown</v>
      </c>
      <c r="B1830" s="47" t="str">
        <f>IFERROR(__xludf.DUMMYFUNCTION("""COMPUTED_VALUE"""),"fsafranek")</f>
        <v>fsafranek</v>
      </c>
      <c r="C1830" s="78" t="str">
        <f>IFERROR(__xludf.DUMMYFUNCTION("""COMPUTED_VALUE"""),"https://www.munzee.com/m/fsafranek/4203/")</f>
        <v>https://www.munzee.com/m/fsafranek/4203/</v>
      </c>
      <c r="D1830" s="47"/>
      <c r="E1830" s="47" t="b">
        <f>IFERROR(__xludf.DUMMYFUNCTION("""COMPUTED_VALUE"""),TRUE)</f>
        <v>1</v>
      </c>
      <c r="F1830" s="47" t="str">
        <f>IFERROR(__xludf.DUMMYFUNCTION("""COMPUTED_VALUE"""),"")</f>
        <v/>
      </c>
      <c r="G1830" s="47" t="str">
        <f>IFERROR(__xludf.DUMMYFUNCTION("""COMPUTED_VALUE"""),"")</f>
        <v/>
      </c>
      <c r="H1830" s="47"/>
      <c r="I1830" s="47">
        <f>IFERROR(__xludf.DUMMYFUNCTION("""COMPUTED_VALUE"""),2.0)</f>
        <v>2</v>
      </c>
      <c r="J1830" s="47" t="str">
        <f>IFERROR(__xludf.DUMMYFUNCTION("""COMPUTED_VALUE"""),"https:")</f>
        <v>https:</v>
      </c>
      <c r="K1830" s="78" t="str">
        <f>IFERROR(__xludf.DUMMYFUNCTION("""COMPUTED_VALUE"""),"www.munzee.com")</f>
        <v>www.munzee.com</v>
      </c>
      <c r="L1830" s="47" t="str">
        <f>IFERROR(__xludf.DUMMYFUNCTION("""COMPUTED_VALUE"""),"m")</f>
        <v>m</v>
      </c>
      <c r="M1830" s="47" t="str">
        <f>IFERROR(__xludf.DUMMYFUNCTION("""COMPUTED_VALUE"""),"fsafranek")</f>
        <v>fsafranek</v>
      </c>
    </row>
    <row r="1831">
      <c r="A1831" s="47" t="str">
        <f>IFERROR(__xludf.DUMMYFUNCTION("""COMPUTED_VALUE"""),"Virtual Brown")</f>
        <v>Virtual Brown</v>
      </c>
      <c r="B1831" s="47" t="str">
        <f>IFERROR(__xludf.DUMMYFUNCTION("""COMPUTED_VALUE"""),"babyw")</f>
        <v>babyw</v>
      </c>
      <c r="C1831" s="78" t="str">
        <f>IFERROR(__xludf.DUMMYFUNCTION("""COMPUTED_VALUE"""),"https://www.munzee.com/m/babyw/3177/")</f>
        <v>https://www.munzee.com/m/babyw/3177/</v>
      </c>
      <c r="D1831" s="47"/>
      <c r="E1831" s="47" t="b">
        <f>IFERROR(__xludf.DUMMYFUNCTION("""COMPUTED_VALUE"""),TRUE)</f>
        <v>1</v>
      </c>
      <c r="F1831" s="47" t="str">
        <f>IFERROR(__xludf.DUMMYFUNCTION("""COMPUTED_VALUE"""),"")</f>
        <v/>
      </c>
      <c r="G1831" s="47" t="str">
        <f>IFERROR(__xludf.DUMMYFUNCTION("""COMPUTED_VALUE"""),"")</f>
        <v/>
      </c>
      <c r="H1831" s="47"/>
      <c r="I1831" s="47">
        <f>IFERROR(__xludf.DUMMYFUNCTION("""COMPUTED_VALUE"""),2.0)</f>
        <v>2</v>
      </c>
      <c r="J1831" s="47" t="str">
        <f>IFERROR(__xludf.DUMMYFUNCTION("""COMPUTED_VALUE"""),"https:")</f>
        <v>https:</v>
      </c>
      <c r="K1831" s="78" t="str">
        <f>IFERROR(__xludf.DUMMYFUNCTION("""COMPUTED_VALUE"""),"www.munzee.com")</f>
        <v>www.munzee.com</v>
      </c>
      <c r="L1831" s="47" t="str">
        <f>IFERROR(__xludf.DUMMYFUNCTION("""COMPUTED_VALUE"""),"m")</f>
        <v>m</v>
      </c>
      <c r="M1831" s="47" t="str">
        <f>IFERROR(__xludf.DUMMYFUNCTION("""COMPUTED_VALUE"""),"babyw")</f>
        <v>babyw</v>
      </c>
    </row>
    <row r="1832">
      <c r="A1832" s="47" t="str">
        <f>IFERROR(__xludf.DUMMYFUNCTION("""COMPUTED_VALUE"""),"Virtual Brown")</f>
        <v>Virtual Brown</v>
      </c>
      <c r="B1832" s="47" t="str">
        <f>IFERROR(__xludf.DUMMYFUNCTION("""COMPUTED_VALUE"""),"artofmunzeeing")</f>
        <v>artofmunzeeing</v>
      </c>
      <c r="C1832" s="78" t="str">
        <f>IFERROR(__xludf.DUMMYFUNCTION("""COMPUTED_VALUE"""),"https://www.munzee.com/m/artofmunzeeing/3952/")</f>
        <v>https://www.munzee.com/m/artofmunzeeing/3952/</v>
      </c>
      <c r="D1832" s="47"/>
      <c r="E1832" s="47" t="b">
        <f>IFERROR(__xludf.DUMMYFUNCTION("""COMPUTED_VALUE"""),TRUE)</f>
        <v>1</v>
      </c>
      <c r="F1832" s="47" t="str">
        <f>IFERROR(__xludf.DUMMYFUNCTION("""COMPUTED_VALUE"""),"")</f>
        <v/>
      </c>
      <c r="G1832" s="47" t="str">
        <f>IFERROR(__xludf.DUMMYFUNCTION("""COMPUTED_VALUE"""),"")</f>
        <v/>
      </c>
      <c r="H1832" s="47"/>
      <c r="I1832" s="47">
        <f>IFERROR(__xludf.DUMMYFUNCTION("""COMPUTED_VALUE"""),2.0)</f>
        <v>2</v>
      </c>
      <c r="J1832" s="47" t="str">
        <f>IFERROR(__xludf.DUMMYFUNCTION("""COMPUTED_VALUE"""),"https:")</f>
        <v>https:</v>
      </c>
      <c r="K1832" s="78" t="str">
        <f>IFERROR(__xludf.DUMMYFUNCTION("""COMPUTED_VALUE"""),"www.munzee.com")</f>
        <v>www.munzee.com</v>
      </c>
      <c r="L1832" s="47" t="str">
        <f>IFERROR(__xludf.DUMMYFUNCTION("""COMPUTED_VALUE"""),"m")</f>
        <v>m</v>
      </c>
      <c r="M1832" s="47" t="str">
        <f>IFERROR(__xludf.DUMMYFUNCTION("""COMPUTED_VALUE"""),"artofmunzeeing")</f>
        <v>artofmunzeeing</v>
      </c>
    </row>
    <row r="1833">
      <c r="A1833" s="47" t="str">
        <f>IFERROR(__xludf.DUMMYFUNCTION("""COMPUTED_VALUE"""),"Virtual Brown")</f>
        <v>Virtual Brown</v>
      </c>
      <c r="B1833" s="47" t="str">
        <f>IFERROR(__xludf.DUMMYFUNCTION("""COMPUTED_VALUE"""),"lanyasummer")</f>
        <v>lanyasummer</v>
      </c>
      <c r="C1833" s="78" t="str">
        <f>IFERROR(__xludf.DUMMYFUNCTION("""COMPUTED_VALUE"""),"https://www.munzee.com/m/Lanyasummer/4472/")</f>
        <v>https://www.munzee.com/m/Lanyasummer/4472/</v>
      </c>
      <c r="D1833" s="47"/>
      <c r="E1833" s="47" t="b">
        <f>IFERROR(__xludf.DUMMYFUNCTION("""COMPUTED_VALUE"""),TRUE)</f>
        <v>1</v>
      </c>
      <c r="F1833" s="47" t="str">
        <f>IFERROR(__xludf.DUMMYFUNCTION("""COMPUTED_VALUE"""),"")</f>
        <v/>
      </c>
      <c r="G1833" s="47" t="str">
        <f>IFERROR(__xludf.DUMMYFUNCTION("""COMPUTED_VALUE"""),"")</f>
        <v/>
      </c>
      <c r="H1833" s="47"/>
      <c r="I1833" s="47">
        <f>IFERROR(__xludf.DUMMYFUNCTION("""COMPUTED_VALUE"""),2.0)</f>
        <v>2</v>
      </c>
      <c r="J1833" s="47" t="str">
        <f>IFERROR(__xludf.DUMMYFUNCTION("""COMPUTED_VALUE"""),"https:")</f>
        <v>https:</v>
      </c>
      <c r="K1833" s="78" t="str">
        <f>IFERROR(__xludf.DUMMYFUNCTION("""COMPUTED_VALUE"""),"www.munzee.com")</f>
        <v>www.munzee.com</v>
      </c>
      <c r="L1833" s="47" t="str">
        <f>IFERROR(__xludf.DUMMYFUNCTION("""COMPUTED_VALUE"""),"m")</f>
        <v>m</v>
      </c>
      <c r="M1833" s="47" t="str">
        <f>IFERROR(__xludf.DUMMYFUNCTION("""COMPUTED_VALUE"""),"Lanyasummer")</f>
        <v>Lanyasummer</v>
      </c>
    </row>
    <row r="1834">
      <c r="A1834" s="47" t="str">
        <f>IFERROR(__xludf.DUMMYFUNCTION("""COMPUTED_VALUE"""),"Virtual Brown")</f>
        <v>Virtual Brown</v>
      </c>
      <c r="B1834" s="47" t="str">
        <f>IFERROR(__xludf.DUMMYFUNCTION("""COMPUTED_VALUE"""),"BrotherWilliam")</f>
        <v>BrotherWilliam</v>
      </c>
      <c r="C1834" s="78" t="str">
        <f>IFERROR(__xludf.DUMMYFUNCTION("""COMPUTED_VALUE"""),"https://www.munzee.com/m/BrotherWilliam/4080/")</f>
        <v>https://www.munzee.com/m/BrotherWilliam/4080/</v>
      </c>
      <c r="D1834" s="47"/>
      <c r="E1834" s="47" t="b">
        <f>IFERROR(__xludf.DUMMYFUNCTION("""COMPUTED_VALUE"""),TRUE)</f>
        <v>1</v>
      </c>
      <c r="F1834" s="47" t="str">
        <f>IFERROR(__xludf.DUMMYFUNCTION("""COMPUTED_VALUE"""),"")</f>
        <v/>
      </c>
      <c r="G1834" s="47" t="str">
        <f>IFERROR(__xludf.DUMMYFUNCTION("""COMPUTED_VALUE"""),"")</f>
        <v/>
      </c>
      <c r="H1834" s="47"/>
      <c r="I1834" s="47">
        <f>IFERROR(__xludf.DUMMYFUNCTION("""COMPUTED_VALUE"""),2.0)</f>
        <v>2</v>
      </c>
      <c r="J1834" s="47" t="str">
        <f>IFERROR(__xludf.DUMMYFUNCTION("""COMPUTED_VALUE"""),"https:")</f>
        <v>https:</v>
      </c>
      <c r="K1834" s="78" t="str">
        <f>IFERROR(__xludf.DUMMYFUNCTION("""COMPUTED_VALUE"""),"www.munzee.com")</f>
        <v>www.munzee.com</v>
      </c>
      <c r="L1834" s="47" t="str">
        <f>IFERROR(__xludf.DUMMYFUNCTION("""COMPUTED_VALUE"""),"m")</f>
        <v>m</v>
      </c>
      <c r="M1834" s="47" t="str">
        <f>IFERROR(__xludf.DUMMYFUNCTION("""COMPUTED_VALUE"""),"BrotherWilliam")</f>
        <v>BrotherWilliam</v>
      </c>
    </row>
    <row r="1835">
      <c r="A1835" s="47" t="str">
        <f>IFERROR(__xludf.DUMMYFUNCTION("""COMPUTED_VALUE"""),"Virtual Brown")</f>
        <v>Virtual Brown</v>
      </c>
      <c r="B1835" s="47" t="str">
        <f>IFERROR(__xludf.DUMMYFUNCTION("""COMPUTED_VALUE"""),"ArtofEco")</f>
        <v>ArtofEco</v>
      </c>
      <c r="C1835" s="78" t="str">
        <f>IFERROR(__xludf.DUMMYFUNCTION("""COMPUTED_VALUE"""),"https://www.munzee.com/m/ArtofEco/3022/")</f>
        <v>https://www.munzee.com/m/ArtofEco/3022/</v>
      </c>
      <c r="D1835" s="47"/>
      <c r="E1835" s="47" t="b">
        <f>IFERROR(__xludf.DUMMYFUNCTION("""COMPUTED_VALUE"""),TRUE)</f>
        <v>1</v>
      </c>
      <c r="F1835" s="47" t="str">
        <f>IFERROR(__xludf.DUMMYFUNCTION("""COMPUTED_VALUE"""),"")</f>
        <v/>
      </c>
      <c r="G1835" s="47"/>
      <c r="H1835" s="47"/>
      <c r="I1835" s="47">
        <f>IFERROR(__xludf.DUMMYFUNCTION("""COMPUTED_VALUE"""),2.0)</f>
        <v>2</v>
      </c>
      <c r="J1835" s="47" t="str">
        <f>IFERROR(__xludf.DUMMYFUNCTION("""COMPUTED_VALUE"""),"https:")</f>
        <v>https:</v>
      </c>
      <c r="K1835" s="78" t="str">
        <f>IFERROR(__xludf.DUMMYFUNCTION("""COMPUTED_VALUE"""),"www.munzee.com")</f>
        <v>www.munzee.com</v>
      </c>
      <c r="L1835" s="47" t="str">
        <f>IFERROR(__xludf.DUMMYFUNCTION("""COMPUTED_VALUE"""),"m")</f>
        <v>m</v>
      </c>
      <c r="M1835" s="47" t="str">
        <f>IFERROR(__xludf.DUMMYFUNCTION("""COMPUTED_VALUE"""),"ArtofEco")</f>
        <v>ArtofEco</v>
      </c>
    </row>
    <row r="1836">
      <c r="A1836" s="47" t="str">
        <f>IFERROR(__xludf.DUMMYFUNCTION("""COMPUTED_VALUE"""),"Virtual Brown")</f>
        <v>Virtual Brown</v>
      </c>
      <c r="B1836" s="47" t="str">
        <f>IFERROR(__xludf.DUMMYFUNCTION("""COMPUTED_VALUE"""),"TheFatCats")</f>
        <v>TheFatCats</v>
      </c>
      <c r="C1836" s="78" t="str">
        <f>IFERROR(__xludf.DUMMYFUNCTION("""COMPUTED_VALUE"""),"https://www.munzee.com/m/TheFatCats/3645/")</f>
        <v>https://www.munzee.com/m/TheFatCats/3645/</v>
      </c>
      <c r="D1836" s="47"/>
      <c r="E1836" s="47" t="b">
        <f>IFERROR(__xludf.DUMMYFUNCTION("""COMPUTED_VALUE"""),TRUE)</f>
        <v>1</v>
      </c>
      <c r="F1836" s="47" t="str">
        <f>IFERROR(__xludf.DUMMYFUNCTION("""COMPUTED_VALUE"""),"")</f>
        <v/>
      </c>
      <c r="G1836" s="47"/>
      <c r="H1836" s="47"/>
      <c r="I1836" s="47">
        <f>IFERROR(__xludf.DUMMYFUNCTION("""COMPUTED_VALUE"""),2.0)</f>
        <v>2</v>
      </c>
      <c r="J1836" s="47" t="str">
        <f>IFERROR(__xludf.DUMMYFUNCTION("""COMPUTED_VALUE"""),"https:")</f>
        <v>https:</v>
      </c>
      <c r="K1836" s="78" t="str">
        <f>IFERROR(__xludf.DUMMYFUNCTION("""COMPUTED_VALUE"""),"www.munzee.com")</f>
        <v>www.munzee.com</v>
      </c>
      <c r="L1836" s="47" t="str">
        <f>IFERROR(__xludf.DUMMYFUNCTION("""COMPUTED_VALUE"""),"m")</f>
        <v>m</v>
      </c>
      <c r="M1836" s="47" t="str">
        <f>IFERROR(__xludf.DUMMYFUNCTION("""COMPUTED_VALUE"""),"TheFatCats")</f>
        <v>TheFatCats</v>
      </c>
    </row>
    <row r="1837">
      <c r="A1837" s="47" t="str">
        <f>IFERROR(__xludf.DUMMYFUNCTION("""COMPUTED_VALUE"""),"Virtual Brown")</f>
        <v>Virtual Brown</v>
      </c>
      <c r="B1837" s="47" t="str">
        <f>IFERROR(__xludf.DUMMYFUNCTION("""COMPUTED_VALUE"""),"WiseOldWizard")</f>
        <v>WiseOldWizard</v>
      </c>
      <c r="C1837" s="78" t="str">
        <f>IFERROR(__xludf.DUMMYFUNCTION("""COMPUTED_VALUE"""),"https://www.munzee.com/m/WiseOldWizard/4044/")</f>
        <v>https://www.munzee.com/m/WiseOldWizard/4044/</v>
      </c>
      <c r="D1837" s="47"/>
      <c r="E1837" s="47" t="b">
        <f>IFERROR(__xludf.DUMMYFUNCTION("""COMPUTED_VALUE"""),TRUE)</f>
        <v>1</v>
      </c>
      <c r="F1837" s="47" t="str">
        <f>IFERROR(__xludf.DUMMYFUNCTION("""COMPUTED_VALUE"""),"")</f>
        <v/>
      </c>
      <c r="G1837" s="47" t="str">
        <f>IFERROR(__xludf.DUMMYFUNCTION("""COMPUTED_VALUE"""),"")</f>
        <v/>
      </c>
      <c r="H1837" s="47"/>
      <c r="I1837" s="47">
        <f>IFERROR(__xludf.DUMMYFUNCTION("""COMPUTED_VALUE"""),2.0)</f>
        <v>2</v>
      </c>
      <c r="J1837" s="47" t="str">
        <f>IFERROR(__xludf.DUMMYFUNCTION("""COMPUTED_VALUE"""),"https:")</f>
        <v>https:</v>
      </c>
      <c r="K1837" s="78" t="str">
        <f>IFERROR(__xludf.DUMMYFUNCTION("""COMPUTED_VALUE"""),"www.munzee.com")</f>
        <v>www.munzee.com</v>
      </c>
      <c r="L1837" s="47" t="str">
        <f>IFERROR(__xludf.DUMMYFUNCTION("""COMPUTED_VALUE"""),"m")</f>
        <v>m</v>
      </c>
      <c r="M1837" s="47" t="str">
        <f>IFERROR(__xludf.DUMMYFUNCTION("""COMPUTED_VALUE"""),"WiseOldWizard")</f>
        <v>WiseOldWizard</v>
      </c>
    </row>
    <row r="1838">
      <c r="A1838" s="47" t="str">
        <f>IFERROR(__xludf.DUMMYFUNCTION("""COMPUTED_VALUE"""),"Virtual Brown")</f>
        <v>Virtual Brown</v>
      </c>
      <c r="B1838" s="47" t="str">
        <f>IFERROR(__xludf.DUMMYFUNCTION("""COMPUTED_VALUE"""),"Derlame ")</f>
        <v>Derlame </v>
      </c>
      <c r="C1838" s="78" t="str">
        <f>IFERROR(__xludf.DUMMYFUNCTION("""COMPUTED_VALUE"""),"https://www.munzee.com/m/Derlame/12889/")</f>
        <v>https://www.munzee.com/m/Derlame/12889/</v>
      </c>
      <c r="D1838" s="47"/>
      <c r="E1838" s="47" t="b">
        <f>IFERROR(__xludf.DUMMYFUNCTION("""COMPUTED_VALUE"""),TRUE)</f>
        <v>1</v>
      </c>
      <c r="F1838" s="47" t="str">
        <f>IFERROR(__xludf.DUMMYFUNCTION("""COMPUTED_VALUE"""),"")</f>
        <v/>
      </c>
      <c r="G1838" s="47" t="str">
        <f>IFERROR(__xludf.DUMMYFUNCTION("""COMPUTED_VALUE"""),"")</f>
        <v/>
      </c>
      <c r="H1838" s="47"/>
      <c r="I1838" s="47">
        <f>IFERROR(__xludf.DUMMYFUNCTION("""COMPUTED_VALUE"""),2.0)</f>
        <v>2</v>
      </c>
      <c r="J1838" s="47" t="str">
        <f>IFERROR(__xludf.DUMMYFUNCTION("""COMPUTED_VALUE"""),"https:")</f>
        <v>https:</v>
      </c>
      <c r="K1838" s="78" t="str">
        <f>IFERROR(__xludf.DUMMYFUNCTION("""COMPUTED_VALUE"""),"www.munzee.com")</f>
        <v>www.munzee.com</v>
      </c>
      <c r="L1838" s="47" t="str">
        <f>IFERROR(__xludf.DUMMYFUNCTION("""COMPUTED_VALUE"""),"m")</f>
        <v>m</v>
      </c>
      <c r="M1838" s="47" t="str">
        <f>IFERROR(__xludf.DUMMYFUNCTION("""COMPUTED_VALUE"""),"Derlame")</f>
        <v>Derlame</v>
      </c>
    </row>
    <row r="1839">
      <c r="A1839" s="47" t="str">
        <f>IFERROR(__xludf.DUMMYFUNCTION("""COMPUTED_VALUE"""),"Virtual Brown")</f>
        <v>Virtual Brown</v>
      </c>
      <c r="B1839" s="47" t="str">
        <f>IFERROR(__xludf.DUMMYFUNCTION("""COMPUTED_VALUE"""),"TheFatCats")</f>
        <v>TheFatCats</v>
      </c>
      <c r="C1839" s="78" t="str">
        <f>IFERROR(__xludf.DUMMYFUNCTION("""COMPUTED_VALUE"""),"https://www.munzee.com/m/TheFatCats/3671/")</f>
        <v>https://www.munzee.com/m/TheFatCats/3671/</v>
      </c>
      <c r="D1839" s="47"/>
      <c r="E1839" s="47" t="b">
        <f>IFERROR(__xludf.DUMMYFUNCTION("""COMPUTED_VALUE"""),TRUE)</f>
        <v>1</v>
      </c>
      <c r="F1839" s="47" t="str">
        <f>IFERROR(__xludf.DUMMYFUNCTION("""COMPUTED_VALUE"""),"")</f>
        <v/>
      </c>
      <c r="G1839" s="47" t="str">
        <f>IFERROR(__xludf.DUMMYFUNCTION("""COMPUTED_VALUE"""),"")</f>
        <v/>
      </c>
      <c r="H1839" s="47"/>
      <c r="I1839" s="47">
        <f>IFERROR(__xludf.DUMMYFUNCTION("""COMPUTED_VALUE"""),2.0)</f>
        <v>2</v>
      </c>
      <c r="J1839" s="47" t="str">
        <f>IFERROR(__xludf.DUMMYFUNCTION("""COMPUTED_VALUE"""),"https:")</f>
        <v>https:</v>
      </c>
      <c r="K1839" s="78" t="str">
        <f>IFERROR(__xludf.DUMMYFUNCTION("""COMPUTED_VALUE"""),"www.munzee.com")</f>
        <v>www.munzee.com</v>
      </c>
      <c r="L1839" s="47" t="str">
        <f>IFERROR(__xludf.DUMMYFUNCTION("""COMPUTED_VALUE"""),"m")</f>
        <v>m</v>
      </c>
      <c r="M1839" s="47" t="str">
        <f>IFERROR(__xludf.DUMMYFUNCTION("""COMPUTED_VALUE"""),"TheFatCats")</f>
        <v>TheFatCats</v>
      </c>
    </row>
    <row r="1840">
      <c r="A1840" s="47" t="str">
        <f>IFERROR(__xludf.DUMMYFUNCTION("""COMPUTED_VALUE"""),"Virtual Raw Sienna")</f>
        <v>Virtual Raw Sienna</v>
      </c>
      <c r="B1840" s="47" t="str">
        <f>IFERROR(__xludf.DUMMYFUNCTION("""COMPUTED_VALUE"""),"fsafranek")</f>
        <v>fsafranek</v>
      </c>
      <c r="C1840" s="78" t="str">
        <f>IFERROR(__xludf.DUMMYFUNCTION("""COMPUTED_VALUE"""),"https://www.munzee.com/m/fsafranek/4124/")</f>
        <v>https://www.munzee.com/m/fsafranek/4124/</v>
      </c>
      <c r="D1840" s="47"/>
      <c r="E1840" s="47" t="b">
        <f>IFERROR(__xludf.DUMMYFUNCTION("""COMPUTED_VALUE"""),TRUE)</f>
        <v>1</v>
      </c>
      <c r="F1840" s="47" t="str">
        <f>IFERROR(__xludf.DUMMYFUNCTION("""COMPUTED_VALUE"""),"")</f>
        <v/>
      </c>
      <c r="G1840" s="47" t="str">
        <f>IFERROR(__xludf.DUMMYFUNCTION("""COMPUTED_VALUE"""),"")</f>
        <v/>
      </c>
      <c r="H1840" s="47"/>
      <c r="I1840" s="47">
        <f>IFERROR(__xludf.DUMMYFUNCTION("""COMPUTED_VALUE"""),2.0)</f>
        <v>2</v>
      </c>
      <c r="J1840" s="47" t="str">
        <f>IFERROR(__xludf.DUMMYFUNCTION("""COMPUTED_VALUE"""),"https:")</f>
        <v>https:</v>
      </c>
      <c r="K1840" s="78" t="str">
        <f>IFERROR(__xludf.DUMMYFUNCTION("""COMPUTED_VALUE"""),"www.munzee.com")</f>
        <v>www.munzee.com</v>
      </c>
      <c r="L1840" s="47" t="str">
        <f>IFERROR(__xludf.DUMMYFUNCTION("""COMPUTED_VALUE"""),"m")</f>
        <v>m</v>
      </c>
      <c r="M1840" s="47" t="str">
        <f>IFERROR(__xludf.DUMMYFUNCTION("""COMPUTED_VALUE"""),"fsafranek")</f>
        <v>fsafranek</v>
      </c>
    </row>
    <row r="1841">
      <c r="A1841" s="47" t="str">
        <f>IFERROR(__xludf.DUMMYFUNCTION("""COMPUTED_VALUE"""),"Virtual Brown")</f>
        <v>Virtual Brown</v>
      </c>
      <c r="B1841" s="47" t="str">
        <f>IFERROR(__xludf.DUMMYFUNCTION("""COMPUTED_VALUE"""),"Franca")</f>
        <v>Franca</v>
      </c>
      <c r="C1841" s="78" t="str">
        <f>IFERROR(__xludf.DUMMYFUNCTION("""COMPUTED_VALUE"""),"https://www.munzee.com/m/Franca/835/")</f>
        <v>https://www.munzee.com/m/Franca/835/</v>
      </c>
      <c r="D1841" s="47" t="str">
        <f>IFERROR(__xludf.DUMMYFUNCTION("""COMPUTED_VALUE"""),"3 sept")</f>
        <v>3 sept</v>
      </c>
      <c r="E1841" s="47" t="b">
        <f>IFERROR(__xludf.DUMMYFUNCTION("""COMPUTED_VALUE"""),TRUE)</f>
        <v>1</v>
      </c>
      <c r="F1841" s="47" t="str">
        <f>IFERROR(__xludf.DUMMYFUNCTION("""COMPUTED_VALUE"""),"")</f>
        <v/>
      </c>
      <c r="G1841" s="47" t="str">
        <f>IFERROR(__xludf.DUMMYFUNCTION("""COMPUTED_VALUE"""),"")</f>
        <v/>
      </c>
      <c r="H1841" s="47"/>
      <c r="I1841" s="47">
        <f>IFERROR(__xludf.DUMMYFUNCTION("""COMPUTED_VALUE"""),2.0)</f>
        <v>2</v>
      </c>
      <c r="J1841" s="47" t="str">
        <f>IFERROR(__xludf.DUMMYFUNCTION("""COMPUTED_VALUE"""),"https:")</f>
        <v>https:</v>
      </c>
      <c r="K1841" s="78" t="str">
        <f>IFERROR(__xludf.DUMMYFUNCTION("""COMPUTED_VALUE"""),"www.munzee.com")</f>
        <v>www.munzee.com</v>
      </c>
      <c r="L1841" s="47" t="str">
        <f>IFERROR(__xludf.DUMMYFUNCTION("""COMPUTED_VALUE"""),"m")</f>
        <v>m</v>
      </c>
      <c r="M1841" s="47" t="str">
        <f>IFERROR(__xludf.DUMMYFUNCTION("""COMPUTED_VALUE"""),"Franca")</f>
        <v>Franca</v>
      </c>
    </row>
    <row r="1842">
      <c r="A1842" s="47" t="str">
        <f>IFERROR(__xludf.DUMMYFUNCTION("""COMPUTED_VALUE"""),"Virtual Brown")</f>
        <v>Virtual Brown</v>
      </c>
      <c r="B1842" s="47" t="str">
        <f>IFERROR(__xludf.DUMMYFUNCTION("""COMPUTED_VALUE"""),"Anetzet ")</f>
        <v>Anetzet </v>
      </c>
      <c r="C1842" s="78" t="str">
        <f>IFERROR(__xludf.DUMMYFUNCTION("""COMPUTED_VALUE"""),"https://www.munzee.com/m/Anetzet/2597/")</f>
        <v>https://www.munzee.com/m/Anetzet/2597/</v>
      </c>
      <c r="D1842" s="47"/>
      <c r="E1842" s="47" t="b">
        <f>IFERROR(__xludf.DUMMYFUNCTION("""COMPUTED_VALUE"""),TRUE)</f>
        <v>1</v>
      </c>
      <c r="F1842" s="47" t="str">
        <f>IFERROR(__xludf.DUMMYFUNCTION("""COMPUTED_VALUE"""),"")</f>
        <v/>
      </c>
      <c r="G1842" s="47" t="str">
        <f>IFERROR(__xludf.DUMMYFUNCTION("""COMPUTED_VALUE"""),"")</f>
        <v/>
      </c>
      <c r="H1842" s="47"/>
      <c r="I1842" s="47">
        <f>IFERROR(__xludf.DUMMYFUNCTION("""COMPUTED_VALUE"""),2.0)</f>
        <v>2</v>
      </c>
      <c r="J1842" s="47" t="str">
        <f>IFERROR(__xludf.DUMMYFUNCTION("""COMPUTED_VALUE"""),"https:")</f>
        <v>https:</v>
      </c>
      <c r="K1842" s="78" t="str">
        <f>IFERROR(__xludf.DUMMYFUNCTION("""COMPUTED_VALUE"""),"www.munzee.com")</f>
        <v>www.munzee.com</v>
      </c>
      <c r="L1842" s="47" t="str">
        <f>IFERROR(__xludf.DUMMYFUNCTION("""COMPUTED_VALUE"""),"m")</f>
        <v>m</v>
      </c>
      <c r="M1842" s="47" t="str">
        <f>IFERROR(__xludf.DUMMYFUNCTION("""COMPUTED_VALUE"""),"Anetzet")</f>
        <v>Anetzet</v>
      </c>
    </row>
    <row r="1843">
      <c r="A1843" s="47" t="str">
        <f>IFERROR(__xludf.DUMMYFUNCTION("""COMPUTED_VALUE"""),"Virtual Brown")</f>
        <v>Virtual Brown</v>
      </c>
      <c r="B1843" s="47" t="str">
        <f>IFERROR(__xludf.DUMMYFUNCTION("""COMPUTED_VALUE"""),"MunziMeg")</f>
        <v>MunziMeg</v>
      </c>
      <c r="C1843" s="78" t="str">
        <f>IFERROR(__xludf.DUMMYFUNCTION("""COMPUTED_VALUE"""),"https://www.munzee.com/m/MunziMeg/4588/")</f>
        <v>https://www.munzee.com/m/MunziMeg/4588/</v>
      </c>
      <c r="D1843" s="47"/>
      <c r="E1843" s="47" t="b">
        <f>IFERROR(__xludf.DUMMYFUNCTION("""COMPUTED_VALUE"""),TRUE)</f>
        <v>1</v>
      </c>
      <c r="F1843" s="47" t="str">
        <f>IFERROR(__xludf.DUMMYFUNCTION("""COMPUTED_VALUE"""),"")</f>
        <v/>
      </c>
      <c r="G1843" s="47" t="str">
        <f>IFERROR(__xludf.DUMMYFUNCTION("""COMPUTED_VALUE"""),"")</f>
        <v/>
      </c>
      <c r="H1843" s="47"/>
      <c r="I1843" s="47">
        <f>IFERROR(__xludf.DUMMYFUNCTION("""COMPUTED_VALUE"""),2.0)</f>
        <v>2</v>
      </c>
      <c r="J1843" s="47" t="str">
        <f>IFERROR(__xludf.DUMMYFUNCTION("""COMPUTED_VALUE"""),"https:")</f>
        <v>https:</v>
      </c>
      <c r="K1843" s="78" t="str">
        <f>IFERROR(__xludf.DUMMYFUNCTION("""COMPUTED_VALUE"""),"www.munzee.com")</f>
        <v>www.munzee.com</v>
      </c>
      <c r="L1843" s="47" t="str">
        <f>IFERROR(__xludf.DUMMYFUNCTION("""COMPUTED_VALUE"""),"m")</f>
        <v>m</v>
      </c>
      <c r="M1843" s="47" t="str">
        <f>IFERROR(__xludf.DUMMYFUNCTION("""COMPUTED_VALUE"""),"MunziMeg")</f>
        <v>MunziMeg</v>
      </c>
    </row>
    <row r="1844">
      <c r="A1844" s="47" t="str">
        <f>IFERROR(__xludf.DUMMYFUNCTION("""COMPUTED_VALUE"""),"Virtual Raw Sienna")</f>
        <v>Virtual Raw Sienna</v>
      </c>
      <c r="B1844" s="47" t="str">
        <f>IFERROR(__xludf.DUMMYFUNCTION("""COMPUTED_VALUE"""),"IggiePiggie")</f>
        <v>IggiePiggie</v>
      </c>
      <c r="C1844" s="78" t="str">
        <f>IFERROR(__xludf.DUMMYFUNCTION("""COMPUTED_VALUE"""),"https://www.munzee.com/m/IggiePiggie/1972/")</f>
        <v>https://www.munzee.com/m/IggiePiggie/1972/</v>
      </c>
      <c r="D1844" s="47"/>
      <c r="E1844" s="47" t="b">
        <f>IFERROR(__xludf.DUMMYFUNCTION("""COMPUTED_VALUE"""),TRUE)</f>
        <v>1</v>
      </c>
      <c r="F1844" s="47" t="str">
        <f>IFERROR(__xludf.DUMMYFUNCTION("""COMPUTED_VALUE"""),"")</f>
        <v/>
      </c>
      <c r="G1844" s="47" t="str">
        <f>IFERROR(__xludf.DUMMYFUNCTION("""COMPUTED_VALUE"""),"")</f>
        <v/>
      </c>
      <c r="H1844" s="47"/>
      <c r="I1844" s="47">
        <f>IFERROR(__xludf.DUMMYFUNCTION("""COMPUTED_VALUE"""),2.0)</f>
        <v>2</v>
      </c>
      <c r="J1844" s="47" t="str">
        <f>IFERROR(__xludf.DUMMYFUNCTION("""COMPUTED_VALUE"""),"https:")</f>
        <v>https:</v>
      </c>
      <c r="K1844" s="78" t="str">
        <f>IFERROR(__xludf.DUMMYFUNCTION("""COMPUTED_VALUE"""),"www.munzee.com")</f>
        <v>www.munzee.com</v>
      </c>
      <c r="L1844" s="47" t="str">
        <f>IFERROR(__xludf.DUMMYFUNCTION("""COMPUTED_VALUE"""),"m")</f>
        <v>m</v>
      </c>
      <c r="M1844" s="47" t="str">
        <f>IFERROR(__xludf.DUMMYFUNCTION("""COMPUTED_VALUE"""),"IggiePiggie")</f>
        <v>IggiePiggie</v>
      </c>
    </row>
    <row r="1845">
      <c r="A1845" s="47" t="str">
        <f>IFERROR(__xludf.DUMMYFUNCTION("""COMPUTED_VALUE"""),"Virtual Brown")</f>
        <v>Virtual Brown</v>
      </c>
      <c r="B1845" s="47" t="str">
        <f>IFERROR(__xludf.DUMMYFUNCTION("""COMPUTED_VALUE"""),"denali0407")</f>
        <v>denali0407</v>
      </c>
      <c r="C1845" s="78" t="str">
        <f>IFERROR(__xludf.DUMMYFUNCTION("""COMPUTED_VALUE"""),"https://www.munzee.com/m/denali0407/14438/")</f>
        <v>https://www.munzee.com/m/denali0407/14438/</v>
      </c>
      <c r="D1845" s="47"/>
      <c r="E1845" s="47" t="b">
        <f>IFERROR(__xludf.DUMMYFUNCTION("""COMPUTED_VALUE"""),TRUE)</f>
        <v>1</v>
      </c>
      <c r="F1845" s="47" t="str">
        <f>IFERROR(__xludf.DUMMYFUNCTION("""COMPUTED_VALUE"""),"")</f>
        <v/>
      </c>
      <c r="G1845" s="47" t="str">
        <f>IFERROR(__xludf.DUMMYFUNCTION("""COMPUTED_VALUE"""),"")</f>
        <v/>
      </c>
      <c r="H1845" s="47"/>
      <c r="I1845" s="47">
        <f>IFERROR(__xludf.DUMMYFUNCTION("""COMPUTED_VALUE"""),2.0)</f>
        <v>2</v>
      </c>
      <c r="J1845" s="47" t="str">
        <f>IFERROR(__xludf.DUMMYFUNCTION("""COMPUTED_VALUE"""),"https:")</f>
        <v>https:</v>
      </c>
      <c r="K1845" s="78" t="str">
        <f>IFERROR(__xludf.DUMMYFUNCTION("""COMPUTED_VALUE"""),"www.munzee.com")</f>
        <v>www.munzee.com</v>
      </c>
      <c r="L1845" s="47" t="str">
        <f>IFERROR(__xludf.DUMMYFUNCTION("""COMPUTED_VALUE"""),"m")</f>
        <v>m</v>
      </c>
      <c r="M1845" s="47" t="str">
        <f>IFERROR(__xludf.DUMMYFUNCTION("""COMPUTED_VALUE"""),"denali0407")</f>
        <v>denali0407</v>
      </c>
    </row>
    <row r="1846">
      <c r="A1846" s="47" t="str">
        <f>IFERROR(__xludf.DUMMYFUNCTION("""COMPUTED_VALUE"""),"Virtual Brown")</f>
        <v>Virtual Brown</v>
      </c>
      <c r="B1846" s="47" t="str">
        <f>IFERROR(__xludf.DUMMYFUNCTION("""COMPUTED_VALUE"""),"halizwein")</f>
        <v>halizwein</v>
      </c>
      <c r="C1846" s="78" t="str">
        <f>IFERROR(__xludf.DUMMYFUNCTION("""COMPUTED_VALUE"""),"https://www.munzee.com/m/halizwein/11587/")</f>
        <v>https://www.munzee.com/m/halizwein/11587/</v>
      </c>
      <c r="D1846" s="47"/>
      <c r="E1846" s="47" t="b">
        <f>IFERROR(__xludf.DUMMYFUNCTION("""COMPUTED_VALUE"""),TRUE)</f>
        <v>1</v>
      </c>
      <c r="F1846" s="47" t="str">
        <f>IFERROR(__xludf.DUMMYFUNCTION("""COMPUTED_VALUE"""),"")</f>
        <v/>
      </c>
      <c r="G1846" s="47" t="str">
        <f>IFERROR(__xludf.DUMMYFUNCTION("""COMPUTED_VALUE"""),"")</f>
        <v/>
      </c>
      <c r="H1846" s="47"/>
      <c r="I1846" s="47">
        <f>IFERROR(__xludf.DUMMYFUNCTION("""COMPUTED_VALUE"""),2.0)</f>
        <v>2</v>
      </c>
      <c r="J1846" s="47" t="str">
        <f>IFERROR(__xludf.DUMMYFUNCTION("""COMPUTED_VALUE"""),"https:")</f>
        <v>https:</v>
      </c>
      <c r="K1846" s="78" t="str">
        <f>IFERROR(__xludf.DUMMYFUNCTION("""COMPUTED_VALUE"""),"www.munzee.com")</f>
        <v>www.munzee.com</v>
      </c>
      <c r="L1846" s="47" t="str">
        <f>IFERROR(__xludf.DUMMYFUNCTION("""COMPUTED_VALUE"""),"m")</f>
        <v>m</v>
      </c>
      <c r="M1846" s="47" t="str">
        <f>IFERROR(__xludf.DUMMYFUNCTION("""COMPUTED_VALUE"""),"halizwein")</f>
        <v>halizwein</v>
      </c>
    </row>
    <row r="1847">
      <c r="A1847" s="47" t="str">
        <f>IFERROR(__xludf.DUMMYFUNCTION("""COMPUTED_VALUE"""),"Virtual Raw Sienna")</f>
        <v>Virtual Raw Sienna</v>
      </c>
      <c r="B1847" s="47" t="str">
        <f>IFERROR(__xludf.DUMMYFUNCTION("""COMPUTED_VALUE"""),"5star")</f>
        <v>5star</v>
      </c>
      <c r="C1847" s="78" t="str">
        <f>IFERROR(__xludf.DUMMYFUNCTION("""COMPUTED_VALUE"""),"https://www.munzee.com/m/5Star/4694/")</f>
        <v>https://www.munzee.com/m/5Star/4694/</v>
      </c>
      <c r="D1847" s="47"/>
      <c r="E1847" s="47" t="b">
        <f>IFERROR(__xludf.DUMMYFUNCTION("""COMPUTED_VALUE"""),TRUE)</f>
        <v>1</v>
      </c>
      <c r="F1847" s="47" t="str">
        <f>IFERROR(__xludf.DUMMYFUNCTION("""COMPUTED_VALUE"""),"")</f>
        <v/>
      </c>
      <c r="G1847" s="47" t="str">
        <f>IFERROR(__xludf.DUMMYFUNCTION("""COMPUTED_VALUE"""),"")</f>
        <v/>
      </c>
      <c r="H1847" s="47"/>
      <c r="I1847" s="47">
        <f>IFERROR(__xludf.DUMMYFUNCTION("""COMPUTED_VALUE"""),2.0)</f>
        <v>2</v>
      </c>
      <c r="J1847" s="47" t="str">
        <f>IFERROR(__xludf.DUMMYFUNCTION("""COMPUTED_VALUE"""),"https:")</f>
        <v>https:</v>
      </c>
      <c r="K1847" s="78" t="str">
        <f>IFERROR(__xludf.DUMMYFUNCTION("""COMPUTED_VALUE"""),"www.munzee.com")</f>
        <v>www.munzee.com</v>
      </c>
      <c r="L1847" s="47" t="str">
        <f>IFERROR(__xludf.DUMMYFUNCTION("""COMPUTED_VALUE"""),"m")</f>
        <v>m</v>
      </c>
      <c r="M1847" s="47" t="str">
        <f>IFERROR(__xludf.DUMMYFUNCTION("""COMPUTED_VALUE"""),"5Star")</f>
        <v>5Star</v>
      </c>
    </row>
    <row r="1848">
      <c r="A1848" s="47" t="str">
        <f>IFERROR(__xludf.DUMMYFUNCTION("""COMPUTED_VALUE"""),"Virtual Brown")</f>
        <v>Virtual Brown</v>
      </c>
      <c r="B1848" s="47" t="str">
        <f>IFERROR(__xludf.DUMMYFUNCTION("""COMPUTED_VALUE"""),"cbf600")</f>
        <v>cbf600</v>
      </c>
      <c r="C1848" s="78" t="str">
        <f>IFERROR(__xludf.DUMMYFUNCTION("""COMPUTED_VALUE"""),"https://www.munzee.com/m/cbf600/2472/")</f>
        <v>https://www.munzee.com/m/cbf600/2472/</v>
      </c>
      <c r="D1848" s="47"/>
      <c r="E1848" s="47" t="b">
        <f>IFERROR(__xludf.DUMMYFUNCTION("""COMPUTED_VALUE"""),TRUE)</f>
        <v>1</v>
      </c>
      <c r="F1848" s="47" t="str">
        <f>IFERROR(__xludf.DUMMYFUNCTION("""COMPUTED_VALUE"""),"")</f>
        <v/>
      </c>
      <c r="G1848" s="47" t="str">
        <f>IFERROR(__xludf.DUMMYFUNCTION("""COMPUTED_VALUE"""),"")</f>
        <v/>
      </c>
      <c r="H1848" s="47"/>
      <c r="I1848" s="47">
        <f>IFERROR(__xludf.DUMMYFUNCTION("""COMPUTED_VALUE"""),2.0)</f>
        <v>2</v>
      </c>
      <c r="J1848" s="47" t="str">
        <f>IFERROR(__xludf.DUMMYFUNCTION("""COMPUTED_VALUE"""),"https:")</f>
        <v>https:</v>
      </c>
      <c r="K1848" s="78" t="str">
        <f>IFERROR(__xludf.DUMMYFUNCTION("""COMPUTED_VALUE"""),"www.munzee.com")</f>
        <v>www.munzee.com</v>
      </c>
      <c r="L1848" s="47" t="str">
        <f>IFERROR(__xludf.DUMMYFUNCTION("""COMPUTED_VALUE"""),"m")</f>
        <v>m</v>
      </c>
      <c r="M1848" s="47" t="str">
        <f>IFERROR(__xludf.DUMMYFUNCTION("""COMPUTED_VALUE"""),"cbf600")</f>
        <v>cbf600</v>
      </c>
    </row>
    <row r="1849">
      <c r="A1849" s="47" t="str">
        <f>IFERROR(__xludf.DUMMYFUNCTION("""COMPUTED_VALUE"""),"Virtual Raw Sienna")</f>
        <v>Virtual Raw Sienna</v>
      </c>
      <c r="B1849" s="47" t="str">
        <f>IFERROR(__xludf.DUMMYFUNCTION("""COMPUTED_VALUE"""),"Fossillady")</f>
        <v>Fossillady</v>
      </c>
      <c r="C1849" s="78" t="str">
        <f>IFERROR(__xludf.DUMMYFUNCTION("""COMPUTED_VALUE"""),"https://www.munzee.com/m/Fossillady/3696")</f>
        <v>https://www.munzee.com/m/Fossillady/3696</v>
      </c>
      <c r="D1849" s="47"/>
      <c r="E1849" s="47" t="b">
        <f>IFERROR(__xludf.DUMMYFUNCTION("""COMPUTED_VALUE"""),TRUE)</f>
        <v>1</v>
      </c>
      <c r="F1849" s="47"/>
      <c r="G1849" s="47" t="str">
        <f>IFERROR(__xludf.DUMMYFUNCTION("""COMPUTED_VALUE"""),"")</f>
        <v/>
      </c>
      <c r="H1849" s="47"/>
      <c r="I1849" s="47">
        <f>IFERROR(__xludf.DUMMYFUNCTION("""COMPUTED_VALUE"""),2.0)</f>
        <v>2</v>
      </c>
      <c r="J1849" s="47" t="str">
        <f>IFERROR(__xludf.DUMMYFUNCTION("""COMPUTED_VALUE"""),"https:")</f>
        <v>https:</v>
      </c>
      <c r="K1849" s="78" t="str">
        <f>IFERROR(__xludf.DUMMYFUNCTION("""COMPUTED_VALUE"""),"www.munzee.com")</f>
        <v>www.munzee.com</v>
      </c>
      <c r="L1849" s="47" t="str">
        <f>IFERROR(__xludf.DUMMYFUNCTION("""COMPUTED_VALUE"""),"m")</f>
        <v>m</v>
      </c>
      <c r="M1849" s="47" t="str">
        <f>IFERROR(__xludf.DUMMYFUNCTION("""COMPUTED_VALUE"""),"Fossillady")</f>
        <v>Fossillady</v>
      </c>
    </row>
    <row r="1850">
      <c r="A1850" s="47" t="str">
        <f>IFERROR(__xludf.DUMMYFUNCTION("""COMPUTED_VALUE"""),"Virtual Brown")</f>
        <v>Virtual Brown</v>
      </c>
      <c r="B1850" s="47" t="str">
        <f>IFERROR(__xludf.DUMMYFUNCTION("""COMPUTED_VALUE"""),"FlatBlack")</f>
        <v>FlatBlack</v>
      </c>
      <c r="C1850" s="78" t="str">
        <f>IFERROR(__xludf.DUMMYFUNCTION("""COMPUTED_VALUE"""),"https://www.munzee.com/m/FlatBlack/681/")</f>
        <v>https://www.munzee.com/m/FlatBlack/681/</v>
      </c>
      <c r="D1850" s="47"/>
      <c r="E1850" s="47" t="b">
        <f>IFERROR(__xludf.DUMMYFUNCTION("""COMPUTED_VALUE"""),TRUE)</f>
        <v>1</v>
      </c>
      <c r="F1850" s="47" t="str">
        <f>IFERROR(__xludf.DUMMYFUNCTION("""COMPUTED_VALUE"""),"")</f>
        <v/>
      </c>
      <c r="G1850" s="47" t="str">
        <f>IFERROR(__xludf.DUMMYFUNCTION("""COMPUTED_VALUE"""),"")</f>
        <v/>
      </c>
      <c r="H1850" s="47"/>
      <c r="I1850" s="47">
        <f>IFERROR(__xludf.DUMMYFUNCTION("""COMPUTED_VALUE"""),2.0)</f>
        <v>2</v>
      </c>
      <c r="J1850" s="47" t="str">
        <f>IFERROR(__xludf.DUMMYFUNCTION("""COMPUTED_VALUE"""),"https:")</f>
        <v>https:</v>
      </c>
      <c r="K1850" s="78" t="str">
        <f>IFERROR(__xludf.DUMMYFUNCTION("""COMPUTED_VALUE"""),"www.munzee.com")</f>
        <v>www.munzee.com</v>
      </c>
      <c r="L1850" s="47" t="str">
        <f>IFERROR(__xludf.DUMMYFUNCTION("""COMPUTED_VALUE"""),"m")</f>
        <v>m</v>
      </c>
      <c r="M1850" s="47" t="str">
        <f>IFERROR(__xludf.DUMMYFUNCTION("""COMPUTED_VALUE"""),"FlatBlack")</f>
        <v>FlatBlack</v>
      </c>
    </row>
    <row r="1851">
      <c r="A1851" s="47" t="str">
        <f>IFERROR(__xludf.DUMMYFUNCTION("""COMPUTED_VALUE"""),"Virtual Brown")</f>
        <v>Virtual Brown</v>
      </c>
      <c r="B1851" s="47" t="str">
        <f>IFERROR(__xludf.DUMMYFUNCTION("""COMPUTED_VALUE"""),"jwg68")</f>
        <v>jwg68</v>
      </c>
      <c r="C1851" s="78" t="str">
        <f>IFERROR(__xludf.DUMMYFUNCTION("""COMPUTED_VALUE"""),"https://www.munzee.com/m/jwg68/1308/")</f>
        <v>https://www.munzee.com/m/jwg68/1308/</v>
      </c>
      <c r="D1851" s="47"/>
      <c r="E1851" s="47" t="b">
        <f>IFERROR(__xludf.DUMMYFUNCTION("""COMPUTED_VALUE"""),TRUE)</f>
        <v>1</v>
      </c>
      <c r="F1851" s="47" t="str">
        <f>IFERROR(__xludf.DUMMYFUNCTION("""COMPUTED_VALUE"""),"")</f>
        <v/>
      </c>
      <c r="G1851" s="47" t="str">
        <f>IFERROR(__xludf.DUMMYFUNCTION("""COMPUTED_VALUE"""),"")</f>
        <v/>
      </c>
      <c r="H1851" s="47"/>
      <c r="I1851" s="47">
        <f>IFERROR(__xludf.DUMMYFUNCTION("""COMPUTED_VALUE"""),2.0)</f>
        <v>2</v>
      </c>
      <c r="J1851" s="47" t="str">
        <f>IFERROR(__xludf.DUMMYFUNCTION("""COMPUTED_VALUE"""),"https:")</f>
        <v>https:</v>
      </c>
      <c r="K1851" s="78" t="str">
        <f>IFERROR(__xludf.DUMMYFUNCTION("""COMPUTED_VALUE"""),"www.munzee.com")</f>
        <v>www.munzee.com</v>
      </c>
      <c r="L1851" s="47" t="str">
        <f>IFERROR(__xludf.DUMMYFUNCTION("""COMPUTED_VALUE"""),"m")</f>
        <v>m</v>
      </c>
      <c r="M1851" s="47" t="str">
        <f>IFERROR(__xludf.DUMMYFUNCTION("""COMPUTED_VALUE"""),"jwg68")</f>
        <v>jwg68</v>
      </c>
    </row>
    <row r="1852">
      <c r="A1852" s="47" t="str">
        <f>IFERROR(__xludf.DUMMYFUNCTION("""COMPUTED_VALUE"""),"Virtual Brown")</f>
        <v>Virtual Brown</v>
      </c>
      <c r="B1852" s="47" t="str">
        <f>IFERROR(__xludf.DUMMYFUNCTION("""COMPUTED_VALUE"""),"artofmunzeeing")</f>
        <v>artofmunzeeing</v>
      </c>
      <c r="C1852" s="78" t="str">
        <f>IFERROR(__xludf.DUMMYFUNCTION("""COMPUTED_VALUE"""),"https://www.munzee.com/m/artofmunzeeing/3946/")</f>
        <v>https://www.munzee.com/m/artofmunzeeing/3946/</v>
      </c>
      <c r="D1852" s="47"/>
      <c r="E1852" s="47" t="b">
        <f>IFERROR(__xludf.DUMMYFUNCTION("""COMPUTED_VALUE"""),TRUE)</f>
        <v>1</v>
      </c>
      <c r="F1852" s="47" t="str">
        <f>IFERROR(__xludf.DUMMYFUNCTION("""COMPUTED_VALUE"""),"")</f>
        <v/>
      </c>
      <c r="G1852" s="47" t="str">
        <f>IFERROR(__xludf.DUMMYFUNCTION("""COMPUTED_VALUE"""),"")</f>
        <v/>
      </c>
      <c r="H1852" s="47"/>
      <c r="I1852" s="47">
        <f>IFERROR(__xludf.DUMMYFUNCTION("""COMPUTED_VALUE"""),2.0)</f>
        <v>2</v>
      </c>
      <c r="J1852" s="47" t="str">
        <f>IFERROR(__xludf.DUMMYFUNCTION("""COMPUTED_VALUE"""),"https:")</f>
        <v>https:</v>
      </c>
      <c r="K1852" s="78" t="str">
        <f>IFERROR(__xludf.DUMMYFUNCTION("""COMPUTED_VALUE"""),"www.munzee.com")</f>
        <v>www.munzee.com</v>
      </c>
      <c r="L1852" s="47" t="str">
        <f>IFERROR(__xludf.DUMMYFUNCTION("""COMPUTED_VALUE"""),"m")</f>
        <v>m</v>
      </c>
      <c r="M1852" s="47" t="str">
        <f>IFERROR(__xludf.DUMMYFUNCTION("""COMPUTED_VALUE"""),"artofmunzeeing")</f>
        <v>artofmunzeeing</v>
      </c>
    </row>
    <row r="1853">
      <c r="A1853" s="47" t="str">
        <f>IFERROR(__xludf.DUMMYFUNCTION("""COMPUTED_VALUE"""),"Virtual Brown")</f>
        <v>Virtual Brown</v>
      </c>
      <c r="B1853" s="47" t="str">
        <f>IFERROR(__xludf.DUMMYFUNCTION("""COMPUTED_VALUE"""),"lison55")</f>
        <v>lison55</v>
      </c>
      <c r="C1853" s="78" t="str">
        <f>IFERROR(__xludf.DUMMYFUNCTION("""COMPUTED_VALUE"""),"https://www.munzee.com/m/lison55/5448/")</f>
        <v>https://www.munzee.com/m/lison55/5448/</v>
      </c>
      <c r="D1853" s="47"/>
      <c r="E1853" s="47" t="b">
        <f>IFERROR(__xludf.DUMMYFUNCTION("""COMPUTED_VALUE"""),TRUE)</f>
        <v>1</v>
      </c>
      <c r="F1853" s="47" t="str">
        <f>IFERROR(__xludf.DUMMYFUNCTION("""COMPUTED_VALUE"""),"")</f>
        <v/>
      </c>
      <c r="G1853" s="47" t="str">
        <f>IFERROR(__xludf.DUMMYFUNCTION("""COMPUTED_VALUE"""),"")</f>
        <v/>
      </c>
      <c r="H1853" s="47"/>
      <c r="I1853" s="47">
        <f>IFERROR(__xludf.DUMMYFUNCTION("""COMPUTED_VALUE"""),2.0)</f>
        <v>2</v>
      </c>
      <c r="J1853" s="47" t="str">
        <f>IFERROR(__xludf.DUMMYFUNCTION("""COMPUTED_VALUE"""),"https:")</f>
        <v>https:</v>
      </c>
      <c r="K1853" s="78" t="str">
        <f>IFERROR(__xludf.DUMMYFUNCTION("""COMPUTED_VALUE"""),"www.munzee.com")</f>
        <v>www.munzee.com</v>
      </c>
      <c r="L1853" s="47" t="str">
        <f>IFERROR(__xludf.DUMMYFUNCTION("""COMPUTED_VALUE"""),"m")</f>
        <v>m</v>
      </c>
      <c r="M1853" s="47" t="str">
        <f>IFERROR(__xludf.DUMMYFUNCTION("""COMPUTED_VALUE"""),"lison55")</f>
        <v>lison55</v>
      </c>
    </row>
    <row r="1854">
      <c r="A1854" s="47" t="str">
        <f>IFERROR(__xludf.DUMMYFUNCTION("""COMPUTED_VALUE"""),"Virtual Brown")</f>
        <v>Virtual Brown</v>
      </c>
      <c r="B1854" s="47" t="str">
        <f>IFERROR(__xludf.DUMMYFUNCTION("""COMPUTED_VALUE"""),"FromTheTardis")</f>
        <v>FromTheTardis</v>
      </c>
      <c r="C1854" s="78" t="str">
        <f>IFERROR(__xludf.DUMMYFUNCTION("""COMPUTED_VALUE"""),"https://www.munzee.com/m/FromTheTardis/1434/")</f>
        <v>https://www.munzee.com/m/FromTheTardis/1434/</v>
      </c>
      <c r="D1854" s="47"/>
      <c r="E1854" s="47" t="b">
        <f>IFERROR(__xludf.DUMMYFUNCTION("""COMPUTED_VALUE"""),TRUE)</f>
        <v>1</v>
      </c>
      <c r="F1854" s="47" t="str">
        <f>IFERROR(__xludf.DUMMYFUNCTION("""COMPUTED_VALUE"""),"")</f>
        <v/>
      </c>
      <c r="G1854" s="47" t="str">
        <f>IFERROR(__xludf.DUMMYFUNCTION("""COMPUTED_VALUE"""),"")</f>
        <v/>
      </c>
      <c r="H1854" s="47"/>
      <c r="I1854" s="47">
        <f>IFERROR(__xludf.DUMMYFUNCTION("""COMPUTED_VALUE"""),2.0)</f>
        <v>2</v>
      </c>
      <c r="J1854" s="47" t="str">
        <f>IFERROR(__xludf.DUMMYFUNCTION("""COMPUTED_VALUE"""),"https:")</f>
        <v>https:</v>
      </c>
      <c r="K1854" s="78" t="str">
        <f>IFERROR(__xludf.DUMMYFUNCTION("""COMPUTED_VALUE"""),"www.munzee.com")</f>
        <v>www.munzee.com</v>
      </c>
      <c r="L1854" s="47" t="str">
        <f>IFERROR(__xludf.DUMMYFUNCTION("""COMPUTED_VALUE"""),"m")</f>
        <v>m</v>
      </c>
      <c r="M1854" s="47" t="str">
        <f>IFERROR(__xludf.DUMMYFUNCTION("""COMPUTED_VALUE"""),"FromTheTardis")</f>
        <v>FromTheTardis</v>
      </c>
    </row>
    <row r="1855">
      <c r="A1855" s="47" t="str">
        <f>IFERROR(__xludf.DUMMYFUNCTION("""COMPUTED_VALUE"""),"Virtual Brown")</f>
        <v>Virtual Brown</v>
      </c>
      <c r="B1855" s="47" t="str">
        <f>IFERROR(__xludf.DUMMYFUNCTION("""COMPUTED_VALUE"""),"J1Huisman")</f>
        <v>J1Huisman</v>
      </c>
      <c r="C1855" s="78" t="str">
        <f>IFERROR(__xludf.DUMMYFUNCTION("""COMPUTED_VALUE"""),"https://www.munzee.com/m/J1Huisman/11481/")</f>
        <v>https://www.munzee.com/m/J1Huisman/11481/</v>
      </c>
      <c r="D1855" s="47"/>
      <c r="E1855" s="47" t="b">
        <f>IFERROR(__xludf.DUMMYFUNCTION("""COMPUTED_VALUE"""),TRUE)</f>
        <v>1</v>
      </c>
      <c r="F1855" s="47" t="str">
        <f>IFERROR(__xludf.DUMMYFUNCTION("""COMPUTED_VALUE"""),"")</f>
        <v/>
      </c>
      <c r="G1855" s="47" t="str">
        <f>IFERROR(__xludf.DUMMYFUNCTION("""COMPUTED_VALUE"""),"")</f>
        <v/>
      </c>
      <c r="H1855" s="47"/>
      <c r="I1855" s="47">
        <f>IFERROR(__xludf.DUMMYFUNCTION("""COMPUTED_VALUE"""),2.0)</f>
        <v>2</v>
      </c>
      <c r="J1855" s="47" t="str">
        <f>IFERROR(__xludf.DUMMYFUNCTION("""COMPUTED_VALUE"""),"https:")</f>
        <v>https:</v>
      </c>
      <c r="K1855" s="78" t="str">
        <f>IFERROR(__xludf.DUMMYFUNCTION("""COMPUTED_VALUE"""),"www.munzee.com")</f>
        <v>www.munzee.com</v>
      </c>
      <c r="L1855" s="47" t="str">
        <f>IFERROR(__xludf.DUMMYFUNCTION("""COMPUTED_VALUE"""),"m")</f>
        <v>m</v>
      </c>
      <c r="M1855" s="47" t="str">
        <f>IFERROR(__xludf.DUMMYFUNCTION("""COMPUTED_VALUE"""),"J1Huisman")</f>
        <v>J1Huisman</v>
      </c>
    </row>
    <row r="1856">
      <c r="A1856" s="47" t="str">
        <f>IFERROR(__xludf.DUMMYFUNCTION("""COMPUTED_VALUE"""),"Virtual Brown")</f>
        <v>Virtual Brown</v>
      </c>
      <c r="B1856" s="47" t="str">
        <f>IFERROR(__xludf.DUMMYFUNCTION("""COMPUTED_VALUE"""),"barefootguru")</f>
        <v>barefootguru</v>
      </c>
      <c r="C1856" s="78" t="str">
        <f>IFERROR(__xludf.DUMMYFUNCTION("""COMPUTED_VALUE"""),"https://www.munzee.com/m/barefootguru/3162/")</f>
        <v>https://www.munzee.com/m/barefootguru/3162/</v>
      </c>
      <c r="D1856" s="47"/>
      <c r="E1856" s="47" t="b">
        <f>IFERROR(__xludf.DUMMYFUNCTION("""COMPUTED_VALUE"""),TRUE)</f>
        <v>1</v>
      </c>
      <c r="F1856" s="47" t="str">
        <f>IFERROR(__xludf.DUMMYFUNCTION("""COMPUTED_VALUE"""),"")</f>
        <v/>
      </c>
      <c r="G1856" s="47" t="str">
        <f>IFERROR(__xludf.DUMMYFUNCTION("""COMPUTED_VALUE"""),"")</f>
        <v/>
      </c>
      <c r="H1856" s="47"/>
      <c r="I1856" s="47">
        <f>IFERROR(__xludf.DUMMYFUNCTION("""COMPUTED_VALUE"""),2.0)</f>
        <v>2</v>
      </c>
      <c r="J1856" s="47" t="str">
        <f>IFERROR(__xludf.DUMMYFUNCTION("""COMPUTED_VALUE"""),"https:")</f>
        <v>https:</v>
      </c>
      <c r="K1856" s="78" t="str">
        <f>IFERROR(__xludf.DUMMYFUNCTION("""COMPUTED_VALUE"""),"www.munzee.com")</f>
        <v>www.munzee.com</v>
      </c>
      <c r="L1856" s="47" t="str">
        <f>IFERROR(__xludf.DUMMYFUNCTION("""COMPUTED_VALUE"""),"m")</f>
        <v>m</v>
      </c>
      <c r="M1856" s="47" t="str">
        <f>IFERROR(__xludf.DUMMYFUNCTION("""COMPUTED_VALUE"""),"barefootguru")</f>
        <v>barefootguru</v>
      </c>
    </row>
    <row r="1857">
      <c r="A1857" s="47" t="str">
        <f>IFERROR(__xludf.DUMMYFUNCTION("""COMPUTED_VALUE"""),"Virtual Raw Sienna")</f>
        <v>Virtual Raw Sienna</v>
      </c>
      <c r="B1857" s="47" t="str">
        <f>IFERROR(__xludf.DUMMYFUNCTION("""COMPUTED_VALUE"""),"GroteSufferd")</f>
        <v>GroteSufferd</v>
      </c>
      <c r="C1857" s="78" t="str">
        <f>IFERROR(__xludf.DUMMYFUNCTION("""COMPUTED_VALUE"""),"https://www.munzee.com/m/GroteSufferd/421/")</f>
        <v>https://www.munzee.com/m/GroteSufferd/421/</v>
      </c>
      <c r="D1857" s="47"/>
      <c r="E1857" s="47" t="b">
        <f>IFERROR(__xludf.DUMMYFUNCTION("""COMPUTED_VALUE"""),TRUE)</f>
        <v>1</v>
      </c>
      <c r="F1857" s="47" t="str">
        <f>IFERROR(__xludf.DUMMYFUNCTION("""COMPUTED_VALUE"""),"")</f>
        <v/>
      </c>
      <c r="G1857" s="47" t="str">
        <f>IFERROR(__xludf.DUMMYFUNCTION("""COMPUTED_VALUE"""),"")</f>
        <v/>
      </c>
      <c r="H1857" s="47"/>
      <c r="I1857" s="47">
        <f>IFERROR(__xludf.DUMMYFUNCTION("""COMPUTED_VALUE"""),2.0)</f>
        <v>2</v>
      </c>
      <c r="J1857" s="47" t="str">
        <f>IFERROR(__xludf.DUMMYFUNCTION("""COMPUTED_VALUE"""),"https:")</f>
        <v>https:</v>
      </c>
      <c r="K1857" s="78" t="str">
        <f>IFERROR(__xludf.DUMMYFUNCTION("""COMPUTED_VALUE"""),"www.munzee.com")</f>
        <v>www.munzee.com</v>
      </c>
      <c r="L1857" s="47" t="str">
        <f>IFERROR(__xludf.DUMMYFUNCTION("""COMPUTED_VALUE"""),"m")</f>
        <v>m</v>
      </c>
      <c r="M1857" s="47" t="str">
        <f>IFERROR(__xludf.DUMMYFUNCTION("""COMPUTED_VALUE"""),"GroteSufferd")</f>
        <v>GroteSufferd</v>
      </c>
    </row>
    <row r="1858">
      <c r="A1858" s="47" t="str">
        <f>IFERROR(__xludf.DUMMYFUNCTION("""COMPUTED_VALUE"""),"Virtual Brown")</f>
        <v>Virtual Brown</v>
      </c>
      <c r="B1858" s="47" t="str">
        <f>IFERROR(__xludf.DUMMYFUNCTION("""COMPUTED_VALUE"""),"Aniara")</f>
        <v>Aniara</v>
      </c>
      <c r="C1858" s="78" t="str">
        <f>IFERROR(__xludf.DUMMYFUNCTION("""COMPUTED_VALUE"""),"https://www.munzee.com/m/Aniara/6743/")</f>
        <v>https://www.munzee.com/m/Aniara/6743/</v>
      </c>
      <c r="D1858" s="47"/>
      <c r="E1858" s="47" t="b">
        <f>IFERROR(__xludf.DUMMYFUNCTION("""COMPUTED_VALUE"""),TRUE)</f>
        <v>1</v>
      </c>
      <c r="F1858" s="47" t="str">
        <f>IFERROR(__xludf.DUMMYFUNCTION("""COMPUTED_VALUE"""),"")</f>
        <v/>
      </c>
      <c r="G1858" s="47" t="str">
        <f>IFERROR(__xludf.DUMMYFUNCTION("""COMPUTED_VALUE"""),"")</f>
        <v/>
      </c>
      <c r="H1858" s="47"/>
      <c r="I1858" s="47">
        <f>IFERROR(__xludf.DUMMYFUNCTION("""COMPUTED_VALUE"""),2.0)</f>
        <v>2</v>
      </c>
      <c r="J1858" s="47" t="str">
        <f>IFERROR(__xludf.DUMMYFUNCTION("""COMPUTED_VALUE"""),"https:")</f>
        <v>https:</v>
      </c>
      <c r="K1858" s="78" t="str">
        <f>IFERROR(__xludf.DUMMYFUNCTION("""COMPUTED_VALUE"""),"www.munzee.com")</f>
        <v>www.munzee.com</v>
      </c>
      <c r="L1858" s="47" t="str">
        <f>IFERROR(__xludf.DUMMYFUNCTION("""COMPUTED_VALUE"""),"m")</f>
        <v>m</v>
      </c>
      <c r="M1858" s="47" t="str">
        <f>IFERROR(__xludf.DUMMYFUNCTION("""COMPUTED_VALUE"""),"Aniara")</f>
        <v>Aniara</v>
      </c>
    </row>
    <row r="1859">
      <c r="A1859" s="47" t="str">
        <f>IFERROR(__xludf.DUMMYFUNCTION("""COMPUTED_VALUE"""),"Virtual Brown")</f>
        <v>Virtual Brown</v>
      </c>
      <c r="B1859" s="47" t="str">
        <f>IFERROR(__xludf.DUMMYFUNCTION("""COMPUTED_VALUE"""),"Pinkeltje")</f>
        <v>Pinkeltje</v>
      </c>
      <c r="C1859" s="78" t="str">
        <f>IFERROR(__xludf.DUMMYFUNCTION("""COMPUTED_VALUE"""),"https://www.munzee.com/m/Pinkeltje/1343/")</f>
        <v>https://www.munzee.com/m/Pinkeltje/1343/</v>
      </c>
      <c r="D1859" s="47"/>
      <c r="E1859" s="47" t="b">
        <f>IFERROR(__xludf.DUMMYFUNCTION("""COMPUTED_VALUE"""),TRUE)</f>
        <v>1</v>
      </c>
      <c r="F1859" s="47" t="str">
        <f>IFERROR(__xludf.DUMMYFUNCTION("""COMPUTED_VALUE"""),"")</f>
        <v/>
      </c>
      <c r="G1859" s="47" t="str">
        <f>IFERROR(__xludf.DUMMYFUNCTION("""COMPUTED_VALUE"""),"")</f>
        <v/>
      </c>
      <c r="H1859" s="47"/>
      <c r="I1859" s="47">
        <f>IFERROR(__xludf.DUMMYFUNCTION("""COMPUTED_VALUE"""),2.0)</f>
        <v>2</v>
      </c>
      <c r="J1859" s="47" t="str">
        <f>IFERROR(__xludf.DUMMYFUNCTION("""COMPUTED_VALUE"""),"https:")</f>
        <v>https:</v>
      </c>
      <c r="K1859" s="78" t="str">
        <f>IFERROR(__xludf.DUMMYFUNCTION("""COMPUTED_VALUE"""),"www.munzee.com")</f>
        <v>www.munzee.com</v>
      </c>
      <c r="L1859" s="47" t="str">
        <f>IFERROR(__xludf.DUMMYFUNCTION("""COMPUTED_VALUE"""),"m")</f>
        <v>m</v>
      </c>
      <c r="M1859" s="47" t="str">
        <f>IFERROR(__xludf.DUMMYFUNCTION("""COMPUTED_VALUE"""),"Pinkeltje")</f>
        <v>Pinkeltje</v>
      </c>
    </row>
    <row r="1860">
      <c r="A1860" s="47" t="str">
        <f>IFERROR(__xludf.DUMMYFUNCTION("""COMPUTED_VALUE"""),"Virtual Raw Sienna")</f>
        <v>Virtual Raw Sienna</v>
      </c>
      <c r="B1860" s="47" t="str">
        <f>IFERROR(__xludf.DUMMYFUNCTION("""COMPUTED_VALUE"""),"xrayneex")</f>
        <v>xrayneex</v>
      </c>
      <c r="C1860" s="78" t="str">
        <f>IFERROR(__xludf.DUMMYFUNCTION("""COMPUTED_VALUE"""),"https://www.munzee.com/m/xrayneex/1433/")</f>
        <v>https://www.munzee.com/m/xrayneex/1433/</v>
      </c>
      <c r="D1860" s="47"/>
      <c r="E1860" s="47" t="b">
        <f>IFERROR(__xludf.DUMMYFUNCTION("""COMPUTED_VALUE"""),TRUE)</f>
        <v>1</v>
      </c>
      <c r="F1860" s="47" t="str">
        <f>IFERROR(__xludf.DUMMYFUNCTION("""COMPUTED_VALUE"""),"")</f>
        <v/>
      </c>
      <c r="G1860" s="47" t="str">
        <f>IFERROR(__xludf.DUMMYFUNCTION("""COMPUTED_VALUE"""),"")</f>
        <v/>
      </c>
      <c r="H1860" s="47"/>
      <c r="I1860" s="47">
        <f>IFERROR(__xludf.DUMMYFUNCTION("""COMPUTED_VALUE"""),2.0)</f>
        <v>2</v>
      </c>
      <c r="J1860" s="47" t="str">
        <f>IFERROR(__xludf.DUMMYFUNCTION("""COMPUTED_VALUE"""),"https:")</f>
        <v>https:</v>
      </c>
      <c r="K1860" s="78" t="str">
        <f>IFERROR(__xludf.DUMMYFUNCTION("""COMPUTED_VALUE"""),"www.munzee.com")</f>
        <v>www.munzee.com</v>
      </c>
      <c r="L1860" s="47" t="str">
        <f>IFERROR(__xludf.DUMMYFUNCTION("""COMPUTED_VALUE"""),"m")</f>
        <v>m</v>
      </c>
      <c r="M1860" s="47" t="str">
        <f>IFERROR(__xludf.DUMMYFUNCTION("""COMPUTED_VALUE"""),"xrayneex")</f>
        <v>xrayneex</v>
      </c>
    </row>
    <row r="1861">
      <c r="A1861" s="47" t="str">
        <f>IFERROR(__xludf.DUMMYFUNCTION("""COMPUTED_VALUE"""),"Virtual Brown")</f>
        <v>Virtual Brown</v>
      </c>
      <c r="B1861" s="47" t="str">
        <f>IFERROR(__xludf.DUMMYFUNCTION("""COMPUTED_VALUE"""),"TheFrog")</f>
        <v>TheFrog</v>
      </c>
      <c r="C1861" s="78" t="str">
        <f>IFERROR(__xludf.DUMMYFUNCTION("""COMPUTED_VALUE"""),"https://www.munzee.com/m/TheFrog/4300/")</f>
        <v>https://www.munzee.com/m/TheFrog/4300/</v>
      </c>
      <c r="D1861" s="47"/>
      <c r="E1861" s="47" t="b">
        <f>IFERROR(__xludf.DUMMYFUNCTION("""COMPUTED_VALUE"""),TRUE)</f>
        <v>1</v>
      </c>
      <c r="F1861" s="47" t="str">
        <f>IFERROR(__xludf.DUMMYFUNCTION("""COMPUTED_VALUE"""),"")</f>
        <v/>
      </c>
      <c r="G1861" s="47" t="str">
        <f>IFERROR(__xludf.DUMMYFUNCTION("""COMPUTED_VALUE"""),"")</f>
        <v/>
      </c>
      <c r="H1861" s="47"/>
      <c r="I1861" s="47">
        <f>IFERROR(__xludf.DUMMYFUNCTION("""COMPUTED_VALUE"""),2.0)</f>
        <v>2</v>
      </c>
      <c r="J1861" s="47" t="str">
        <f>IFERROR(__xludf.DUMMYFUNCTION("""COMPUTED_VALUE"""),"https:")</f>
        <v>https:</v>
      </c>
      <c r="K1861" s="78" t="str">
        <f>IFERROR(__xludf.DUMMYFUNCTION("""COMPUTED_VALUE"""),"www.munzee.com")</f>
        <v>www.munzee.com</v>
      </c>
      <c r="L1861" s="47" t="str">
        <f>IFERROR(__xludf.DUMMYFUNCTION("""COMPUTED_VALUE"""),"m")</f>
        <v>m</v>
      </c>
      <c r="M1861" s="47" t="str">
        <f>IFERROR(__xludf.DUMMYFUNCTION("""COMPUTED_VALUE"""),"TheFrog")</f>
        <v>TheFrog</v>
      </c>
    </row>
    <row r="1862">
      <c r="A1862" s="47" t="str">
        <f>IFERROR(__xludf.DUMMYFUNCTION("""COMPUTED_VALUE"""),"Virtual Brown")</f>
        <v>Virtual Brown</v>
      </c>
      <c r="B1862" s="47" t="str">
        <f>IFERROR(__xludf.DUMMYFUNCTION("""COMPUTED_VALUE"""),"123xilef")</f>
        <v>123xilef</v>
      </c>
      <c r="C1862" s="78" t="str">
        <f>IFERROR(__xludf.DUMMYFUNCTION("""COMPUTED_VALUE"""),"https://www.munzee.com/m/123xilef/7305/")</f>
        <v>https://www.munzee.com/m/123xilef/7305/</v>
      </c>
      <c r="D1862" s="47"/>
      <c r="E1862" s="47" t="b">
        <f>IFERROR(__xludf.DUMMYFUNCTION("""COMPUTED_VALUE"""),TRUE)</f>
        <v>1</v>
      </c>
      <c r="F1862" s="47" t="str">
        <f>IFERROR(__xludf.DUMMYFUNCTION("""COMPUTED_VALUE"""),"")</f>
        <v/>
      </c>
      <c r="G1862" s="47" t="str">
        <f>IFERROR(__xludf.DUMMYFUNCTION("""COMPUTED_VALUE"""),"")</f>
        <v/>
      </c>
      <c r="H1862" s="47"/>
      <c r="I1862" s="47">
        <f>IFERROR(__xludf.DUMMYFUNCTION("""COMPUTED_VALUE"""),2.0)</f>
        <v>2</v>
      </c>
      <c r="J1862" s="47" t="str">
        <f>IFERROR(__xludf.DUMMYFUNCTION("""COMPUTED_VALUE"""),"https:")</f>
        <v>https:</v>
      </c>
      <c r="K1862" s="78" t="str">
        <f>IFERROR(__xludf.DUMMYFUNCTION("""COMPUTED_VALUE"""),"www.munzee.com")</f>
        <v>www.munzee.com</v>
      </c>
      <c r="L1862" s="47" t="str">
        <f>IFERROR(__xludf.DUMMYFUNCTION("""COMPUTED_VALUE"""),"m")</f>
        <v>m</v>
      </c>
      <c r="M1862" s="47" t="str">
        <f>IFERROR(__xludf.DUMMYFUNCTION("""COMPUTED_VALUE"""),"123xilef")</f>
        <v>123xilef</v>
      </c>
    </row>
    <row r="1863">
      <c r="A1863" s="47" t="str">
        <f>IFERROR(__xludf.DUMMYFUNCTION("""COMPUTED_VALUE"""),"Virtual Raw Sienna")</f>
        <v>Virtual Raw Sienna</v>
      </c>
      <c r="B1863" s="47" t="str">
        <f>IFERROR(__xludf.DUMMYFUNCTION("""COMPUTED_VALUE"""),"TheFatCats")</f>
        <v>TheFatCats</v>
      </c>
      <c r="C1863" s="78" t="str">
        <f>IFERROR(__xludf.DUMMYFUNCTION("""COMPUTED_VALUE"""),"https://www.munzee.com/m/TheFatCats/3673/")</f>
        <v>https://www.munzee.com/m/TheFatCats/3673/</v>
      </c>
      <c r="D1863" s="47"/>
      <c r="E1863" s="47" t="b">
        <f>IFERROR(__xludf.DUMMYFUNCTION("""COMPUTED_VALUE"""),TRUE)</f>
        <v>1</v>
      </c>
      <c r="F1863" s="47" t="str">
        <f>IFERROR(__xludf.DUMMYFUNCTION("""COMPUTED_VALUE"""),"")</f>
        <v/>
      </c>
      <c r="G1863" s="47" t="str">
        <f>IFERROR(__xludf.DUMMYFUNCTION("""COMPUTED_VALUE"""),"")</f>
        <v/>
      </c>
      <c r="H1863" s="47"/>
      <c r="I1863" s="47">
        <f>IFERROR(__xludf.DUMMYFUNCTION("""COMPUTED_VALUE"""),2.0)</f>
        <v>2</v>
      </c>
      <c r="J1863" s="47" t="str">
        <f>IFERROR(__xludf.DUMMYFUNCTION("""COMPUTED_VALUE"""),"https:")</f>
        <v>https:</v>
      </c>
      <c r="K1863" s="78" t="str">
        <f>IFERROR(__xludf.DUMMYFUNCTION("""COMPUTED_VALUE"""),"www.munzee.com")</f>
        <v>www.munzee.com</v>
      </c>
      <c r="L1863" s="47" t="str">
        <f>IFERROR(__xludf.DUMMYFUNCTION("""COMPUTED_VALUE"""),"m")</f>
        <v>m</v>
      </c>
      <c r="M1863" s="47" t="str">
        <f>IFERROR(__xludf.DUMMYFUNCTION("""COMPUTED_VALUE"""),"TheFatCats")</f>
        <v>TheFatCats</v>
      </c>
    </row>
    <row r="1864">
      <c r="A1864" s="47" t="str">
        <f>IFERROR(__xludf.DUMMYFUNCTION("""COMPUTED_VALUE"""),"Virtual Brown")</f>
        <v>Virtual Brown</v>
      </c>
      <c r="B1864" s="47" t="str">
        <f>IFERROR(__xludf.DUMMYFUNCTION("""COMPUTED_VALUE"""),"MunziMeg")</f>
        <v>MunziMeg</v>
      </c>
      <c r="C1864" s="78" t="str">
        <f>IFERROR(__xludf.DUMMYFUNCTION("""COMPUTED_VALUE"""),"https://www.munzee.com/m/MunziMeg/4585/")</f>
        <v>https://www.munzee.com/m/MunziMeg/4585/</v>
      </c>
      <c r="D1864" s="47"/>
      <c r="E1864" s="47" t="b">
        <f>IFERROR(__xludf.DUMMYFUNCTION("""COMPUTED_VALUE"""),TRUE)</f>
        <v>1</v>
      </c>
      <c r="F1864" s="47" t="str">
        <f>IFERROR(__xludf.DUMMYFUNCTION("""COMPUTED_VALUE"""),"")</f>
        <v/>
      </c>
      <c r="G1864" s="47" t="str">
        <f>IFERROR(__xludf.DUMMYFUNCTION("""COMPUTED_VALUE"""),"")</f>
        <v/>
      </c>
      <c r="H1864" s="47"/>
      <c r="I1864" s="47">
        <f>IFERROR(__xludf.DUMMYFUNCTION("""COMPUTED_VALUE"""),2.0)</f>
        <v>2</v>
      </c>
      <c r="J1864" s="47" t="str">
        <f>IFERROR(__xludf.DUMMYFUNCTION("""COMPUTED_VALUE"""),"https:")</f>
        <v>https:</v>
      </c>
      <c r="K1864" s="78" t="str">
        <f>IFERROR(__xludf.DUMMYFUNCTION("""COMPUTED_VALUE"""),"www.munzee.com")</f>
        <v>www.munzee.com</v>
      </c>
      <c r="L1864" s="47" t="str">
        <f>IFERROR(__xludf.DUMMYFUNCTION("""COMPUTED_VALUE"""),"m")</f>
        <v>m</v>
      </c>
      <c r="M1864" s="47" t="str">
        <f>IFERROR(__xludf.DUMMYFUNCTION("""COMPUTED_VALUE"""),"MunziMeg")</f>
        <v>MunziMeg</v>
      </c>
    </row>
    <row r="1865">
      <c r="A1865" s="47" t="str">
        <f>IFERROR(__xludf.DUMMYFUNCTION("""COMPUTED_VALUE"""),"Virtual Brown")</f>
        <v>Virtual Brown</v>
      </c>
      <c r="B1865" s="47" t="str">
        <f>IFERROR(__xludf.DUMMYFUNCTION("""COMPUTED_VALUE"""),"BartWullems")</f>
        <v>BartWullems</v>
      </c>
      <c r="C1865" s="78" t="str">
        <f>IFERROR(__xludf.DUMMYFUNCTION("""COMPUTED_VALUE"""),"https://www.munzee.com/m/BartWullems/5616")</f>
        <v>https://www.munzee.com/m/BartWullems/5616</v>
      </c>
      <c r="D1865" s="47"/>
      <c r="E1865" s="47" t="b">
        <f>IFERROR(__xludf.DUMMYFUNCTION("""COMPUTED_VALUE"""),TRUE)</f>
        <v>1</v>
      </c>
      <c r="F1865" s="47" t="str">
        <f>IFERROR(__xludf.DUMMYFUNCTION("""COMPUTED_VALUE"""),"")</f>
        <v/>
      </c>
      <c r="G1865" s="47" t="str">
        <f>IFERROR(__xludf.DUMMYFUNCTION("""COMPUTED_VALUE"""),"")</f>
        <v/>
      </c>
      <c r="H1865" s="47"/>
      <c r="I1865" s="47">
        <f>IFERROR(__xludf.DUMMYFUNCTION("""COMPUTED_VALUE"""),2.0)</f>
        <v>2</v>
      </c>
      <c r="J1865" s="47" t="str">
        <f>IFERROR(__xludf.DUMMYFUNCTION("""COMPUTED_VALUE"""),"https:")</f>
        <v>https:</v>
      </c>
      <c r="K1865" s="78" t="str">
        <f>IFERROR(__xludf.DUMMYFUNCTION("""COMPUTED_VALUE"""),"www.munzee.com")</f>
        <v>www.munzee.com</v>
      </c>
      <c r="L1865" s="47" t="str">
        <f>IFERROR(__xludf.DUMMYFUNCTION("""COMPUTED_VALUE"""),"m")</f>
        <v>m</v>
      </c>
      <c r="M1865" s="47" t="str">
        <f>IFERROR(__xludf.DUMMYFUNCTION("""COMPUTED_VALUE"""),"BartWullems")</f>
        <v>BartWullems</v>
      </c>
    </row>
    <row r="1866">
      <c r="A1866" s="47" t="str">
        <f>IFERROR(__xludf.DUMMYFUNCTION("""COMPUTED_VALUE"""),"Virtual Brown")</f>
        <v>Virtual Brown</v>
      </c>
      <c r="B1866" s="47" t="str">
        <f>IFERROR(__xludf.DUMMYFUNCTION("""COMPUTED_VALUE"""),"roughdraft")</f>
        <v>roughdraft</v>
      </c>
      <c r="C1866" s="78" t="str">
        <f>IFERROR(__xludf.DUMMYFUNCTION("""COMPUTED_VALUE"""),"https://www.munzee.com/m/roughdraft/8732/")</f>
        <v>https://www.munzee.com/m/roughdraft/8732/</v>
      </c>
      <c r="D1866" s="47"/>
      <c r="E1866" s="47" t="b">
        <f>IFERROR(__xludf.DUMMYFUNCTION("""COMPUTED_VALUE"""),TRUE)</f>
        <v>1</v>
      </c>
      <c r="F1866" s="47" t="str">
        <f>IFERROR(__xludf.DUMMYFUNCTION("""COMPUTED_VALUE"""),"")</f>
        <v/>
      </c>
      <c r="G1866" s="47" t="str">
        <f>IFERROR(__xludf.DUMMYFUNCTION("""COMPUTED_VALUE"""),"")</f>
        <v/>
      </c>
      <c r="H1866" s="47"/>
      <c r="I1866" s="47">
        <f>IFERROR(__xludf.DUMMYFUNCTION("""COMPUTED_VALUE"""),2.0)</f>
        <v>2</v>
      </c>
      <c r="J1866" s="47" t="str">
        <f>IFERROR(__xludf.DUMMYFUNCTION("""COMPUTED_VALUE"""),"https:")</f>
        <v>https:</v>
      </c>
      <c r="K1866" s="78" t="str">
        <f>IFERROR(__xludf.DUMMYFUNCTION("""COMPUTED_VALUE"""),"www.munzee.com")</f>
        <v>www.munzee.com</v>
      </c>
      <c r="L1866" s="47" t="str">
        <f>IFERROR(__xludf.DUMMYFUNCTION("""COMPUTED_VALUE"""),"m")</f>
        <v>m</v>
      </c>
      <c r="M1866" s="47" t="str">
        <f>IFERROR(__xludf.DUMMYFUNCTION("""COMPUTED_VALUE"""),"roughdraft")</f>
        <v>roughdraft</v>
      </c>
    </row>
    <row r="1867">
      <c r="A1867" s="47" t="str">
        <f>IFERROR(__xludf.DUMMYFUNCTION("""COMPUTED_VALUE"""),"Virtual Brown")</f>
        <v>Virtual Brown</v>
      </c>
      <c r="B1867" s="47" t="str">
        <f>IFERROR(__xludf.DUMMYFUNCTION("""COMPUTED_VALUE"""),"Trappertje")</f>
        <v>Trappertje</v>
      </c>
      <c r="C1867" s="78" t="str">
        <f>IFERROR(__xludf.DUMMYFUNCTION("""COMPUTED_VALUE"""),"https://www.munzee.com/m/Trappertje/5041/")</f>
        <v>https://www.munzee.com/m/Trappertje/5041/</v>
      </c>
      <c r="D1867" s="47"/>
      <c r="E1867" s="47" t="b">
        <f>IFERROR(__xludf.DUMMYFUNCTION("""COMPUTED_VALUE"""),TRUE)</f>
        <v>1</v>
      </c>
      <c r="F1867" s="47" t="str">
        <f>IFERROR(__xludf.DUMMYFUNCTION("""COMPUTED_VALUE"""),"")</f>
        <v/>
      </c>
      <c r="G1867" s="47" t="str">
        <f>IFERROR(__xludf.DUMMYFUNCTION("""COMPUTED_VALUE"""),"")</f>
        <v/>
      </c>
      <c r="H1867" s="47"/>
      <c r="I1867" s="47">
        <f>IFERROR(__xludf.DUMMYFUNCTION("""COMPUTED_VALUE"""),2.0)</f>
        <v>2</v>
      </c>
      <c r="J1867" s="47" t="str">
        <f>IFERROR(__xludf.DUMMYFUNCTION("""COMPUTED_VALUE"""),"https:")</f>
        <v>https:</v>
      </c>
      <c r="K1867" s="78" t="str">
        <f>IFERROR(__xludf.DUMMYFUNCTION("""COMPUTED_VALUE"""),"www.munzee.com")</f>
        <v>www.munzee.com</v>
      </c>
      <c r="L1867" s="47" t="str">
        <f>IFERROR(__xludf.DUMMYFUNCTION("""COMPUTED_VALUE"""),"m")</f>
        <v>m</v>
      </c>
      <c r="M1867" s="47" t="str">
        <f>IFERROR(__xludf.DUMMYFUNCTION("""COMPUTED_VALUE"""),"Trappertje")</f>
        <v>Trappertje</v>
      </c>
    </row>
    <row r="1868">
      <c r="A1868" s="47" t="str">
        <f>IFERROR(__xludf.DUMMYFUNCTION("""COMPUTED_VALUE"""),"Virtual Brown")</f>
        <v>Virtual Brown</v>
      </c>
      <c r="B1868" s="47" t="str">
        <f>IFERROR(__xludf.DUMMYFUNCTION("""COMPUTED_VALUE"""),"MeanderingMonkeys")</f>
        <v>MeanderingMonkeys</v>
      </c>
      <c r="C1868" s="78" t="str">
        <f>IFERROR(__xludf.DUMMYFUNCTION("""COMPUTED_VALUE"""),"https://www.munzee.com/m/MeanderingMonkeys/17481")</f>
        <v>https://www.munzee.com/m/MeanderingMonkeys/17481</v>
      </c>
      <c r="D1868" s="47"/>
      <c r="E1868" s="47" t="b">
        <f>IFERROR(__xludf.DUMMYFUNCTION("""COMPUTED_VALUE"""),TRUE)</f>
        <v>1</v>
      </c>
      <c r="F1868" s="47" t="str">
        <f>IFERROR(__xludf.DUMMYFUNCTION("""COMPUTED_VALUE"""),"")</f>
        <v/>
      </c>
      <c r="G1868" s="47" t="str">
        <f>IFERROR(__xludf.DUMMYFUNCTION("""COMPUTED_VALUE"""),"")</f>
        <v/>
      </c>
      <c r="H1868" s="47"/>
      <c r="I1868" s="47">
        <f>IFERROR(__xludf.DUMMYFUNCTION("""COMPUTED_VALUE"""),2.0)</f>
        <v>2</v>
      </c>
      <c r="J1868" s="47" t="str">
        <f>IFERROR(__xludf.DUMMYFUNCTION("""COMPUTED_VALUE"""),"https:")</f>
        <v>https:</v>
      </c>
      <c r="K1868" s="78" t="str">
        <f>IFERROR(__xludf.DUMMYFUNCTION("""COMPUTED_VALUE"""),"www.munzee.com")</f>
        <v>www.munzee.com</v>
      </c>
      <c r="L1868" s="47" t="str">
        <f>IFERROR(__xludf.DUMMYFUNCTION("""COMPUTED_VALUE"""),"m")</f>
        <v>m</v>
      </c>
      <c r="M1868" s="47" t="str">
        <f>IFERROR(__xludf.DUMMYFUNCTION("""COMPUTED_VALUE"""),"MeanderingMonkeys")</f>
        <v>MeanderingMonkeys</v>
      </c>
    </row>
    <row r="1869">
      <c r="A1869" s="47" t="str">
        <f>IFERROR(__xludf.DUMMYFUNCTION("""COMPUTED_VALUE"""),"Virtual Brown")</f>
        <v>Virtual Brown</v>
      </c>
      <c r="B1869" s="47" t="str">
        <f>IFERROR(__xludf.DUMMYFUNCTION("""COMPUTED_VALUE"""),"sverlaan")</f>
        <v>sverlaan</v>
      </c>
      <c r="C1869" s="78" t="str">
        <f>IFERROR(__xludf.DUMMYFUNCTION("""COMPUTED_VALUE"""),"https://www.munzee.com/m/sverlaan/4409/")</f>
        <v>https://www.munzee.com/m/sverlaan/4409/</v>
      </c>
      <c r="D1869" s="47"/>
      <c r="E1869" s="47" t="b">
        <f>IFERROR(__xludf.DUMMYFUNCTION("""COMPUTED_VALUE"""),TRUE)</f>
        <v>1</v>
      </c>
      <c r="F1869" s="47" t="str">
        <f>IFERROR(__xludf.DUMMYFUNCTION("""COMPUTED_VALUE"""),"")</f>
        <v/>
      </c>
      <c r="G1869" s="47" t="str">
        <f>IFERROR(__xludf.DUMMYFUNCTION("""COMPUTED_VALUE"""),"")</f>
        <v/>
      </c>
      <c r="H1869" s="47"/>
      <c r="I1869" s="47">
        <f>IFERROR(__xludf.DUMMYFUNCTION("""COMPUTED_VALUE"""),2.0)</f>
        <v>2</v>
      </c>
      <c r="J1869" s="47" t="str">
        <f>IFERROR(__xludf.DUMMYFUNCTION("""COMPUTED_VALUE"""),"https:")</f>
        <v>https:</v>
      </c>
      <c r="K1869" s="78" t="str">
        <f>IFERROR(__xludf.DUMMYFUNCTION("""COMPUTED_VALUE"""),"www.munzee.com")</f>
        <v>www.munzee.com</v>
      </c>
      <c r="L1869" s="47" t="str">
        <f>IFERROR(__xludf.DUMMYFUNCTION("""COMPUTED_VALUE"""),"m")</f>
        <v>m</v>
      </c>
      <c r="M1869" s="47" t="str">
        <f>IFERROR(__xludf.DUMMYFUNCTION("""COMPUTED_VALUE"""),"sverlaan")</f>
        <v>sverlaan</v>
      </c>
    </row>
    <row r="1870">
      <c r="A1870" s="47" t="str">
        <f>IFERROR(__xludf.DUMMYFUNCTION("""COMPUTED_VALUE"""),"Virtual Raw Sienna")</f>
        <v>Virtual Raw Sienna</v>
      </c>
      <c r="B1870" s="47" t="str">
        <f>IFERROR(__xludf.DUMMYFUNCTION("""COMPUTED_VALUE"""),"gwendy")</f>
        <v>gwendy</v>
      </c>
      <c r="C1870" s="78" t="str">
        <f>IFERROR(__xludf.DUMMYFUNCTION("""COMPUTED_VALUE"""),"https://www.munzee.com/m/gwendy/1189/")</f>
        <v>https://www.munzee.com/m/gwendy/1189/</v>
      </c>
      <c r="D1870" s="47"/>
      <c r="E1870" s="47" t="b">
        <f>IFERROR(__xludf.DUMMYFUNCTION("""COMPUTED_VALUE"""),TRUE)</f>
        <v>1</v>
      </c>
      <c r="F1870" s="47" t="str">
        <f>IFERROR(__xludf.DUMMYFUNCTION("""COMPUTED_VALUE"""),"")</f>
        <v/>
      </c>
      <c r="G1870" s="47" t="str">
        <f>IFERROR(__xludf.DUMMYFUNCTION("""COMPUTED_VALUE"""),"")</f>
        <v/>
      </c>
      <c r="H1870" s="47"/>
      <c r="I1870" s="47">
        <f>IFERROR(__xludf.DUMMYFUNCTION("""COMPUTED_VALUE"""),2.0)</f>
        <v>2</v>
      </c>
      <c r="J1870" s="47" t="str">
        <f>IFERROR(__xludf.DUMMYFUNCTION("""COMPUTED_VALUE"""),"https:")</f>
        <v>https:</v>
      </c>
      <c r="K1870" s="78" t="str">
        <f>IFERROR(__xludf.DUMMYFUNCTION("""COMPUTED_VALUE"""),"www.munzee.com")</f>
        <v>www.munzee.com</v>
      </c>
      <c r="L1870" s="47" t="str">
        <f>IFERROR(__xludf.DUMMYFUNCTION("""COMPUTED_VALUE"""),"m")</f>
        <v>m</v>
      </c>
      <c r="M1870" s="47" t="str">
        <f>IFERROR(__xludf.DUMMYFUNCTION("""COMPUTED_VALUE"""),"gwendy")</f>
        <v>gwendy</v>
      </c>
    </row>
    <row r="1871">
      <c r="A1871" s="47" t="str">
        <f>IFERROR(__xludf.DUMMYFUNCTION("""COMPUTED_VALUE"""),"Virtual Raw Sienna")</f>
        <v>Virtual Raw Sienna</v>
      </c>
      <c r="B1871" s="47" t="str">
        <f>IFERROR(__xludf.DUMMYFUNCTION("""COMPUTED_VALUE"""),"fsafranek")</f>
        <v>fsafranek</v>
      </c>
      <c r="C1871" s="78" t="str">
        <f>IFERROR(__xludf.DUMMYFUNCTION("""COMPUTED_VALUE"""),"https://www.munzee.com/m/fsafranek/4178/")</f>
        <v>https://www.munzee.com/m/fsafranek/4178/</v>
      </c>
      <c r="D1871" s="47"/>
      <c r="E1871" s="47" t="b">
        <f>IFERROR(__xludf.DUMMYFUNCTION("""COMPUTED_VALUE"""),TRUE)</f>
        <v>1</v>
      </c>
      <c r="F1871" s="47" t="str">
        <f>IFERROR(__xludf.DUMMYFUNCTION("""COMPUTED_VALUE"""),"")</f>
        <v/>
      </c>
      <c r="G1871" s="47" t="str">
        <f>IFERROR(__xludf.DUMMYFUNCTION("""COMPUTED_VALUE"""),"")</f>
        <v/>
      </c>
      <c r="H1871" s="47"/>
      <c r="I1871" s="47">
        <f>IFERROR(__xludf.DUMMYFUNCTION("""COMPUTED_VALUE"""),2.0)</f>
        <v>2</v>
      </c>
      <c r="J1871" s="47" t="str">
        <f>IFERROR(__xludf.DUMMYFUNCTION("""COMPUTED_VALUE"""),"https:")</f>
        <v>https:</v>
      </c>
      <c r="K1871" s="78" t="str">
        <f>IFERROR(__xludf.DUMMYFUNCTION("""COMPUTED_VALUE"""),"www.munzee.com")</f>
        <v>www.munzee.com</v>
      </c>
      <c r="L1871" s="47" t="str">
        <f>IFERROR(__xludf.DUMMYFUNCTION("""COMPUTED_VALUE"""),"m")</f>
        <v>m</v>
      </c>
      <c r="M1871" s="47" t="str">
        <f>IFERROR(__xludf.DUMMYFUNCTION("""COMPUTED_VALUE"""),"fsafranek")</f>
        <v>fsafranek</v>
      </c>
    </row>
    <row r="1872">
      <c r="A1872" s="47" t="str">
        <f>IFERROR(__xludf.DUMMYFUNCTION("""COMPUTED_VALUE"""),"Virtual Brown")</f>
        <v>Virtual Brown</v>
      </c>
      <c r="B1872" s="47" t="str">
        <f>IFERROR(__xludf.DUMMYFUNCTION("""COMPUTED_VALUE"""),"TheFatCats")</f>
        <v>TheFatCats</v>
      </c>
      <c r="C1872" s="78" t="str">
        <f>IFERROR(__xludf.DUMMYFUNCTION("""COMPUTED_VALUE"""),"https://www.munzee.com/m/TheFatCats/3681/")</f>
        <v>https://www.munzee.com/m/TheFatCats/3681/</v>
      </c>
      <c r="D1872" s="47"/>
      <c r="E1872" s="47" t="b">
        <f>IFERROR(__xludf.DUMMYFUNCTION("""COMPUTED_VALUE"""),TRUE)</f>
        <v>1</v>
      </c>
      <c r="F1872" s="47" t="str">
        <f>IFERROR(__xludf.DUMMYFUNCTION("""COMPUTED_VALUE"""),"")</f>
        <v/>
      </c>
      <c r="G1872" s="47" t="str">
        <f>IFERROR(__xludf.DUMMYFUNCTION("""COMPUTED_VALUE"""),"")</f>
        <v/>
      </c>
      <c r="H1872" s="47"/>
      <c r="I1872" s="47">
        <f>IFERROR(__xludf.DUMMYFUNCTION("""COMPUTED_VALUE"""),2.0)</f>
        <v>2</v>
      </c>
      <c r="J1872" s="47" t="str">
        <f>IFERROR(__xludf.DUMMYFUNCTION("""COMPUTED_VALUE"""),"https:")</f>
        <v>https:</v>
      </c>
      <c r="K1872" s="78" t="str">
        <f>IFERROR(__xludf.DUMMYFUNCTION("""COMPUTED_VALUE"""),"www.munzee.com")</f>
        <v>www.munzee.com</v>
      </c>
      <c r="L1872" s="47" t="str">
        <f>IFERROR(__xludf.DUMMYFUNCTION("""COMPUTED_VALUE"""),"m")</f>
        <v>m</v>
      </c>
      <c r="M1872" s="47" t="str">
        <f>IFERROR(__xludf.DUMMYFUNCTION("""COMPUTED_VALUE"""),"TheFatCats")</f>
        <v>TheFatCats</v>
      </c>
    </row>
    <row r="1873">
      <c r="A1873" s="47" t="str">
        <f>IFERROR(__xludf.DUMMYFUNCTION("""COMPUTED_VALUE"""),"Virtual Brown")</f>
        <v>Virtual Brown</v>
      </c>
      <c r="B1873" s="47" t="str">
        <f>IFERROR(__xludf.DUMMYFUNCTION("""COMPUTED_VALUE"""),"belladivadee")</f>
        <v>belladivadee</v>
      </c>
      <c r="C1873" s="78" t="str">
        <f>IFERROR(__xludf.DUMMYFUNCTION("""COMPUTED_VALUE"""),"https://www.munzee.com/m/belladivadee/3184/")</f>
        <v>https://www.munzee.com/m/belladivadee/3184/</v>
      </c>
      <c r="D1873" s="47"/>
      <c r="E1873" s="47" t="b">
        <f>IFERROR(__xludf.DUMMYFUNCTION("""COMPUTED_VALUE"""),TRUE)</f>
        <v>1</v>
      </c>
      <c r="F1873" s="47"/>
      <c r="G1873" s="47" t="str">
        <f>IFERROR(__xludf.DUMMYFUNCTION("""COMPUTED_VALUE"""),"")</f>
        <v/>
      </c>
      <c r="H1873" s="47"/>
      <c r="I1873" s="47">
        <f>IFERROR(__xludf.DUMMYFUNCTION("""COMPUTED_VALUE"""),2.0)</f>
        <v>2</v>
      </c>
      <c r="J1873" s="47" t="str">
        <f>IFERROR(__xludf.DUMMYFUNCTION("""COMPUTED_VALUE"""),"https:")</f>
        <v>https:</v>
      </c>
      <c r="K1873" s="78" t="str">
        <f>IFERROR(__xludf.DUMMYFUNCTION("""COMPUTED_VALUE"""),"www.munzee.com")</f>
        <v>www.munzee.com</v>
      </c>
      <c r="L1873" s="47" t="str">
        <f>IFERROR(__xludf.DUMMYFUNCTION("""COMPUTED_VALUE"""),"m")</f>
        <v>m</v>
      </c>
      <c r="M1873" s="47" t="str">
        <f>IFERROR(__xludf.DUMMYFUNCTION("""COMPUTED_VALUE"""),"belladivadee")</f>
        <v>belladivadee</v>
      </c>
    </row>
    <row r="1874">
      <c r="A1874" s="47" t="str">
        <f>IFERROR(__xludf.DUMMYFUNCTION("""COMPUTED_VALUE"""),"Virtual Brown")</f>
        <v>Virtual Brown</v>
      </c>
      <c r="B1874" s="47" t="str">
        <f>IFERROR(__xludf.DUMMYFUNCTION("""COMPUTED_VALUE"""),"sverlaan")</f>
        <v>sverlaan</v>
      </c>
      <c r="C1874" s="78" t="str">
        <f>IFERROR(__xludf.DUMMYFUNCTION("""COMPUTED_VALUE"""),"https://www.munzee.com/m/sverlaan/4452/")</f>
        <v>https://www.munzee.com/m/sverlaan/4452/</v>
      </c>
      <c r="D1874" s="47"/>
      <c r="E1874" s="47" t="b">
        <f>IFERROR(__xludf.DUMMYFUNCTION("""COMPUTED_VALUE"""),TRUE)</f>
        <v>1</v>
      </c>
      <c r="F1874" s="47"/>
      <c r="G1874" s="47" t="str">
        <f>IFERROR(__xludf.DUMMYFUNCTION("""COMPUTED_VALUE"""),"")</f>
        <v/>
      </c>
      <c r="H1874" s="47"/>
      <c r="I1874" s="47">
        <f>IFERROR(__xludf.DUMMYFUNCTION("""COMPUTED_VALUE"""),2.0)</f>
        <v>2</v>
      </c>
      <c r="J1874" s="47" t="str">
        <f>IFERROR(__xludf.DUMMYFUNCTION("""COMPUTED_VALUE"""),"https:")</f>
        <v>https:</v>
      </c>
      <c r="K1874" s="78" t="str">
        <f>IFERROR(__xludf.DUMMYFUNCTION("""COMPUTED_VALUE"""),"www.munzee.com")</f>
        <v>www.munzee.com</v>
      </c>
      <c r="L1874" s="47" t="str">
        <f>IFERROR(__xludf.DUMMYFUNCTION("""COMPUTED_VALUE"""),"m")</f>
        <v>m</v>
      </c>
      <c r="M1874" s="47" t="str">
        <f>IFERROR(__xludf.DUMMYFUNCTION("""COMPUTED_VALUE"""),"sverlaan")</f>
        <v>sverlaan</v>
      </c>
    </row>
    <row r="1875">
      <c r="A1875" s="47" t="str">
        <f>IFERROR(__xludf.DUMMYFUNCTION("""COMPUTED_VALUE"""),"Virtual Raw Sienna")</f>
        <v>Virtual Raw Sienna</v>
      </c>
      <c r="B1875" s="47" t="str">
        <f>IFERROR(__xludf.DUMMYFUNCTION("""COMPUTED_VALUE"""),"pawpatrolthomas")</f>
        <v>pawpatrolthomas</v>
      </c>
      <c r="C1875" s="78" t="str">
        <f>IFERROR(__xludf.DUMMYFUNCTION("""COMPUTED_VALUE"""),"https://www.munzee.com/m/PawPatrolThomas/2506/")</f>
        <v>https://www.munzee.com/m/PawPatrolThomas/2506/</v>
      </c>
      <c r="D1875" s="47"/>
      <c r="E1875" s="47" t="b">
        <f>IFERROR(__xludf.DUMMYFUNCTION("""COMPUTED_VALUE"""),TRUE)</f>
        <v>1</v>
      </c>
      <c r="F1875" s="47"/>
      <c r="G1875" s="47" t="str">
        <f>IFERROR(__xludf.DUMMYFUNCTION("""COMPUTED_VALUE"""),"")</f>
        <v/>
      </c>
      <c r="H1875" s="47"/>
      <c r="I1875" s="47">
        <f>IFERROR(__xludf.DUMMYFUNCTION("""COMPUTED_VALUE"""),2.0)</f>
        <v>2</v>
      </c>
      <c r="J1875" s="47" t="str">
        <f>IFERROR(__xludf.DUMMYFUNCTION("""COMPUTED_VALUE"""),"https:")</f>
        <v>https:</v>
      </c>
      <c r="K1875" s="78" t="str">
        <f>IFERROR(__xludf.DUMMYFUNCTION("""COMPUTED_VALUE"""),"www.munzee.com")</f>
        <v>www.munzee.com</v>
      </c>
      <c r="L1875" s="47" t="str">
        <f>IFERROR(__xludf.DUMMYFUNCTION("""COMPUTED_VALUE"""),"m")</f>
        <v>m</v>
      </c>
      <c r="M1875" s="47" t="str">
        <f>IFERROR(__xludf.DUMMYFUNCTION("""COMPUTED_VALUE"""),"PawPatrolThomas")</f>
        <v>PawPatrolThomas</v>
      </c>
    </row>
    <row r="1876">
      <c r="A1876" s="47" t="str">
        <f>IFERROR(__xludf.DUMMYFUNCTION("""COMPUTED_VALUE"""),"Virtual Raw Sienna")</f>
        <v>Virtual Raw Sienna</v>
      </c>
      <c r="B1876" s="47" t="str">
        <f>IFERROR(__xludf.DUMMYFUNCTION("""COMPUTED_VALUE"""),"Emilep68")</f>
        <v>Emilep68</v>
      </c>
      <c r="C1876" s="78" t="str">
        <f>IFERROR(__xludf.DUMMYFUNCTION("""COMPUTED_VALUE"""),"https://www.munzee.com/m/EmileP68/3222/")</f>
        <v>https://www.munzee.com/m/EmileP68/3222/</v>
      </c>
      <c r="D1876" s="47"/>
      <c r="E1876" s="47" t="b">
        <f>IFERROR(__xludf.DUMMYFUNCTION("""COMPUTED_VALUE"""),TRUE)</f>
        <v>1</v>
      </c>
      <c r="F1876" s="47"/>
      <c r="G1876" s="47" t="str">
        <f>IFERROR(__xludf.DUMMYFUNCTION("""COMPUTED_VALUE"""),"")</f>
        <v/>
      </c>
      <c r="H1876" s="47"/>
      <c r="I1876" s="47">
        <f>IFERROR(__xludf.DUMMYFUNCTION("""COMPUTED_VALUE"""),2.0)</f>
        <v>2</v>
      </c>
      <c r="J1876" s="47" t="str">
        <f>IFERROR(__xludf.DUMMYFUNCTION("""COMPUTED_VALUE"""),"https:")</f>
        <v>https:</v>
      </c>
      <c r="K1876" s="78" t="str">
        <f>IFERROR(__xludf.DUMMYFUNCTION("""COMPUTED_VALUE"""),"www.munzee.com")</f>
        <v>www.munzee.com</v>
      </c>
      <c r="L1876" s="47" t="str">
        <f>IFERROR(__xludf.DUMMYFUNCTION("""COMPUTED_VALUE"""),"m")</f>
        <v>m</v>
      </c>
      <c r="M1876" s="47" t="str">
        <f>IFERROR(__xludf.DUMMYFUNCTION("""COMPUTED_VALUE"""),"EmileP68")</f>
        <v>EmileP68</v>
      </c>
    </row>
    <row r="1877">
      <c r="A1877" s="47" t="str">
        <f>IFERROR(__xludf.DUMMYFUNCTION("""COMPUTED_VALUE"""),"Virtual Brown")</f>
        <v>Virtual Brown</v>
      </c>
      <c r="B1877" s="47" t="str">
        <f>IFERROR(__xludf.DUMMYFUNCTION("""COMPUTED_VALUE"""),"J1Huisman")</f>
        <v>J1Huisman</v>
      </c>
      <c r="C1877" s="78" t="str">
        <f>IFERROR(__xludf.DUMMYFUNCTION("""COMPUTED_VALUE"""),"https://www.munzee.com/m/J1Huisman/11590/")</f>
        <v>https://www.munzee.com/m/J1Huisman/11590/</v>
      </c>
      <c r="D1877" s="47"/>
      <c r="E1877" s="47" t="b">
        <f>IFERROR(__xludf.DUMMYFUNCTION("""COMPUTED_VALUE"""),TRUE)</f>
        <v>1</v>
      </c>
      <c r="F1877" s="47"/>
      <c r="G1877" s="47" t="str">
        <f>IFERROR(__xludf.DUMMYFUNCTION("""COMPUTED_VALUE"""),"")</f>
        <v/>
      </c>
      <c r="H1877" s="47"/>
      <c r="I1877" s="47">
        <f>IFERROR(__xludf.DUMMYFUNCTION("""COMPUTED_VALUE"""),2.0)</f>
        <v>2</v>
      </c>
      <c r="J1877" s="47" t="str">
        <f>IFERROR(__xludf.DUMMYFUNCTION("""COMPUTED_VALUE"""),"https:")</f>
        <v>https:</v>
      </c>
      <c r="K1877" s="78" t="str">
        <f>IFERROR(__xludf.DUMMYFUNCTION("""COMPUTED_VALUE"""),"www.munzee.com")</f>
        <v>www.munzee.com</v>
      </c>
      <c r="L1877" s="47" t="str">
        <f>IFERROR(__xludf.DUMMYFUNCTION("""COMPUTED_VALUE"""),"m")</f>
        <v>m</v>
      </c>
      <c r="M1877" s="47" t="str">
        <f>IFERROR(__xludf.DUMMYFUNCTION("""COMPUTED_VALUE"""),"J1Huisman")</f>
        <v>J1Huisman</v>
      </c>
    </row>
    <row r="1878">
      <c r="A1878" s="47" t="str">
        <f>IFERROR(__xludf.DUMMYFUNCTION("""COMPUTED_VALUE"""),"Virtual Brown")</f>
        <v>Virtual Brown</v>
      </c>
      <c r="B1878" s="47" t="str">
        <f>IFERROR(__xludf.DUMMYFUNCTION("""COMPUTED_VALUE"""),"Pinkeltje")</f>
        <v>Pinkeltje</v>
      </c>
      <c r="C1878" s="78" t="str">
        <f>IFERROR(__xludf.DUMMYFUNCTION("""COMPUTED_VALUE"""),"https://www.munzee.com/m/Pinkeltje/1408/")</f>
        <v>https://www.munzee.com/m/Pinkeltje/1408/</v>
      </c>
      <c r="D1878" s="47"/>
      <c r="E1878" s="47" t="b">
        <f>IFERROR(__xludf.DUMMYFUNCTION("""COMPUTED_VALUE"""),TRUE)</f>
        <v>1</v>
      </c>
      <c r="F1878" s="47"/>
      <c r="G1878" s="47" t="str">
        <f>IFERROR(__xludf.DUMMYFUNCTION("""COMPUTED_VALUE"""),"")</f>
        <v/>
      </c>
      <c r="H1878" s="47"/>
      <c r="I1878" s="47">
        <f>IFERROR(__xludf.DUMMYFUNCTION("""COMPUTED_VALUE"""),2.0)</f>
        <v>2</v>
      </c>
      <c r="J1878" s="47" t="str">
        <f>IFERROR(__xludf.DUMMYFUNCTION("""COMPUTED_VALUE"""),"https:")</f>
        <v>https:</v>
      </c>
      <c r="K1878" s="78" t="str">
        <f>IFERROR(__xludf.DUMMYFUNCTION("""COMPUTED_VALUE"""),"www.munzee.com")</f>
        <v>www.munzee.com</v>
      </c>
      <c r="L1878" s="47" t="str">
        <f>IFERROR(__xludf.DUMMYFUNCTION("""COMPUTED_VALUE"""),"m")</f>
        <v>m</v>
      </c>
      <c r="M1878" s="47" t="str">
        <f>IFERROR(__xludf.DUMMYFUNCTION("""COMPUTED_VALUE"""),"Pinkeltje")</f>
        <v>Pinkeltje</v>
      </c>
    </row>
    <row r="1879">
      <c r="A1879" s="47" t="str">
        <f>IFERROR(__xludf.DUMMYFUNCTION("""COMPUTED_VALUE"""),"Virtual Brown")</f>
        <v>Virtual Brown</v>
      </c>
      <c r="B1879" s="47" t="str">
        <f>IFERROR(__xludf.DUMMYFUNCTION("""COMPUTED_VALUE"""),"Superkoe")</f>
        <v>Superkoe</v>
      </c>
      <c r="C1879" s="78" t="str">
        <f>IFERROR(__xludf.DUMMYFUNCTION("""COMPUTED_VALUE"""),"https://www.munzee.com/m/SuperKoe/13096")</f>
        <v>https://www.munzee.com/m/SuperKoe/13096</v>
      </c>
      <c r="D1879" s="47"/>
      <c r="E1879" s="47" t="b">
        <f>IFERROR(__xludf.DUMMYFUNCTION("""COMPUTED_VALUE"""),TRUE)</f>
        <v>1</v>
      </c>
      <c r="F1879" s="47"/>
      <c r="G1879" s="47" t="str">
        <f>IFERROR(__xludf.DUMMYFUNCTION("""COMPUTED_VALUE"""),"")</f>
        <v/>
      </c>
      <c r="H1879" s="47"/>
      <c r="I1879" s="47">
        <f>IFERROR(__xludf.DUMMYFUNCTION("""COMPUTED_VALUE"""),2.0)</f>
        <v>2</v>
      </c>
      <c r="J1879" s="47" t="str">
        <f>IFERROR(__xludf.DUMMYFUNCTION("""COMPUTED_VALUE"""),"https:")</f>
        <v>https:</v>
      </c>
      <c r="K1879" s="78" t="str">
        <f>IFERROR(__xludf.DUMMYFUNCTION("""COMPUTED_VALUE"""),"www.munzee.com")</f>
        <v>www.munzee.com</v>
      </c>
      <c r="L1879" s="47" t="str">
        <f>IFERROR(__xludf.DUMMYFUNCTION("""COMPUTED_VALUE"""),"m")</f>
        <v>m</v>
      </c>
      <c r="M1879" s="47" t="str">
        <f>IFERROR(__xludf.DUMMYFUNCTION("""COMPUTED_VALUE"""),"SuperKoe")</f>
        <v>SuperKoe</v>
      </c>
    </row>
    <row r="1880">
      <c r="A1880" s="47" t="str">
        <f>IFERROR(__xludf.DUMMYFUNCTION("""COMPUTED_VALUE"""),"Virtual Raw Sienna")</f>
        <v>Virtual Raw Sienna</v>
      </c>
      <c r="B1880" s="47" t="str">
        <f>IFERROR(__xludf.DUMMYFUNCTION("""COMPUTED_VALUE"""),"HtV")</f>
        <v>HtV</v>
      </c>
      <c r="C1880" s="78" t="str">
        <f>IFERROR(__xludf.DUMMYFUNCTION("""COMPUTED_VALUE"""),"https://www.munzee.com/m/HtV/7523/")</f>
        <v>https://www.munzee.com/m/HtV/7523/</v>
      </c>
      <c r="D1880" s="47"/>
      <c r="E1880" s="47" t="b">
        <f>IFERROR(__xludf.DUMMYFUNCTION("""COMPUTED_VALUE"""),TRUE)</f>
        <v>1</v>
      </c>
      <c r="F1880" s="47"/>
      <c r="G1880" s="47" t="str">
        <f>IFERROR(__xludf.DUMMYFUNCTION("""COMPUTED_VALUE"""),"")</f>
        <v/>
      </c>
      <c r="H1880" s="47"/>
      <c r="I1880" s="47">
        <f>IFERROR(__xludf.DUMMYFUNCTION("""COMPUTED_VALUE"""),2.0)</f>
        <v>2</v>
      </c>
      <c r="J1880" s="47" t="str">
        <f>IFERROR(__xludf.DUMMYFUNCTION("""COMPUTED_VALUE"""),"https:")</f>
        <v>https:</v>
      </c>
      <c r="K1880" s="78" t="str">
        <f>IFERROR(__xludf.DUMMYFUNCTION("""COMPUTED_VALUE"""),"www.munzee.com")</f>
        <v>www.munzee.com</v>
      </c>
      <c r="L1880" s="47" t="str">
        <f>IFERROR(__xludf.DUMMYFUNCTION("""COMPUTED_VALUE"""),"m")</f>
        <v>m</v>
      </c>
      <c r="M1880" s="47" t="str">
        <f>IFERROR(__xludf.DUMMYFUNCTION("""COMPUTED_VALUE"""),"HtV")</f>
        <v>HtV</v>
      </c>
    </row>
    <row r="1881">
      <c r="A1881" s="47" t="str">
        <f>IFERROR(__xludf.DUMMYFUNCTION("""COMPUTED_VALUE"""),"Virtual Brown")</f>
        <v>Virtual Brown</v>
      </c>
      <c r="B1881" s="47" t="str">
        <f>IFERROR(__xludf.DUMMYFUNCTION("""COMPUTED_VALUE"""),"Ronella42")</f>
        <v>Ronella42</v>
      </c>
      <c r="C1881" s="78" t="str">
        <f>IFERROR(__xludf.DUMMYFUNCTION("""COMPUTED_VALUE"""),"https://www.munzee.com/m/Ronella42/196")</f>
        <v>https://www.munzee.com/m/Ronella42/196</v>
      </c>
      <c r="D1881" s="47"/>
      <c r="E1881" s="47" t="b">
        <f>IFERROR(__xludf.DUMMYFUNCTION("""COMPUTED_VALUE"""),TRUE)</f>
        <v>1</v>
      </c>
      <c r="F1881" s="47"/>
      <c r="G1881" s="47" t="str">
        <f>IFERROR(__xludf.DUMMYFUNCTION("""COMPUTED_VALUE"""),"")</f>
        <v/>
      </c>
      <c r="H1881" s="47"/>
      <c r="I1881" s="47">
        <f>IFERROR(__xludf.DUMMYFUNCTION("""COMPUTED_VALUE"""),2.0)</f>
        <v>2</v>
      </c>
      <c r="J1881" s="47" t="str">
        <f>IFERROR(__xludf.DUMMYFUNCTION("""COMPUTED_VALUE"""),"https:")</f>
        <v>https:</v>
      </c>
      <c r="K1881" s="78" t="str">
        <f>IFERROR(__xludf.DUMMYFUNCTION("""COMPUTED_VALUE"""),"www.munzee.com")</f>
        <v>www.munzee.com</v>
      </c>
      <c r="L1881" s="47" t="str">
        <f>IFERROR(__xludf.DUMMYFUNCTION("""COMPUTED_VALUE"""),"m")</f>
        <v>m</v>
      </c>
      <c r="M1881" s="47" t="str">
        <f>IFERROR(__xludf.DUMMYFUNCTION("""COMPUTED_VALUE"""),"Ronella42")</f>
        <v>Ronella42</v>
      </c>
    </row>
    <row r="1882">
      <c r="A1882" s="47" t="str">
        <f>IFERROR(__xludf.DUMMYFUNCTION("""COMPUTED_VALUE"""),"Virtual Brown")</f>
        <v>Virtual Brown</v>
      </c>
      <c r="B1882" s="47" t="str">
        <f>IFERROR(__xludf.DUMMYFUNCTION("""COMPUTED_VALUE"""),"Hanry")</f>
        <v>Hanry</v>
      </c>
      <c r="C1882" s="78" t="str">
        <f>IFERROR(__xludf.DUMMYFUNCTION("""COMPUTED_VALUE"""),"https://www.munzee.com/m/Hanry/1008/")</f>
        <v>https://www.munzee.com/m/Hanry/1008/</v>
      </c>
      <c r="D1882" s="47"/>
      <c r="E1882" s="47" t="b">
        <f>IFERROR(__xludf.DUMMYFUNCTION("""COMPUTED_VALUE"""),TRUE)</f>
        <v>1</v>
      </c>
      <c r="F1882" s="47"/>
      <c r="G1882" s="47" t="str">
        <f>IFERROR(__xludf.DUMMYFUNCTION("""COMPUTED_VALUE"""),"")</f>
        <v/>
      </c>
      <c r="H1882" s="47"/>
      <c r="I1882" s="47">
        <f>IFERROR(__xludf.DUMMYFUNCTION("""COMPUTED_VALUE"""),2.0)</f>
        <v>2</v>
      </c>
      <c r="J1882" s="47" t="str">
        <f>IFERROR(__xludf.DUMMYFUNCTION("""COMPUTED_VALUE"""),"https:")</f>
        <v>https:</v>
      </c>
      <c r="K1882" s="78" t="str">
        <f>IFERROR(__xludf.DUMMYFUNCTION("""COMPUTED_VALUE"""),"www.munzee.com")</f>
        <v>www.munzee.com</v>
      </c>
      <c r="L1882" s="47" t="str">
        <f>IFERROR(__xludf.DUMMYFUNCTION("""COMPUTED_VALUE"""),"m")</f>
        <v>m</v>
      </c>
      <c r="M1882" s="47" t="str">
        <f>IFERROR(__xludf.DUMMYFUNCTION("""COMPUTED_VALUE"""),"Hanry")</f>
        <v>Hanry</v>
      </c>
    </row>
    <row r="1883">
      <c r="A1883" s="47" t="str">
        <f>IFERROR(__xludf.DUMMYFUNCTION("""COMPUTED_VALUE"""),"Virtual Brown")</f>
        <v>Virtual Brown</v>
      </c>
      <c r="B1883" s="47" t="str">
        <f>IFERROR(__xludf.DUMMYFUNCTION("""COMPUTED_VALUE"""),"DutchLibrarian")</f>
        <v>DutchLibrarian</v>
      </c>
      <c r="C1883" s="78" t="str">
        <f>IFERROR(__xludf.DUMMYFUNCTION("""COMPUTED_VALUE"""),"https://www.munzee.com/m/DutchLibrarian/432")</f>
        <v>https://www.munzee.com/m/DutchLibrarian/432</v>
      </c>
      <c r="D1883" s="47"/>
      <c r="E1883" s="47" t="b">
        <f>IFERROR(__xludf.DUMMYFUNCTION("""COMPUTED_VALUE"""),TRUE)</f>
        <v>1</v>
      </c>
      <c r="F1883" s="47"/>
      <c r="G1883" s="47" t="str">
        <f>IFERROR(__xludf.DUMMYFUNCTION("""COMPUTED_VALUE"""),"")</f>
        <v/>
      </c>
      <c r="H1883" s="47"/>
      <c r="I1883" s="47">
        <f>IFERROR(__xludf.DUMMYFUNCTION("""COMPUTED_VALUE"""),2.0)</f>
        <v>2</v>
      </c>
      <c r="J1883" s="47" t="str">
        <f>IFERROR(__xludf.DUMMYFUNCTION("""COMPUTED_VALUE"""),"https:")</f>
        <v>https:</v>
      </c>
      <c r="K1883" s="78" t="str">
        <f>IFERROR(__xludf.DUMMYFUNCTION("""COMPUTED_VALUE"""),"www.munzee.com")</f>
        <v>www.munzee.com</v>
      </c>
      <c r="L1883" s="47" t="str">
        <f>IFERROR(__xludf.DUMMYFUNCTION("""COMPUTED_VALUE"""),"m")</f>
        <v>m</v>
      </c>
      <c r="M1883" s="47" t="str">
        <f>IFERROR(__xludf.DUMMYFUNCTION("""COMPUTED_VALUE"""),"DutchLibrarian")</f>
        <v>DutchLibrarian</v>
      </c>
    </row>
    <row r="1884">
      <c r="A1884" s="47" t="str">
        <f>IFERROR(__xludf.DUMMYFUNCTION("""COMPUTED_VALUE"""),"Virtual Brown")</f>
        <v>Virtual Brown</v>
      </c>
      <c r="B1884" s="47" t="str">
        <f>IFERROR(__xludf.DUMMYFUNCTION("""COMPUTED_VALUE"""),"DeNachtwaker")</f>
        <v>DeNachtwaker</v>
      </c>
      <c r="C1884" s="78" t="str">
        <f>IFERROR(__xludf.DUMMYFUNCTION("""COMPUTED_VALUE"""),"https://www.munzee.com/m/DeNachtwaker/5776")</f>
        <v>https://www.munzee.com/m/DeNachtwaker/5776</v>
      </c>
      <c r="D1884" s="47"/>
      <c r="E1884" s="47" t="b">
        <f>IFERROR(__xludf.DUMMYFUNCTION("""COMPUTED_VALUE"""),TRUE)</f>
        <v>1</v>
      </c>
      <c r="F1884" s="47"/>
      <c r="G1884" s="47" t="str">
        <f>IFERROR(__xludf.DUMMYFUNCTION("""COMPUTED_VALUE"""),"")</f>
        <v/>
      </c>
      <c r="H1884" s="47"/>
      <c r="I1884" s="47">
        <f>IFERROR(__xludf.DUMMYFUNCTION("""COMPUTED_VALUE"""),2.0)</f>
        <v>2</v>
      </c>
      <c r="J1884" s="47" t="str">
        <f>IFERROR(__xludf.DUMMYFUNCTION("""COMPUTED_VALUE"""),"https:")</f>
        <v>https:</v>
      </c>
      <c r="K1884" s="78" t="str">
        <f>IFERROR(__xludf.DUMMYFUNCTION("""COMPUTED_VALUE"""),"www.munzee.com")</f>
        <v>www.munzee.com</v>
      </c>
      <c r="L1884" s="47" t="str">
        <f>IFERROR(__xludf.DUMMYFUNCTION("""COMPUTED_VALUE"""),"m")</f>
        <v>m</v>
      </c>
      <c r="M1884" s="47" t="str">
        <f>IFERROR(__xludf.DUMMYFUNCTION("""COMPUTED_VALUE"""),"DeNachtwaker")</f>
        <v>DeNachtwaker</v>
      </c>
    </row>
    <row r="1885">
      <c r="A1885" s="47" t="str">
        <f>IFERROR(__xludf.DUMMYFUNCTION("""COMPUTED_VALUE"""),"Virtual Brown")</f>
        <v>Virtual Brown</v>
      </c>
      <c r="B1885" s="47" t="str">
        <f>IFERROR(__xludf.DUMMYFUNCTION("""COMPUTED_VALUE"""),"Skater9468")</f>
        <v>Skater9468</v>
      </c>
      <c r="C1885" s="78" t="str">
        <f>IFERROR(__xludf.DUMMYFUNCTION("""COMPUTED_VALUE"""),"https://www.munzee.com/m/Skater9468/450")</f>
        <v>https://www.munzee.com/m/Skater9468/450</v>
      </c>
      <c r="D1885" s="47"/>
      <c r="E1885" s="47" t="b">
        <f>IFERROR(__xludf.DUMMYFUNCTION("""COMPUTED_VALUE"""),TRUE)</f>
        <v>1</v>
      </c>
      <c r="F1885" s="47"/>
      <c r="G1885" s="47" t="str">
        <f>IFERROR(__xludf.DUMMYFUNCTION("""COMPUTED_VALUE"""),"")</f>
        <v/>
      </c>
      <c r="H1885" s="47"/>
      <c r="I1885" s="47">
        <f>IFERROR(__xludf.DUMMYFUNCTION("""COMPUTED_VALUE"""),2.0)</f>
        <v>2</v>
      </c>
      <c r="J1885" s="47" t="str">
        <f>IFERROR(__xludf.DUMMYFUNCTION("""COMPUTED_VALUE"""),"https:")</f>
        <v>https:</v>
      </c>
      <c r="K1885" s="78" t="str">
        <f>IFERROR(__xludf.DUMMYFUNCTION("""COMPUTED_VALUE"""),"www.munzee.com")</f>
        <v>www.munzee.com</v>
      </c>
      <c r="L1885" s="47" t="str">
        <f>IFERROR(__xludf.DUMMYFUNCTION("""COMPUTED_VALUE"""),"m")</f>
        <v>m</v>
      </c>
      <c r="M1885" s="47" t="str">
        <f>IFERROR(__xludf.DUMMYFUNCTION("""COMPUTED_VALUE"""),"Skater9468")</f>
        <v>Skater9468</v>
      </c>
    </row>
    <row r="1886">
      <c r="A1886" s="47" t="str">
        <f>IFERROR(__xludf.DUMMYFUNCTION("""COMPUTED_VALUE"""),"Virtual Brown")</f>
        <v>Virtual Brown</v>
      </c>
      <c r="B1886" s="47" t="str">
        <f>IFERROR(__xludf.DUMMYFUNCTION("""COMPUTED_VALUE"""),"DutchLibrarian")</f>
        <v>DutchLibrarian</v>
      </c>
      <c r="C1886" s="78" t="str">
        <f>IFERROR(__xludf.DUMMYFUNCTION("""COMPUTED_VALUE"""),"https://www.munzee.com/m/DutchLibrarian/438")</f>
        <v>https://www.munzee.com/m/DutchLibrarian/438</v>
      </c>
      <c r="D1886" s="47"/>
      <c r="E1886" s="47" t="b">
        <f>IFERROR(__xludf.DUMMYFUNCTION("""COMPUTED_VALUE"""),TRUE)</f>
        <v>1</v>
      </c>
      <c r="F1886" s="47"/>
      <c r="G1886" s="47" t="str">
        <f>IFERROR(__xludf.DUMMYFUNCTION("""COMPUTED_VALUE"""),"")</f>
        <v/>
      </c>
      <c r="H1886" s="47"/>
      <c r="I1886" s="47">
        <f>IFERROR(__xludf.DUMMYFUNCTION("""COMPUTED_VALUE"""),2.0)</f>
        <v>2</v>
      </c>
      <c r="J1886" s="47" t="str">
        <f>IFERROR(__xludf.DUMMYFUNCTION("""COMPUTED_VALUE"""),"https:")</f>
        <v>https:</v>
      </c>
      <c r="K1886" s="78" t="str">
        <f>IFERROR(__xludf.DUMMYFUNCTION("""COMPUTED_VALUE"""),"www.munzee.com")</f>
        <v>www.munzee.com</v>
      </c>
      <c r="L1886" s="47" t="str">
        <f>IFERROR(__xludf.DUMMYFUNCTION("""COMPUTED_VALUE"""),"m")</f>
        <v>m</v>
      </c>
      <c r="M1886" s="47" t="str">
        <f>IFERROR(__xludf.DUMMYFUNCTION("""COMPUTED_VALUE"""),"DutchLibrarian")</f>
        <v>DutchLibrarian</v>
      </c>
    </row>
    <row r="1887">
      <c r="A1887" s="47" t="str">
        <f>IFERROR(__xludf.DUMMYFUNCTION("""COMPUTED_VALUE"""),"Virtual Brown")</f>
        <v>Virtual Brown</v>
      </c>
      <c r="B1887" s="47" t="str">
        <f>IFERROR(__xludf.DUMMYFUNCTION("""COMPUTED_VALUE"""),"WandelKuub")</f>
        <v>WandelKuub</v>
      </c>
      <c r="C1887" s="78" t="str">
        <f>IFERROR(__xludf.DUMMYFUNCTION("""COMPUTED_VALUE"""),"https://www.munzee.com/m/WandelKuub/5693/")</f>
        <v>https://www.munzee.com/m/WandelKuub/5693/</v>
      </c>
      <c r="D1887" s="47"/>
      <c r="E1887" s="47" t="b">
        <f>IFERROR(__xludf.DUMMYFUNCTION("""COMPUTED_VALUE"""),TRUE)</f>
        <v>1</v>
      </c>
      <c r="F1887" s="47"/>
      <c r="G1887" s="47"/>
      <c r="H1887" s="47"/>
      <c r="I1887" s="47">
        <f>IFERROR(__xludf.DUMMYFUNCTION("""COMPUTED_VALUE"""),2.0)</f>
        <v>2</v>
      </c>
      <c r="J1887" s="47" t="str">
        <f>IFERROR(__xludf.DUMMYFUNCTION("""COMPUTED_VALUE"""),"https:")</f>
        <v>https:</v>
      </c>
      <c r="K1887" s="78" t="str">
        <f>IFERROR(__xludf.DUMMYFUNCTION("""COMPUTED_VALUE"""),"www.munzee.com")</f>
        <v>www.munzee.com</v>
      </c>
      <c r="L1887" s="47" t="str">
        <f>IFERROR(__xludf.DUMMYFUNCTION("""COMPUTED_VALUE"""),"m")</f>
        <v>m</v>
      </c>
      <c r="M1887" s="47" t="str">
        <f>IFERROR(__xludf.DUMMYFUNCTION("""COMPUTED_VALUE"""),"WandelKuub")</f>
        <v>WandelKuub</v>
      </c>
    </row>
    <row r="1888">
      <c r="A1888" s="47" t="str">
        <f>IFERROR(__xludf.DUMMYFUNCTION("""COMPUTED_VALUE"""),"Virtual Brown")</f>
        <v>Virtual Brown</v>
      </c>
      <c r="B1888" s="47" t="str">
        <f>IFERROR(__xludf.DUMMYFUNCTION("""COMPUTED_VALUE"""),"fsafranek")</f>
        <v>fsafranek</v>
      </c>
      <c r="C1888" s="78" t="str">
        <f>IFERROR(__xludf.DUMMYFUNCTION("""COMPUTED_VALUE"""),"https://www.munzee.com/m/fsafranek/4675/")</f>
        <v>https://www.munzee.com/m/fsafranek/4675/</v>
      </c>
      <c r="D1888" s="47"/>
      <c r="E1888" s="47" t="b">
        <f>IFERROR(__xludf.DUMMYFUNCTION("""COMPUTED_VALUE"""),TRUE)</f>
        <v>1</v>
      </c>
      <c r="F1888" s="47"/>
      <c r="G1888" s="47"/>
      <c r="H1888" s="47"/>
      <c r="I1888" s="47">
        <f>IFERROR(__xludf.DUMMYFUNCTION("""COMPUTED_VALUE"""),2.0)</f>
        <v>2</v>
      </c>
      <c r="J1888" s="47" t="str">
        <f>IFERROR(__xludf.DUMMYFUNCTION("""COMPUTED_VALUE"""),"https:")</f>
        <v>https:</v>
      </c>
      <c r="K1888" s="78" t="str">
        <f>IFERROR(__xludf.DUMMYFUNCTION("""COMPUTED_VALUE"""),"www.munzee.com")</f>
        <v>www.munzee.com</v>
      </c>
      <c r="L1888" s="47" t="str">
        <f>IFERROR(__xludf.DUMMYFUNCTION("""COMPUTED_VALUE"""),"m")</f>
        <v>m</v>
      </c>
      <c r="M1888" s="47" t="str">
        <f>IFERROR(__xludf.DUMMYFUNCTION("""COMPUTED_VALUE"""),"fsafranek")</f>
        <v>fsafranek</v>
      </c>
    </row>
    <row r="1889">
      <c r="A1889" s="47" t="str">
        <f>IFERROR(__xludf.DUMMYFUNCTION("""COMPUTED_VALUE"""),"Virtual Brown")</f>
        <v>Virtual Brown</v>
      </c>
      <c r="B1889" s="47" t="str">
        <f>IFERROR(__xludf.DUMMYFUNCTION("""COMPUTED_VALUE"""),"DutchLibrarian")</f>
        <v>DutchLibrarian</v>
      </c>
      <c r="C1889" s="78" t="str">
        <f>IFERROR(__xludf.DUMMYFUNCTION("""COMPUTED_VALUE"""),"https://www.munzee.com/m/DutchLibrarian/476")</f>
        <v>https://www.munzee.com/m/DutchLibrarian/476</v>
      </c>
      <c r="D1889" s="47"/>
      <c r="E1889" s="47" t="b">
        <f>IFERROR(__xludf.DUMMYFUNCTION("""COMPUTED_VALUE"""),TRUE)</f>
        <v>1</v>
      </c>
      <c r="F1889" s="47"/>
      <c r="G1889" s="47" t="str">
        <f>IFERROR(__xludf.DUMMYFUNCTION("""COMPUTED_VALUE"""),"")</f>
        <v/>
      </c>
      <c r="H1889" s="47"/>
      <c r="I1889" s="47">
        <f>IFERROR(__xludf.DUMMYFUNCTION("""COMPUTED_VALUE"""),2.0)</f>
        <v>2</v>
      </c>
      <c r="J1889" s="47" t="str">
        <f>IFERROR(__xludf.DUMMYFUNCTION("""COMPUTED_VALUE"""),"https:")</f>
        <v>https:</v>
      </c>
      <c r="K1889" s="78" t="str">
        <f>IFERROR(__xludf.DUMMYFUNCTION("""COMPUTED_VALUE"""),"www.munzee.com")</f>
        <v>www.munzee.com</v>
      </c>
      <c r="L1889" s="47" t="str">
        <f>IFERROR(__xludf.DUMMYFUNCTION("""COMPUTED_VALUE"""),"m")</f>
        <v>m</v>
      </c>
      <c r="M1889" s="47" t="str">
        <f>IFERROR(__xludf.DUMMYFUNCTION("""COMPUTED_VALUE"""),"DutchLibrarian")</f>
        <v>DutchLibrarian</v>
      </c>
    </row>
    <row r="1890">
      <c r="A1890" s="47" t="str">
        <f>IFERROR(__xludf.DUMMYFUNCTION("""COMPUTED_VALUE"""),"Virtual Brown")</f>
        <v>Virtual Brown</v>
      </c>
      <c r="B1890" s="47" t="str">
        <f>IFERROR(__xludf.DUMMYFUNCTION("""COMPUTED_VALUE"""),"Anetzet ")</f>
        <v>Anetzet </v>
      </c>
      <c r="C1890" s="78" t="str">
        <f>IFERROR(__xludf.DUMMYFUNCTION("""COMPUTED_VALUE"""),"https://www.munzee.com/m/Anetzet/3160/")</f>
        <v>https://www.munzee.com/m/Anetzet/3160/</v>
      </c>
      <c r="D1890" s="47"/>
      <c r="E1890" s="47" t="b">
        <f>IFERROR(__xludf.DUMMYFUNCTION("""COMPUTED_VALUE"""),TRUE)</f>
        <v>1</v>
      </c>
      <c r="F1890" s="47"/>
      <c r="G1890" s="47" t="str">
        <f>IFERROR(__xludf.DUMMYFUNCTION("""COMPUTED_VALUE"""),"")</f>
        <v/>
      </c>
      <c r="H1890" s="47"/>
      <c r="I1890" s="47">
        <f>IFERROR(__xludf.DUMMYFUNCTION("""COMPUTED_VALUE"""),2.0)</f>
        <v>2</v>
      </c>
      <c r="J1890" s="47" t="str">
        <f>IFERROR(__xludf.DUMMYFUNCTION("""COMPUTED_VALUE"""),"https:")</f>
        <v>https:</v>
      </c>
      <c r="K1890" s="78" t="str">
        <f>IFERROR(__xludf.DUMMYFUNCTION("""COMPUTED_VALUE"""),"www.munzee.com")</f>
        <v>www.munzee.com</v>
      </c>
      <c r="L1890" s="47" t="str">
        <f>IFERROR(__xludf.DUMMYFUNCTION("""COMPUTED_VALUE"""),"m")</f>
        <v>m</v>
      </c>
      <c r="M1890" s="47" t="str">
        <f>IFERROR(__xludf.DUMMYFUNCTION("""COMPUTED_VALUE"""),"Anetzet")</f>
        <v>Anetzet</v>
      </c>
    </row>
    <row r="1891">
      <c r="A1891" s="47" t="str">
        <f>IFERROR(__xludf.DUMMYFUNCTION("""COMPUTED_VALUE"""),"Virtual Brown")</f>
        <v>Virtual Brown</v>
      </c>
      <c r="B1891" s="47" t="str">
        <f>IFERROR(__xludf.DUMMYFUNCTION("""COMPUTED_VALUE"""),"theceoiksjes")</f>
        <v>theceoiksjes</v>
      </c>
      <c r="C1891" s="78" t="str">
        <f>IFERROR(__xludf.DUMMYFUNCTION("""COMPUTED_VALUE"""),"https://www.munzee.com/m/Theceoiksjes/5714/")</f>
        <v>https://www.munzee.com/m/Theceoiksjes/5714/</v>
      </c>
      <c r="D1891" s="47"/>
      <c r="E1891" s="47" t="b">
        <f>IFERROR(__xludf.DUMMYFUNCTION("""COMPUTED_VALUE"""),TRUE)</f>
        <v>1</v>
      </c>
      <c r="F1891" s="47"/>
      <c r="G1891" s="47" t="str">
        <f>IFERROR(__xludf.DUMMYFUNCTION("""COMPUTED_VALUE"""),"")</f>
        <v/>
      </c>
      <c r="H1891" s="47"/>
      <c r="I1891" s="47">
        <f>IFERROR(__xludf.DUMMYFUNCTION("""COMPUTED_VALUE"""),2.0)</f>
        <v>2</v>
      </c>
      <c r="J1891" s="47" t="str">
        <f>IFERROR(__xludf.DUMMYFUNCTION("""COMPUTED_VALUE"""),"https:")</f>
        <v>https:</v>
      </c>
      <c r="K1891" s="78" t="str">
        <f>IFERROR(__xludf.DUMMYFUNCTION("""COMPUTED_VALUE"""),"www.munzee.com")</f>
        <v>www.munzee.com</v>
      </c>
      <c r="L1891" s="47" t="str">
        <f>IFERROR(__xludf.DUMMYFUNCTION("""COMPUTED_VALUE"""),"m")</f>
        <v>m</v>
      </c>
      <c r="M1891" s="47" t="str">
        <f>IFERROR(__xludf.DUMMYFUNCTION("""COMPUTED_VALUE"""),"Theceoiksjes")</f>
        <v>Theceoiksjes</v>
      </c>
    </row>
    <row r="1892">
      <c r="A1892" s="47" t="str">
        <f>IFERROR(__xludf.DUMMYFUNCTION("""COMPUTED_VALUE"""),"Virtual Raw Sienna")</f>
        <v>Virtual Raw Sienna</v>
      </c>
      <c r="B1892" s="47" t="str">
        <f>IFERROR(__xludf.DUMMYFUNCTION("""COMPUTED_VALUE"""),"pronkrug")</f>
        <v>pronkrug</v>
      </c>
      <c r="C1892" s="78" t="str">
        <f>IFERROR(__xludf.DUMMYFUNCTION("""COMPUTED_VALUE"""),"https://www.munzee.com/m/Pronkrug/2812")</f>
        <v>https://www.munzee.com/m/Pronkrug/2812</v>
      </c>
      <c r="D1892" s="47"/>
      <c r="E1892" s="47" t="b">
        <f>IFERROR(__xludf.DUMMYFUNCTION("""COMPUTED_VALUE"""),TRUE)</f>
        <v>1</v>
      </c>
      <c r="F1892" s="47"/>
      <c r="G1892" s="47" t="str">
        <f>IFERROR(__xludf.DUMMYFUNCTION("""COMPUTED_VALUE"""),"")</f>
        <v/>
      </c>
      <c r="H1892" s="47"/>
      <c r="I1892" s="47">
        <f>IFERROR(__xludf.DUMMYFUNCTION("""COMPUTED_VALUE"""),2.0)</f>
        <v>2</v>
      </c>
      <c r="J1892" s="47" t="str">
        <f>IFERROR(__xludf.DUMMYFUNCTION("""COMPUTED_VALUE"""),"https:")</f>
        <v>https:</v>
      </c>
      <c r="K1892" s="78" t="str">
        <f>IFERROR(__xludf.DUMMYFUNCTION("""COMPUTED_VALUE"""),"www.munzee.com")</f>
        <v>www.munzee.com</v>
      </c>
      <c r="L1892" s="47" t="str">
        <f>IFERROR(__xludf.DUMMYFUNCTION("""COMPUTED_VALUE"""),"m")</f>
        <v>m</v>
      </c>
      <c r="M1892" s="47" t="str">
        <f>IFERROR(__xludf.DUMMYFUNCTION("""COMPUTED_VALUE"""),"Pronkrug")</f>
        <v>Pronkrug</v>
      </c>
    </row>
    <row r="1893">
      <c r="A1893" s="47" t="str">
        <f>IFERROR(__xludf.DUMMYFUNCTION("""COMPUTED_VALUE"""),"Virtual Brown")</f>
        <v>Virtual Brown</v>
      </c>
      <c r="B1893" s="47" t="str">
        <f>IFERROR(__xludf.DUMMYFUNCTION("""COMPUTED_VALUE"""),"cvdchiller")</f>
        <v>cvdchiller</v>
      </c>
      <c r="C1893" s="78" t="str">
        <f>IFERROR(__xludf.DUMMYFUNCTION("""COMPUTED_VALUE"""),"https://www.munzee.com/m/cvdchiller/8750")</f>
        <v>https://www.munzee.com/m/cvdchiller/8750</v>
      </c>
      <c r="D1893" s="47"/>
      <c r="E1893" s="47" t="b">
        <f>IFERROR(__xludf.DUMMYFUNCTION("""COMPUTED_VALUE"""),TRUE)</f>
        <v>1</v>
      </c>
      <c r="F1893" s="47"/>
      <c r="G1893" s="47" t="str">
        <f>IFERROR(__xludf.DUMMYFUNCTION("""COMPUTED_VALUE"""),"")</f>
        <v/>
      </c>
      <c r="H1893" s="47"/>
      <c r="I1893" s="47">
        <f>IFERROR(__xludf.DUMMYFUNCTION("""COMPUTED_VALUE"""),2.0)</f>
        <v>2</v>
      </c>
      <c r="J1893" s="47" t="str">
        <f>IFERROR(__xludf.DUMMYFUNCTION("""COMPUTED_VALUE"""),"https:")</f>
        <v>https:</v>
      </c>
      <c r="K1893" s="78" t="str">
        <f>IFERROR(__xludf.DUMMYFUNCTION("""COMPUTED_VALUE"""),"www.munzee.com")</f>
        <v>www.munzee.com</v>
      </c>
      <c r="L1893" s="47" t="str">
        <f>IFERROR(__xludf.DUMMYFUNCTION("""COMPUTED_VALUE"""),"m")</f>
        <v>m</v>
      </c>
      <c r="M1893" s="47" t="str">
        <f>IFERROR(__xludf.DUMMYFUNCTION("""COMPUTED_VALUE"""),"cvdchiller")</f>
        <v>cvdchiller</v>
      </c>
    </row>
    <row r="1894">
      <c r="A1894" s="47" t="str">
        <f>IFERROR(__xludf.DUMMYFUNCTION("""COMPUTED_VALUE"""),"Virtual Brown")</f>
        <v>Virtual Brown</v>
      </c>
      <c r="B1894" s="47" t="str">
        <f>IFERROR(__xludf.DUMMYFUNCTION("""COMPUTED_VALUE"""),"Vonney")</f>
        <v>Vonney</v>
      </c>
      <c r="C1894" s="78" t="str">
        <f>IFERROR(__xludf.DUMMYFUNCTION("""COMPUTED_VALUE"""),"https://www.munzee.com/m/Vonney/2/")</f>
        <v>https://www.munzee.com/m/Vonney/2/</v>
      </c>
      <c r="D1894" s="47"/>
      <c r="E1894" s="47" t="b">
        <f>IFERROR(__xludf.DUMMYFUNCTION("""COMPUTED_VALUE"""),TRUE)</f>
        <v>1</v>
      </c>
      <c r="F1894" s="47"/>
      <c r="G1894" s="47" t="str">
        <f>IFERROR(__xludf.DUMMYFUNCTION("""COMPUTED_VALUE"""),"")</f>
        <v/>
      </c>
      <c r="H1894" s="47"/>
      <c r="I1894" s="47">
        <f>IFERROR(__xludf.DUMMYFUNCTION("""COMPUTED_VALUE"""),2.0)</f>
        <v>2</v>
      </c>
      <c r="J1894" s="47" t="str">
        <f>IFERROR(__xludf.DUMMYFUNCTION("""COMPUTED_VALUE"""),"https:")</f>
        <v>https:</v>
      </c>
      <c r="K1894" s="78" t="str">
        <f>IFERROR(__xludf.DUMMYFUNCTION("""COMPUTED_VALUE"""),"www.munzee.com")</f>
        <v>www.munzee.com</v>
      </c>
      <c r="L1894" s="47" t="str">
        <f>IFERROR(__xludf.DUMMYFUNCTION("""COMPUTED_VALUE"""),"m")</f>
        <v>m</v>
      </c>
      <c r="M1894" s="47" t="str">
        <f>IFERROR(__xludf.DUMMYFUNCTION("""COMPUTED_VALUE"""),"Vonney")</f>
        <v>Vonney</v>
      </c>
    </row>
    <row r="1895">
      <c r="A1895" s="47" t="str">
        <f>IFERROR(__xludf.DUMMYFUNCTION("""COMPUTED_VALUE"""),"Virtual Brown")</f>
        <v>Virtual Brown</v>
      </c>
      <c r="B1895" s="47" t="str">
        <f>IFERROR(__xludf.DUMMYFUNCTION("""COMPUTED_VALUE"""),"xrayneex")</f>
        <v>xrayneex</v>
      </c>
      <c r="C1895" s="78" t="str">
        <f>IFERROR(__xludf.DUMMYFUNCTION("""COMPUTED_VALUE"""),"https://www.munzee.com/m/xrayneex/1555/")</f>
        <v>https://www.munzee.com/m/xrayneex/1555/</v>
      </c>
      <c r="D1895" s="47"/>
      <c r="E1895" s="47" t="b">
        <f>IFERROR(__xludf.DUMMYFUNCTION("""COMPUTED_VALUE"""),TRUE)</f>
        <v>1</v>
      </c>
      <c r="F1895" s="47"/>
      <c r="G1895" s="47" t="str">
        <f>IFERROR(__xludf.DUMMYFUNCTION("""COMPUTED_VALUE"""),"")</f>
        <v/>
      </c>
      <c r="H1895" s="47"/>
      <c r="I1895" s="47">
        <f>IFERROR(__xludf.DUMMYFUNCTION("""COMPUTED_VALUE"""),2.0)</f>
        <v>2</v>
      </c>
      <c r="J1895" s="47" t="str">
        <f>IFERROR(__xludf.DUMMYFUNCTION("""COMPUTED_VALUE"""),"https:")</f>
        <v>https:</v>
      </c>
      <c r="K1895" s="78" t="str">
        <f>IFERROR(__xludf.DUMMYFUNCTION("""COMPUTED_VALUE"""),"www.munzee.com")</f>
        <v>www.munzee.com</v>
      </c>
      <c r="L1895" s="47" t="str">
        <f>IFERROR(__xludf.DUMMYFUNCTION("""COMPUTED_VALUE"""),"m")</f>
        <v>m</v>
      </c>
      <c r="M1895" s="47" t="str">
        <f>IFERROR(__xludf.DUMMYFUNCTION("""COMPUTED_VALUE"""),"xrayneex")</f>
        <v>xrayneex</v>
      </c>
    </row>
    <row r="1896">
      <c r="A1896" s="47" t="str">
        <f>IFERROR(__xludf.DUMMYFUNCTION("""COMPUTED_VALUE"""),"Virtual Raw Sienna")</f>
        <v>Virtual Raw Sienna</v>
      </c>
      <c r="B1896" s="47" t="str">
        <f>IFERROR(__xludf.DUMMYFUNCTION("""COMPUTED_VALUE"""),"Felixbongers")</f>
        <v>Felixbongers</v>
      </c>
      <c r="C1896" s="78" t="str">
        <f>IFERROR(__xludf.DUMMYFUNCTION("""COMPUTED_VALUE"""),"https://www.munzee.com/m/felixbongers/7920/")</f>
        <v>https://www.munzee.com/m/felixbongers/7920/</v>
      </c>
      <c r="D1896" s="47"/>
      <c r="E1896" s="47" t="b">
        <f>IFERROR(__xludf.DUMMYFUNCTION("""COMPUTED_VALUE"""),TRUE)</f>
        <v>1</v>
      </c>
      <c r="F1896" s="47"/>
      <c r="G1896" s="47" t="str">
        <f>IFERROR(__xludf.DUMMYFUNCTION("""COMPUTED_VALUE"""),"")</f>
        <v/>
      </c>
      <c r="H1896" s="47"/>
      <c r="I1896" s="47">
        <f>IFERROR(__xludf.DUMMYFUNCTION("""COMPUTED_VALUE"""),2.0)</f>
        <v>2</v>
      </c>
      <c r="J1896" s="47" t="str">
        <f>IFERROR(__xludf.DUMMYFUNCTION("""COMPUTED_VALUE"""),"https:")</f>
        <v>https:</v>
      </c>
      <c r="K1896" s="78" t="str">
        <f>IFERROR(__xludf.DUMMYFUNCTION("""COMPUTED_VALUE"""),"www.munzee.com")</f>
        <v>www.munzee.com</v>
      </c>
      <c r="L1896" s="47" t="str">
        <f>IFERROR(__xludf.DUMMYFUNCTION("""COMPUTED_VALUE"""),"m")</f>
        <v>m</v>
      </c>
      <c r="M1896" s="47" t="str">
        <f>IFERROR(__xludf.DUMMYFUNCTION("""COMPUTED_VALUE"""),"felixbongers")</f>
        <v>felixbongers</v>
      </c>
    </row>
    <row r="1897">
      <c r="A1897" s="47" t="str">
        <f>IFERROR(__xludf.DUMMYFUNCTION("""COMPUTED_VALUE"""),"Virtual Brown")</f>
        <v>Virtual Brown</v>
      </c>
      <c r="B1897" s="47" t="str">
        <f>IFERROR(__xludf.DUMMYFUNCTION("""COMPUTED_VALUE"""),"Feikjen")</f>
        <v>Feikjen</v>
      </c>
      <c r="C1897" s="78" t="str">
        <f>IFERROR(__xludf.DUMMYFUNCTION("""COMPUTED_VALUE"""),"https://www.munzee.com/m/feikjen/8006/")</f>
        <v>https://www.munzee.com/m/feikjen/8006/</v>
      </c>
      <c r="D1897" s="47"/>
      <c r="E1897" s="47" t="b">
        <f>IFERROR(__xludf.DUMMYFUNCTION("""COMPUTED_VALUE"""),TRUE)</f>
        <v>1</v>
      </c>
      <c r="F1897" s="47"/>
      <c r="G1897" s="47" t="str">
        <f>IFERROR(__xludf.DUMMYFUNCTION("""COMPUTED_VALUE"""),"")</f>
        <v/>
      </c>
      <c r="H1897" s="47"/>
      <c r="I1897" s="47">
        <f>IFERROR(__xludf.DUMMYFUNCTION("""COMPUTED_VALUE"""),2.0)</f>
        <v>2</v>
      </c>
      <c r="J1897" s="47" t="str">
        <f>IFERROR(__xludf.DUMMYFUNCTION("""COMPUTED_VALUE"""),"https:")</f>
        <v>https:</v>
      </c>
      <c r="K1897" s="78" t="str">
        <f>IFERROR(__xludf.DUMMYFUNCTION("""COMPUTED_VALUE"""),"www.munzee.com")</f>
        <v>www.munzee.com</v>
      </c>
      <c r="L1897" s="47" t="str">
        <f>IFERROR(__xludf.DUMMYFUNCTION("""COMPUTED_VALUE"""),"m")</f>
        <v>m</v>
      </c>
      <c r="M1897" s="47" t="str">
        <f>IFERROR(__xludf.DUMMYFUNCTION("""COMPUTED_VALUE"""),"feikjen")</f>
        <v>feikjen</v>
      </c>
    </row>
    <row r="1898">
      <c r="A1898" s="47" t="str">
        <f>IFERROR(__xludf.DUMMYFUNCTION("""COMPUTED_VALUE"""),"Virtual Brown")</f>
        <v>Virtual Brown</v>
      </c>
      <c r="B1898" s="47" t="str">
        <f>IFERROR(__xludf.DUMMYFUNCTION("""COMPUTED_VALUE"""),"Trappertje")</f>
        <v>Trappertje</v>
      </c>
      <c r="C1898" s="78" t="str">
        <f>IFERROR(__xludf.DUMMYFUNCTION("""COMPUTED_VALUE"""),"https://www.munzee.com/m/Trappertje/5102/")</f>
        <v>https://www.munzee.com/m/Trappertje/5102/</v>
      </c>
      <c r="D1898" s="47"/>
      <c r="E1898" s="47" t="b">
        <f>IFERROR(__xludf.DUMMYFUNCTION("""COMPUTED_VALUE"""),TRUE)</f>
        <v>1</v>
      </c>
      <c r="F1898" s="47"/>
      <c r="G1898" s="47" t="str">
        <f>IFERROR(__xludf.DUMMYFUNCTION("""COMPUTED_VALUE"""),"")</f>
        <v/>
      </c>
      <c r="H1898" s="47"/>
      <c r="I1898" s="47">
        <f>IFERROR(__xludf.DUMMYFUNCTION("""COMPUTED_VALUE"""),2.0)</f>
        <v>2</v>
      </c>
      <c r="J1898" s="47" t="str">
        <f>IFERROR(__xludf.DUMMYFUNCTION("""COMPUTED_VALUE"""),"https:")</f>
        <v>https:</v>
      </c>
      <c r="K1898" s="78" t="str">
        <f>IFERROR(__xludf.DUMMYFUNCTION("""COMPUTED_VALUE"""),"www.munzee.com")</f>
        <v>www.munzee.com</v>
      </c>
      <c r="L1898" s="47" t="str">
        <f>IFERROR(__xludf.DUMMYFUNCTION("""COMPUTED_VALUE"""),"m")</f>
        <v>m</v>
      </c>
      <c r="M1898" s="47" t="str">
        <f>IFERROR(__xludf.DUMMYFUNCTION("""COMPUTED_VALUE"""),"Trappertje")</f>
        <v>Trappertje</v>
      </c>
    </row>
    <row r="1899">
      <c r="A1899" s="47" t="str">
        <f>IFERROR(__xludf.DUMMYFUNCTION("""COMPUTED_VALUE"""),"Virtual Raw Sienna")</f>
        <v>Virtual Raw Sienna</v>
      </c>
      <c r="B1899" s="47" t="str">
        <f>IFERROR(__xludf.DUMMYFUNCTION("""COMPUTED_VALUE"""),"MrsSourflush ")</f>
        <v>MrsSourflush </v>
      </c>
      <c r="C1899" s="78" t="str">
        <f>IFERROR(__xludf.DUMMYFUNCTION("""COMPUTED_VALUE"""),"https://www.munzee.com/m/MrsSourflush/1468/")</f>
        <v>https://www.munzee.com/m/MrsSourflush/1468/</v>
      </c>
      <c r="D1899" s="47"/>
      <c r="E1899" s="47" t="b">
        <f>IFERROR(__xludf.DUMMYFUNCTION("""COMPUTED_VALUE"""),TRUE)</f>
        <v>1</v>
      </c>
      <c r="F1899" s="47"/>
      <c r="G1899" s="47" t="str">
        <f>IFERROR(__xludf.DUMMYFUNCTION("""COMPUTED_VALUE"""),"")</f>
        <v/>
      </c>
      <c r="H1899" s="47"/>
      <c r="I1899" s="47">
        <f>IFERROR(__xludf.DUMMYFUNCTION("""COMPUTED_VALUE"""),2.0)</f>
        <v>2</v>
      </c>
      <c r="J1899" s="47" t="str">
        <f>IFERROR(__xludf.DUMMYFUNCTION("""COMPUTED_VALUE"""),"https:")</f>
        <v>https:</v>
      </c>
      <c r="K1899" s="78" t="str">
        <f>IFERROR(__xludf.DUMMYFUNCTION("""COMPUTED_VALUE"""),"www.munzee.com")</f>
        <v>www.munzee.com</v>
      </c>
      <c r="L1899" s="47" t="str">
        <f>IFERROR(__xludf.DUMMYFUNCTION("""COMPUTED_VALUE"""),"m")</f>
        <v>m</v>
      </c>
      <c r="M1899" s="47" t="str">
        <f>IFERROR(__xludf.DUMMYFUNCTION("""COMPUTED_VALUE"""),"MrsSourflush")</f>
        <v>MrsSourflush</v>
      </c>
    </row>
    <row r="1900">
      <c r="A1900" s="47" t="str">
        <f>IFERROR(__xludf.DUMMYFUNCTION("""COMPUTED_VALUE"""),"Virtual Brown")</f>
        <v>Virtual Brown</v>
      </c>
      <c r="B1900" s="47" t="str">
        <f>IFERROR(__xludf.DUMMYFUNCTION("""COMPUTED_VALUE"""),"cbf600")</f>
        <v>cbf600</v>
      </c>
      <c r="C1900" s="78" t="str">
        <f>IFERROR(__xludf.DUMMYFUNCTION("""COMPUTED_VALUE"""),"https://www.munzee.com/m/cbf600/2533/")</f>
        <v>https://www.munzee.com/m/cbf600/2533/</v>
      </c>
      <c r="D1900" s="47"/>
      <c r="E1900" s="47" t="b">
        <f>IFERROR(__xludf.DUMMYFUNCTION("""COMPUTED_VALUE"""),TRUE)</f>
        <v>1</v>
      </c>
      <c r="F1900" s="47"/>
      <c r="G1900" s="47" t="str">
        <f>IFERROR(__xludf.DUMMYFUNCTION("""COMPUTED_VALUE"""),"")</f>
        <v/>
      </c>
      <c r="H1900" s="47"/>
      <c r="I1900" s="47">
        <f>IFERROR(__xludf.DUMMYFUNCTION("""COMPUTED_VALUE"""),2.0)</f>
        <v>2</v>
      </c>
      <c r="J1900" s="47" t="str">
        <f>IFERROR(__xludf.DUMMYFUNCTION("""COMPUTED_VALUE"""),"https:")</f>
        <v>https:</v>
      </c>
      <c r="K1900" s="78" t="str">
        <f>IFERROR(__xludf.DUMMYFUNCTION("""COMPUTED_VALUE"""),"www.munzee.com")</f>
        <v>www.munzee.com</v>
      </c>
      <c r="L1900" s="47" t="str">
        <f>IFERROR(__xludf.DUMMYFUNCTION("""COMPUTED_VALUE"""),"m")</f>
        <v>m</v>
      </c>
      <c r="M1900" s="47" t="str">
        <f>IFERROR(__xludf.DUMMYFUNCTION("""COMPUTED_VALUE"""),"cbf600")</f>
        <v>cbf600</v>
      </c>
    </row>
    <row r="1901">
      <c r="A1901" s="47" t="str">
        <f>IFERROR(__xludf.DUMMYFUNCTION("""COMPUTED_VALUE"""),"Virtual Raw Sienna")</f>
        <v>Virtual Raw Sienna</v>
      </c>
      <c r="B1901" s="47" t="str">
        <f>IFERROR(__xludf.DUMMYFUNCTION("""COMPUTED_VALUE"""),"Rhaegal")</f>
        <v>Rhaegal</v>
      </c>
      <c r="C1901" s="78" t="str">
        <f>IFERROR(__xludf.DUMMYFUNCTION("""COMPUTED_VALUE"""),"https://www.munzee.com/m/Rhaegal/7/")</f>
        <v>https://www.munzee.com/m/Rhaegal/7/</v>
      </c>
      <c r="D1901" s="47"/>
      <c r="E1901" s="47" t="b">
        <f>IFERROR(__xludf.DUMMYFUNCTION("""COMPUTED_VALUE"""),TRUE)</f>
        <v>1</v>
      </c>
      <c r="F1901" s="47"/>
      <c r="G1901" s="47" t="str">
        <f>IFERROR(__xludf.DUMMYFUNCTION("""COMPUTED_VALUE"""),"")</f>
        <v/>
      </c>
      <c r="H1901" s="47"/>
      <c r="I1901" s="47">
        <f>IFERROR(__xludf.DUMMYFUNCTION("""COMPUTED_VALUE"""),2.0)</f>
        <v>2</v>
      </c>
      <c r="J1901" s="47" t="str">
        <f>IFERROR(__xludf.DUMMYFUNCTION("""COMPUTED_VALUE"""),"https:")</f>
        <v>https:</v>
      </c>
      <c r="K1901" s="78" t="str">
        <f>IFERROR(__xludf.DUMMYFUNCTION("""COMPUTED_VALUE"""),"www.munzee.com")</f>
        <v>www.munzee.com</v>
      </c>
      <c r="L1901" s="47" t="str">
        <f>IFERROR(__xludf.DUMMYFUNCTION("""COMPUTED_VALUE"""),"m")</f>
        <v>m</v>
      </c>
      <c r="M1901" s="47" t="str">
        <f>IFERROR(__xludf.DUMMYFUNCTION("""COMPUTED_VALUE"""),"Rhaegal")</f>
        <v>Rhaegal</v>
      </c>
    </row>
    <row r="1902">
      <c r="A1902" s="47" t="str">
        <f>IFERROR(__xludf.DUMMYFUNCTION("""COMPUTED_VALUE"""),"Virtual Brown")</f>
        <v>Virtual Brown</v>
      </c>
      <c r="B1902" s="47" t="str">
        <f>IFERROR(__xludf.DUMMYFUNCTION("""COMPUTED_VALUE"""),"Hanry")</f>
        <v>Hanry</v>
      </c>
      <c r="C1902" s="78" t="str">
        <f>IFERROR(__xludf.DUMMYFUNCTION("""COMPUTED_VALUE"""),"https://www.munzee.com/m/Hanry/1007/")</f>
        <v>https://www.munzee.com/m/Hanry/1007/</v>
      </c>
      <c r="D1902" s="47"/>
      <c r="E1902" s="47" t="b">
        <f>IFERROR(__xludf.DUMMYFUNCTION("""COMPUTED_VALUE"""),TRUE)</f>
        <v>1</v>
      </c>
      <c r="F1902" s="47"/>
      <c r="G1902" s="47" t="str">
        <f>IFERROR(__xludf.DUMMYFUNCTION("""COMPUTED_VALUE"""),"")</f>
        <v/>
      </c>
      <c r="H1902" s="47"/>
      <c r="I1902" s="47">
        <f>IFERROR(__xludf.DUMMYFUNCTION("""COMPUTED_VALUE"""),2.0)</f>
        <v>2</v>
      </c>
      <c r="J1902" s="47" t="str">
        <f>IFERROR(__xludf.DUMMYFUNCTION("""COMPUTED_VALUE"""),"https:")</f>
        <v>https:</v>
      </c>
      <c r="K1902" s="78" t="str">
        <f>IFERROR(__xludf.DUMMYFUNCTION("""COMPUTED_VALUE"""),"www.munzee.com")</f>
        <v>www.munzee.com</v>
      </c>
      <c r="L1902" s="47" t="str">
        <f>IFERROR(__xludf.DUMMYFUNCTION("""COMPUTED_VALUE"""),"m")</f>
        <v>m</v>
      </c>
      <c r="M1902" s="47" t="str">
        <f>IFERROR(__xludf.DUMMYFUNCTION("""COMPUTED_VALUE"""),"Hanry")</f>
        <v>Hanry</v>
      </c>
    </row>
    <row r="1903">
      <c r="A1903" s="47" t="str">
        <f>IFERROR(__xludf.DUMMYFUNCTION("""COMPUTED_VALUE"""),"Virtual Brown")</f>
        <v>Virtual Brown</v>
      </c>
      <c r="B1903" s="47" t="str">
        <f>IFERROR(__xludf.DUMMYFUNCTION("""COMPUTED_VALUE"""),"MrsSourflush ")</f>
        <v>MrsSourflush </v>
      </c>
      <c r="C1903" s="78" t="str">
        <f>IFERROR(__xludf.DUMMYFUNCTION("""COMPUTED_VALUE"""),"https://www.munzee.com/m/MrsSourflush/1465/")</f>
        <v>https://www.munzee.com/m/MrsSourflush/1465/</v>
      </c>
      <c r="D1903" s="47"/>
      <c r="E1903" s="47" t="b">
        <f>IFERROR(__xludf.DUMMYFUNCTION("""COMPUTED_VALUE"""),TRUE)</f>
        <v>1</v>
      </c>
      <c r="F1903" s="47"/>
      <c r="G1903" s="47" t="str">
        <f>IFERROR(__xludf.DUMMYFUNCTION("""COMPUTED_VALUE"""),"")</f>
        <v/>
      </c>
      <c r="H1903" s="47"/>
      <c r="I1903" s="47">
        <f>IFERROR(__xludf.DUMMYFUNCTION("""COMPUTED_VALUE"""),2.0)</f>
        <v>2</v>
      </c>
      <c r="J1903" s="47" t="str">
        <f>IFERROR(__xludf.DUMMYFUNCTION("""COMPUTED_VALUE"""),"https:")</f>
        <v>https:</v>
      </c>
      <c r="K1903" s="78" t="str">
        <f>IFERROR(__xludf.DUMMYFUNCTION("""COMPUTED_VALUE"""),"www.munzee.com")</f>
        <v>www.munzee.com</v>
      </c>
      <c r="L1903" s="47" t="str">
        <f>IFERROR(__xludf.DUMMYFUNCTION("""COMPUTED_VALUE"""),"m")</f>
        <v>m</v>
      </c>
      <c r="M1903" s="47" t="str">
        <f>IFERROR(__xludf.DUMMYFUNCTION("""COMPUTED_VALUE"""),"MrsSourflush")</f>
        <v>MrsSourflush</v>
      </c>
    </row>
    <row r="1904">
      <c r="A1904" s="47" t="str">
        <f>IFERROR(__xludf.DUMMYFUNCTION("""COMPUTED_VALUE"""),"Virtual Brown")</f>
        <v>Virtual Brown</v>
      </c>
      <c r="B1904" s="47" t="str">
        <f>IFERROR(__xludf.DUMMYFUNCTION("""COMPUTED_VALUE"""),"MariaHTJ ")</f>
        <v>MariaHTJ </v>
      </c>
      <c r="C1904" s="78" t="str">
        <f>IFERROR(__xludf.DUMMYFUNCTION("""COMPUTED_VALUE"""),"https://www.munzee.com/m/MariaHTJ/8563/")</f>
        <v>https://www.munzee.com/m/MariaHTJ/8563/</v>
      </c>
      <c r="D1904" s="47"/>
      <c r="E1904" s="47" t="b">
        <f>IFERROR(__xludf.DUMMYFUNCTION("""COMPUTED_VALUE"""),TRUE)</f>
        <v>1</v>
      </c>
      <c r="F1904" s="47"/>
      <c r="G1904" s="47" t="str">
        <f>IFERROR(__xludf.DUMMYFUNCTION("""COMPUTED_VALUE"""),"")</f>
        <v/>
      </c>
      <c r="H1904" s="47"/>
      <c r="I1904" s="47">
        <f>IFERROR(__xludf.DUMMYFUNCTION("""COMPUTED_VALUE"""),2.0)</f>
        <v>2</v>
      </c>
      <c r="J1904" s="47" t="str">
        <f>IFERROR(__xludf.DUMMYFUNCTION("""COMPUTED_VALUE"""),"https:")</f>
        <v>https:</v>
      </c>
      <c r="K1904" s="78" t="str">
        <f>IFERROR(__xludf.DUMMYFUNCTION("""COMPUTED_VALUE"""),"www.munzee.com")</f>
        <v>www.munzee.com</v>
      </c>
      <c r="L1904" s="47" t="str">
        <f>IFERROR(__xludf.DUMMYFUNCTION("""COMPUTED_VALUE"""),"m")</f>
        <v>m</v>
      </c>
      <c r="M1904" s="47" t="str">
        <f>IFERROR(__xludf.DUMMYFUNCTION("""COMPUTED_VALUE"""),"MariaHTJ")</f>
        <v>MariaHTJ</v>
      </c>
    </row>
    <row r="1905">
      <c r="A1905" s="47" t="str">
        <f>IFERROR(__xludf.DUMMYFUNCTION("""COMPUTED_VALUE"""),"Virtual Brown")</f>
        <v>Virtual Brown</v>
      </c>
      <c r="B1905" s="47" t="str">
        <f>IFERROR(__xludf.DUMMYFUNCTION("""COMPUTED_VALUE"""),"destolkjes4ever")</f>
        <v>destolkjes4ever</v>
      </c>
      <c r="C1905" s="78" t="str">
        <f>IFERROR(__xludf.DUMMYFUNCTION("""COMPUTED_VALUE"""),"https://www.munzee.com/m/destolkjes4ever/3014/")</f>
        <v>https://www.munzee.com/m/destolkjes4ever/3014/</v>
      </c>
      <c r="D1905" s="47"/>
      <c r="E1905" s="47" t="b">
        <f>IFERROR(__xludf.DUMMYFUNCTION("""COMPUTED_VALUE"""),TRUE)</f>
        <v>1</v>
      </c>
      <c r="F1905" s="47"/>
      <c r="G1905" s="47" t="str">
        <f>IFERROR(__xludf.DUMMYFUNCTION("""COMPUTED_VALUE"""),"")</f>
        <v/>
      </c>
      <c r="H1905" s="47"/>
      <c r="I1905" s="47">
        <f>IFERROR(__xludf.DUMMYFUNCTION("""COMPUTED_VALUE"""),2.0)</f>
        <v>2</v>
      </c>
      <c r="J1905" s="47" t="str">
        <f>IFERROR(__xludf.DUMMYFUNCTION("""COMPUTED_VALUE"""),"https:")</f>
        <v>https:</v>
      </c>
      <c r="K1905" s="78" t="str">
        <f>IFERROR(__xludf.DUMMYFUNCTION("""COMPUTED_VALUE"""),"www.munzee.com")</f>
        <v>www.munzee.com</v>
      </c>
      <c r="L1905" s="47" t="str">
        <f>IFERROR(__xludf.DUMMYFUNCTION("""COMPUTED_VALUE"""),"m")</f>
        <v>m</v>
      </c>
      <c r="M1905" s="47" t="str">
        <f>IFERROR(__xludf.DUMMYFUNCTION("""COMPUTED_VALUE"""),"destolkjes4ever")</f>
        <v>destolkjes4ever</v>
      </c>
    </row>
    <row r="1906">
      <c r="A1906" s="47" t="str">
        <f>IFERROR(__xludf.DUMMYFUNCTION("""COMPUTED_VALUE"""),"Virtual Brown")</f>
        <v>Virtual Brown</v>
      </c>
      <c r="B1906" s="47" t="str">
        <f>IFERROR(__xludf.DUMMYFUNCTION("""COMPUTED_VALUE"""),"denali0407")</f>
        <v>denali0407</v>
      </c>
      <c r="C1906" s="78" t="str">
        <f>IFERROR(__xludf.DUMMYFUNCTION("""COMPUTED_VALUE"""),"https://www.munzee.com/m/denali0407/15173/")</f>
        <v>https://www.munzee.com/m/denali0407/15173/</v>
      </c>
      <c r="D1906" s="47"/>
      <c r="E1906" s="47" t="b">
        <f>IFERROR(__xludf.DUMMYFUNCTION("""COMPUTED_VALUE"""),TRUE)</f>
        <v>1</v>
      </c>
      <c r="F1906" s="47"/>
      <c r="G1906" s="47" t="str">
        <f>IFERROR(__xludf.DUMMYFUNCTION("""COMPUTED_VALUE"""),"")</f>
        <v/>
      </c>
      <c r="H1906" s="47"/>
      <c r="I1906" s="47">
        <f>IFERROR(__xludf.DUMMYFUNCTION("""COMPUTED_VALUE"""),2.0)</f>
        <v>2</v>
      </c>
      <c r="J1906" s="47" t="str">
        <f>IFERROR(__xludf.DUMMYFUNCTION("""COMPUTED_VALUE"""),"https:")</f>
        <v>https:</v>
      </c>
      <c r="K1906" s="78" t="str">
        <f>IFERROR(__xludf.DUMMYFUNCTION("""COMPUTED_VALUE"""),"www.munzee.com")</f>
        <v>www.munzee.com</v>
      </c>
      <c r="L1906" s="47" t="str">
        <f>IFERROR(__xludf.DUMMYFUNCTION("""COMPUTED_VALUE"""),"m")</f>
        <v>m</v>
      </c>
      <c r="M1906" s="47" t="str">
        <f>IFERROR(__xludf.DUMMYFUNCTION("""COMPUTED_VALUE"""),"denali0407")</f>
        <v>denali0407</v>
      </c>
    </row>
    <row r="1907">
      <c r="A1907" s="47" t="str">
        <f>IFERROR(__xludf.DUMMYFUNCTION("""COMPUTED_VALUE"""),"Virtual Brown")</f>
        <v>Virtual Brown</v>
      </c>
      <c r="B1907" s="47" t="str">
        <f>IFERROR(__xludf.DUMMYFUNCTION("""COMPUTED_VALUE"""),"raftjen")</f>
        <v>raftjen</v>
      </c>
      <c r="C1907" s="78" t="str">
        <f>IFERROR(__xludf.DUMMYFUNCTION("""COMPUTED_VALUE"""),"https://www.munzee.com/m/raftjen/2350")</f>
        <v>https://www.munzee.com/m/raftjen/2350</v>
      </c>
      <c r="D1907" s="47"/>
      <c r="E1907" s="47" t="b">
        <f>IFERROR(__xludf.DUMMYFUNCTION("""COMPUTED_VALUE"""),TRUE)</f>
        <v>1</v>
      </c>
      <c r="F1907" s="47"/>
      <c r="G1907" s="47" t="str">
        <f>IFERROR(__xludf.DUMMYFUNCTION("""COMPUTED_VALUE"""),"")</f>
        <v/>
      </c>
      <c r="H1907" s="47"/>
      <c r="I1907" s="47">
        <f>IFERROR(__xludf.DUMMYFUNCTION("""COMPUTED_VALUE"""),2.0)</f>
        <v>2</v>
      </c>
      <c r="J1907" s="47" t="str">
        <f>IFERROR(__xludf.DUMMYFUNCTION("""COMPUTED_VALUE"""),"https:")</f>
        <v>https:</v>
      </c>
      <c r="K1907" s="78" t="str">
        <f>IFERROR(__xludf.DUMMYFUNCTION("""COMPUTED_VALUE"""),"www.munzee.com")</f>
        <v>www.munzee.com</v>
      </c>
      <c r="L1907" s="47" t="str">
        <f>IFERROR(__xludf.DUMMYFUNCTION("""COMPUTED_VALUE"""),"m")</f>
        <v>m</v>
      </c>
      <c r="M1907" s="47" t="str">
        <f>IFERROR(__xludf.DUMMYFUNCTION("""COMPUTED_VALUE"""),"raftjen")</f>
        <v>raftjen</v>
      </c>
    </row>
    <row r="1908">
      <c r="A1908" s="47" t="str">
        <f>IFERROR(__xludf.DUMMYFUNCTION("""COMPUTED_VALUE"""),"Virtual Brown")</f>
        <v>Virtual Brown</v>
      </c>
      <c r="B1908" s="47" t="str">
        <f>IFERROR(__xludf.DUMMYFUNCTION("""COMPUTED_VALUE"""),"Iphoney")</f>
        <v>Iphoney</v>
      </c>
      <c r="C1908" s="78" t="str">
        <f>IFERROR(__xludf.DUMMYFUNCTION("""COMPUTED_VALUE"""),"https://www.munzee.com/m/Iphoney/7/")</f>
        <v>https://www.munzee.com/m/Iphoney/7/</v>
      </c>
      <c r="D1908" s="47"/>
      <c r="E1908" s="47" t="b">
        <f>IFERROR(__xludf.DUMMYFUNCTION("""COMPUTED_VALUE"""),TRUE)</f>
        <v>1</v>
      </c>
      <c r="F1908" s="47"/>
      <c r="G1908" s="47" t="str">
        <f>IFERROR(__xludf.DUMMYFUNCTION("""COMPUTED_VALUE"""),"")</f>
        <v/>
      </c>
      <c r="H1908" s="47"/>
      <c r="I1908" s="47">
        <f>IFERROR(__xludf.DUMMYFUNCTION("""COMPUTED_VALUE"""),2.0)</f>
        <v>2</v>
      </c>
      <c r="J1908" s="47" t="str">
        <f>IFERROR(__xludf.DUMMYFUNCTION("""COMPUTED_VALUE"""),"https:")</f>
        <v>https:</v>
      </c>
      <c r="K1908" s="78" t="str">
        <f>IFERROR(__xludf.DUMMYFUNCTION("""COMPUTED_VALUE"""),"www.munzee.com")</f>
        <v>www.munzee.com</v>
      </c>
      <c r="L1908" s="47" t="str">
        <f>IFERROR(__xludf.DUMMYFUNCTION("""COMPUTED_VALUE"""),"m")</f>
        <v>m</v>
      </c>
      <c r="M1908" s="47" t="str">
        <f>IFERROR(__xludf.DUMMYFUNCTION("""COMPUTED_VALUE"""),"Iphoney")</f>
        <v>Iphoney</v>
      </c>
    </row>
    <row r="1909">
      <c r="A1909" s="47" t="str">
        <f>IFERROR(__xludf.DUMMYFUNCTION("""COMPUTED_VALUE"""),"Virtual Raw Sienna")</f>
        <v>Virtual Raw Sienna</v>
      </c>
      <c r="B1909" s="47" t="str">
        <f>IFERROR(__xludf.DUMMYFUNCTION("""COMPUTED_VALUE"""),"roughdraft")</f>
        <v>roughdraft</v>
      </c>
      <c r="C1909" s="78" t="str">
        <f>IFERROR(__xludf.DUMMYFUNCTION("""COMPUTED_VALUE"""),"https://www.munzee.com/m/roughdraft/8948/")</f>
        <v>https://www.munzee.com/m/roughdraft/8948/</v>
      </c>
      <c r="D1909" s="47"/>
      <c r="E1909" s="47" t="b">
        <f>IFERROR(__xludf.DUMMYFUNCTION("""COMPUTED_VALUE"""),TRUE)</f>
        <v>1</v>
      </c>
      <c r="F1909" s="47"/>
      <c r="G1909" s="47" t="str">
        <f>IFERROR(__xludf.DUMMYFUNCTION("""COMPUTED_VALUE"""),"")</f>
        <v/>
      </c>
      <c r="H1909" s="47"/>
      <c r="I1909" s="47">
        <f>IFERROR(__xludf.DUMMYFUNCTION("""COMPUTED_VALUE"""),2.0)</f>
        <v>2</v>
      </c>
      <c r="J1909" s="47" t="str">
        <f>IFERROR(__xludf.DUMMYFUNCTION("""COMPUTED_VALUE"""),"https:")</f>
        <v>https:</v>
      </c>
      <c r="K1909" s="78" t="str">
        <f>IFERROR(__xludf.DUMMYFUNCTION("""COMPUTED_VALUE"""),"www.munzee.com")</f>
        <v>www.munzee.com</v>
      </c>
      <c r="L1909" s="47" t="str">
        <f>IFERROR(__xludf.DUMMYFUNCTION("""COMPUTED_VALUE"""),"m")</f>
        <v>m</v>
      </c>
      <c r="M1909" s="47" t="str">
        <f>IFERROR(__xludf.DUMMYFUNCTION("""COMPUTED_VALUE"""),"roughdraft")</f>
        <v>roughdraft</v>
      </c>
    </row>
    <row r="1910">
      <c r="A1910" s="47" t="str">
        <f>IFERROR(__xludf.DUMMYFUNCTION("""COMPUTED_VALUE"""),"Virtual Brown")</f>
        <v>Virtual Brown</v>
      </c>
      <c r="B1910" s="47" t="str">
        <f>IFERROR(__xludf.DUMMYFUNCTION("""COMPUTED_VALUE"""),"vadotech")</f>
        <v>vadotech</v>
      </c>
      <c r="C1910" s="78" t="str">
        <f>IFERROR(__xludf.DUMMYFUNCTION("""COMPUTED_VALUE"""),"https://www.munzee.com/m/vadotech/8542/")</f>
        <v>https://www.munzee.com/m/vadotech/8542/</v>
      </c>
      <c r="D1910" s="47"/>
      <c r="E1910" s="47" t="b">
        <f>IFERROR(__xludf.DUMMYFUNCTION("""COMPUTED_VALUE"""),TRUE)</f>
        <v>1</v>
      </c>
      <c r="F1910" s="47"/>
      <c r="G1910" s="47" t="str">
        <f>IFERROR(__xludf.DUMMYFUNCTION("""COMPUTED_VALUE"""),"")</f>
        <v/>
      </c>
      <c r="H1910" s="47"/>
      <c r="I1910" s="47">
        <f>IFERROR(__xludf.DUMMYFUNCTION("""COMPUTED_VALUE"""),2.0)</f>
        <v>2</v>
      </c>
      <c r="J1910" s="47" t="str">
        <f>IFERROR(__xludf.DUMMYFUNCTION("""COMPUTED_VALUE"""),"https:")</f>
        <v>https:</v>
      </c>
      <c r="K1910" s="78" t="str">
        <f>IFERROR(__xludf.DUMMYFUNCTION("""COMPUTED_VALUE"""),"www.munzee.com")</f>
        <v>www.munzee.com</v>
      </c>
      <c r="L1910" s="47" t="str">
        <f>IFERROR(__xludf.DUMMYFUNCTION("""COMPUTED_VALUE"""),"m")</f>
        <v>m</v>
      </c>
      <c r="M1910" s="47" t="str">
        <f>IFERROR(__xludf.DUMMYFUNCTION("""COMPUTED_VALUE"""),"vadotech")</f>
        <v>vadotech</v>
      </c>
    </row>
    <row r="1911">
      <c r="A1911" s="47" t="str">
        <f>IFERROR(__xludf.DUMMYFUNCTION("""COMPUTED_VALUE"""),"Virtual Brown")</f>
        <v>Virtual Brown</v>
      </c>
      <c r="B1911" s="47" t="str">
        <f>IFERROR(__xludf.DUMMYFUNCTION("""COMPUTED_VALUE"""),"Pamster13")</f>
        <v>Pamster13</v>
      </c>
      <c r="C1911" s="78" t="str">
        <f>IFERROR(__xludf.DUMMYFUNCTION("""COMPUTED_VALUE"""),"https://www.munzee.com/m/Pamster13/4135/")</f>
        <v>https://www.munzee.com/m/Pamster13/4135/</v>
      </c>
      <c r="D1911" s="47"/>
      <c r="E1911" s="47" t="b">
        <f>IFERROR(__xludf.DUMMYFUNCTION("""COMPUTED_VALUE"""),TRUE)</f>
        <v>1</v>
      </c>
      <c r="F1911" s="47"/>
      <c r="G1911" s="47" t="str">
        <f>IFERROR(__xludf.DUMMYFUNCTION("""COMPUTED_VALUE"""),"")</f>
        <v/>
      </c>
      <c r="H1911" s="47"/>
      <c r="I1911" s="47">
        <f>IFERROR(__xludf.DUMMYFUNCTION("""COMPUTED_VALUE"""),2.0)</f>
        <v>2</v>
      </c>
      <c r="J1911" s="47" t="str">
        <f>IFERROR(__xludf.DUMMYFUNCTION("""COMPUTED_VALUE"""),"https:")</f>
        <v>https:</v>
      </c>
      <c r="K1911" s="78" t="str">
        <f>IFERROR(__xludf.DUMMYFUNCTION("""COMPUTED_VALUE"""),"www.munzee.com")</f>
        <v>www.munzee.com</v>
      </c>
      <c r="L1911" s="47" t="str">
        <f>IFERROR(__xludf.DUMMYFUNCTION("""COMPUTED_VALUE"""),"m")</f>
        <v>m</v>
      </c>
      <c r="M1911" s="47" t="str">
        <f>IFERROR(__xludf.DUMMYFUNCTION("""COMPUTED_VALUE"""),"Pamster13")</f>
        <v>Pamster13</v>
      </c>
    </row>
    <row r="1912">
      <c r="A1912" s="47" t="str">
        <f>IFERROR(__xludf.DUMMYFUNCTION("""COMPUTED_VALUE"""),"Virtual Raw Sienna")</f>
        <v>Virtual Raw Sienna</v>
      </c>
      <c r="B1912" s="47" t="str">
        <f>IFERROR(__xludf.DUMMYFUNCTION("""COMPUTED_VALUE"""),"Lusifeerus")</f>
        <v>Lusifeerus</v>
      </c>
      <c r="C1912" s="78" t="str">
        <f>IFERROR(__xludf.DUMMYFUNCTION("""COMPUTED_VALUE"""),"https://www.munzee.com/m/Lusifeerus/1074/")</f>
        <v>https://www.munzee.com/m/Lusifeerus/1074/</v>
      </c>
      <c r="D1912" s="47"/>
      <c r="E1912" s="47" t="b">
        <f>IFERROR(__xludf.DUMMYFUNCTION("""COMPUTED_VALUE"""),TRUE)</f>
        <v>1</v>
      </c>
      <c r="F1912" s="47"/>
      <c r="G1912" s="47" t="str">
        <f>IFERROR(__xludf.DUMMYFUNCTION("""COMPUTED_VALUE"""),"")</f>
        <v/>
      </c>
      <c r="H1912" s="47"/>
      <c r="I1912" s="47">
        <f>IFERROR(__xludf.DUMMYFUNCTION("""COMPUTED_VALUE"""),2.0)</f>
        <v>2</v>
      </c>
      <c r="J1912" s="47" t="str">
        <f>IFERROR(__xludf.DUMMYFUNCTION("""COMPUTED_VALUE"""),"https:")</f>
        <v>https:</v>
      </c>
      <c r="K1912" s="78" t="str">
        <f>IFERROR(__xludf.DUMMYFUNCTION("""COMPUTED_VALUE"""),"www.munzee.com")</f>
        <v>www.munzee.com</v>
      </c>
      <c r="L1912" s="47" t="str">
        <f>IFERROR(__xludf.DUMMYFUNCTION("""COMPUTED_VALUE"""),"m")</f>
        <v>m</v>
      </c>
      <c r="M1912" s="47" t="str">
        <f>IFERROR(__xludf.DUMMYFUNCTION("""COMPUTED_VALUE"""),"Lusifeerus")</f>
        <v>Lusifeerus</v>
      </c>
    </row>
    <row r="1913">
      <c r="A1913" s="47" t="str">
        <f>IFERROR(__xludf.DUMMYFUNCTION("""COMPUTED_VALUE"""),"Virtual Brown")</f>
        <v>Virtual Brown</v>
      </c>
      <c r="B1913" s="47" t="str">
        <f>IFERROR(__xludf.DUMMYFUNCTION("""COMPUTED_VALUE"""),"TheFrog")</f>
        <v>TheFrog</v>
      </c>
      <c r="C1913" s="78" t="str">
        <f>IFERROR(__xludf.DUMMYFUNCTION("""COMPUTED_VALUE"""),"https://www.munzee.com/m/TheFrog/4155/")</f>
        <v>https://www.munzee.com/m/TheFrog/4155/</v>
      </c>
      <c r="D1913" s="47"/>
      <c r="E1913" s="47" t="b">
        <f>IFERROR(__xludf.DUMMYFUNCTION("""COMPUTED_VALUE"""),TRUE)</f>
        <v>1</v>
      </c>
      <c r="F1913" s="47"/>
      <c r="G1913" s="47" t="str">
        <f>IFERROR(__xludf.DUMMYFUNCTION("""COMPUTED_VALUE"""),"")</f>
        <v/>
      </c>
      <c r="H1913" s="47"/>
      <c r="I1913" s="47">
        <f>IFERROR(__xludf.DUMMYFUNCTION("""COMPUTED_VALUE"""),2.0)</f>
        <v>2</v>
      </c>
      <c r="J1913" s="47" t="str">
        <f>IFERROR(__xludf.DUMMYFUNCTION("""COMPUTED_VALUE"""),"https:")</f>
        <v>https:</v>
      </c>
      <c r="K1913" s="78" t="str">
        <f>IFERROR(__xludf.DUMMYFUNCTION("""COMPUTED_VALUE"""),"www.munzee.com")</f>
        <v>www.munzee.com</v>
      </c>
      <c r="L1913" s="47" t="str">
        <f>IFERROR(__xludf.DUMMYFUNCTION("""COMPUTED_VALUE"""),"m")</f>
        <v>m</v>
      </c>
      <c r="M1913" s="47" t="str">
        <f>IFERROR(__xludf.DUMMYFUNCTION("""COMPUTED_VALUE"""),"TheFrog")</f>
        <v>TheFrog</v>
      </c>
    </row>
    <row r="1914">
      <c r="A1914" s="47" t="str">
        <f>IFERROR(__xludf.DUMMYFUNCTION("""COMPUTED_VALUE"""),"Virtual Brown")</f>
        <v>Virtual Brown</v>
      </c>
      <c r="B1914" s="47" t="str">
        <f>IFERROR(__xludf.DUMMYFUNCTION("""COMPUTED_VALUE"""),"123xilef")</f>
        <v>123xilef</v>
      </c>
      <c r="C1914" s="78" t="str">
        <f>IFERROR(__xludf.DUMMYFUNCTION("""COMPUTED_VALUE"""),"https://www.munzee.com/m/123xilef/7023/")</f>
        <v>https://www.munzee.com/m/123xilef/7023/</v>
      </c>
      <c r="D1914" s="47"/>
      <c r="E1914" s="47" t="b">
        <f>IFERROR(__xludf.DUMMYFUNCTION("""COMPUTED_VALUE"""),TRUE)</f>
        <v>1</v>
      </c>
      <c r="F1914" s="47"/>
      <c r="G1914" s="47" t="str">
        <f>IFERROR(__xludf.DUMMYFUNCTION("""COMPUTED_VALUE"""),"")</f>
        <v/>
      </c>
      <c r="H1914" s="47"/>
      <c r="I1914" s="47">
        <f>IFERROR(__xludf.DUMMYFUNCTION("""COMPUTED_VALUE"""),2.0)</f>
        <v>2</v>
      </c>
      <c r="J1914" s="47" t="str">
        <f>IFERROR(__xludf.DUMMYFUNCTION("""COMPUTED_VALUE"""),"https:")</f>
        <v>https:</v>
      </c>
      <c r="K1914" s="78" t="str">
        <f>IFERROR(__xludf.DUMMYFUNCTION("""COMPUTED_VALUE"""),"www.munzee.com")</f>
        <v>www.munzee.com</v>
      </c>
      <c r="L1914" s="47" t="str">
        <f>IFERROR(__xludf.DUMMYFUNCTION("""COMPUTED_VALUE"""),"m")</f>
        <v>m</v>
      </c>
      <c r="M1914" s="47" t="str">
        <f>IFERROR(__xludf.DUMMYFUNCTION("""COMPUTED_VALUE"""),"123xilef")</f>
        <v>123xilef</v>
      </c>
    </row>
    <row r="1915">
      <c r="A1915" s="47" t="str">
        <f>IFERROR(__xludf.DUMMYFUNCTION("""COMPUTED_VALUE"""),"Virtual Raw Sienna")</f>
        <v>Virtual Raw Sienna</v>
      </c>
      <c r="B1915" s="47" t="str">
        <f>IFERROR(__xludf.DUMMYFUNCTION("""COMPUTED_VALUE"""),"Aniara")</f>
        <v>Aniara</v>
      </c>
      <c r="C1915" s="78" t="str">
        <f>IFERROR(__xludf.DUMMYFUNCTION("""COMPUTED_VALUE"""),"https://www.munzee.com/m/Aniara/6961/")</f>
        <v>https://www.munzee.com/m/Aniara/6961/</v>
      </c>
      <c r="D1915" s="47"/>
      <c r="E1915" s="47" t="b">
        <f>IFERROR(__xludf.DUMMYFUNCTION("""COMPUTED_VALUE"""),TRUE)</f>
        <v>1</v>
      </c>
      <c r="F1915" s="47"/>
      <c r="G1915" s="47" t="str">
        <f>IFERROR(__xludf.DUMMYFUNCTION("""COMPUTED_VALUE"""),"")</f>
        <v/>
      </c>
      <c r="H1915" s="47"/>
      <c r="I1915" s="47">
        <f>IFERROR(__xludf.DUMMYFUNCTION("""COMPUTED_VALUE"""),2.0)</f>
        <v>2</v>
      </c>
      <c r="J1915" s="47" t="str">
        <f>IFERROR(__xludf.DUMMYFUNCTION("""COMPUTED_VALUE"""),"https:")</f>
        <v>https:</v>
      </c>
      <c r="K1915" s="78" t="str">
        <f>IFERROR(__xludf.DUMMYFUNCTION("""COMPUTED_VALUE"""),"www.munzee.com")</f>
        <v>www.munzee.com</v>
      </c>
      <c r="L1915" s="47" t="str">
        <f>IFERROR(__xludf.DUMMYFUNCTION("""COMPUTED_VALUE"""),"m")</f>
        <v>m</v>
      </c>
      <c r="M1915" s="47" t="str">
        <f>IFERROR(__xludf.DUMMYFUNCTION("""COMPUTED_VALUE"""),"Aniara")</f>
        <v>Aniara</v>
      </c>
    </row>
    <row r="1916">
      <c r="A1916" s="47" t="str">
        <f>IFERROR(__xludf.DUMMYFUNCTION("""COMPUTED_VALUE"""),"Virtual Brown")</f>
        <v>Virtual Brown</v>
      </c>
      <c r="B1916" s="47" t="str">
        <f>IFERROR(__xludf.DUMMYFUNCTION("""COMPUTED_VALUE"""),"Human01d ")</f>
        <v>Human01d </v>
      </c>
      <c r="C1916" s="78" t="str">
        <f>IFERROR(__xludf.DUMMYFUNCTION("""COMPUTED_VALUE"""),"https://www.munzee.com/m/Human01d/4071/")</f>
        <v>https://www.munzee.com/m/Human01d/4071/</v>
      </c>
      <c r="D1916" s="47"/>
      <c r="E1916" s="47" t="b">
        <f>IFERROR(__xludf.DUMMYFUNCTION("""COMPUTED_VALUE"""),TRUE)</f>
        <v>1</v>
      </c>
      <c r="F1916" s="47"/>
      <c r="G1916" s="47" t="str">
        <f>IFERROR(__xludf.DUMMYFUNCTION("""COMPUTED_VALUE"""),"")</f>
        <v/>
      </c>
      <c r="H1916" s="47"/>
      <c r="I1916" s="47">
        <f>IFERROR(__xludf.DUMMYFUNCTION("""COMPUTED_VALUE"""),2.0)</f>
        <v>2</v>
      </c>
      <c r="J1916" s="47" t="str">
        <f>IFERROR(__xludf.DUMMYFUNCTION("""COMPUTED_VALUE"""),"https:")</f>
        <v>https:</v>
      </c>
      <c r="K1916" s="78" t="str">
        <f>IFERROR(__xludf.DUMMYFUNCTION("""COMPUTED_VALUE"""),"www.munzee.com")</f>
        <v>www.munzee.com</v>
      </c>
      <c r="L1916" s="47" t="str">
        <f>IFERROR(__xludf.DUMMYFUNCTION("""COMPUTED_VALUE"""),"m")</f>
        <v>m</v>
      </c>
      <c r="M1916" s="47" t="str">
        <f>IFERROR(__xludf.DUMMYFUNCTION("""COMPUTED_VALUE"""),"Human01d")</f>
        <v>Human01d</v>
      </c>
    </row>
    <row r="1917">
      <c r="A1917" s="47" t="str">
        <f>IFERROR(__xludf.DUMMYFUNCTION("""COMPUTED_VALUE"""),"Virtual Brown")</f>
        <v>Virtual Brown</v>
      </c>
      <c r="B1917" s="47" t="str">
        <f>IFERROR(__xludf.DUMMYFUNCTION("""COMPUTED_VALUE"""),"lostsole68")</f>
        <v>lostsole68</v>
      </c>
      <c r="C1917" s="78" t="str">
        <f>IFERROR(__xludf.DUMMYFUNCTION("""COMPUTED_VALUE"""),"https://www.munzee.com/m/lostsole68/3922/")</f>
        <v>https://www.munzee.com/m/lostsole68/3922/</v>
      </c>
      <c r="D1917" s="47"/>
      <c r="E1917" s="47" t="b">
        <f>IFERROR(__xludf.DUMMYFUNCTION("""COMPUTED_VALUE"""),TRUE)</f>
        <v>1</v>
      </c>
      <c r="F1917" s="47"/>
      <c r="G1917" s="47" t="str">
        <f>IFERROR(__xludf.DUMMYFUNCTION("""COMPUTED_VALUE"""),"")</f>
        <v/>
      </c>
      <c r="H1917" s="47"/>
      <c r="I1917" s="47">
        <f>IFERROR(__xludf.DUMMYFUNCTION("""COMPUTED_VALUE"""),2.0)</f>
        <v>2</v>
      </c>
      <c r="J1917" s="47" t="str">
        <f>IFERROR(__xludf.DUMMYFUNCTION("""COMPUTED_VALUE"""),"https:")</f>
        <v>https:</v>
      </c>
      <c r="K1917" s="78" t="str">
        <f>IFERROR(__xludf.DUMMYFUNCTION("""COMPUTED_VALUE"""),"www.munzee.com")</f>
        <v>www.munzee.com</v>
      </c>
      <c r="L1917" s="47" t="str">
        <f>IFERROR(__xludf.DUMMYFUNCTION("""COMPUTED_VALUE"""),"m")</f>
        <v>m</v>
      </c>
      <c r="M1917" s="47" t="str">
        <f>IFERROR(__xludf.DUMMYFUNCTION("""COMPUTED_VALUE"""),"lostsole68")</f>
        <v>lostsole68</v>
      </c>
    </row>
    <row r="1918">
      <c r="A1918" s="47" t="str">
        <f>IFERROR(__xludf.DUMMYFUNCTION("""COMPUTED_VALUE"""),"Virtual Brown")</f>
        <v>Virtual Brown</v>
      </c>
      <c r="B1918" s="47" t="str">
        <f>IFERROR(__xludf.DUMMYFUNCTION("""COMPUTED_VALUE"""),"Liekensboys")</f>
        <v>Liekensboys</v>
      </c>
      <c r="C1918" s="78" t="str">
        <f>IFERROR(__xludf.DUMMYFUNCTION("""COMPUTED_VALUE"""),"https://www.munzee.com/m/Liekensboys/98/")</f>
        <v>https://www.munzee.com/m/Liekensboys/98/</v>
      </c>
      <c r="D1918" s="47"/>
      <c r="E1918" s="47" t="b">
        <f>IFERROR(__xludf.DUMMYFUNCTION("""COMPUTED_VALUE"""),TRUE)</f>
        <v>1</v>
      </c>
      <c r="F1918" s="47"/>
      <c r="G1918" s="47" t="str">
        <f>IFERROR(__xludf.DUMMYFUNCTION("""COMPUTED_VALUE"""),"")</f>
        <v/>
      </c>
      <c r="H1918" s="47"/>
      <c r="I1918" s="47">
        <f>IFERROR(__xludf.DUMMYFUNCTION("""COMPUTED_VALUE"""),2.0)</f>
        <v>2</v>
      </c>
      <c r="J1918" s="47" t="str">
        <f>IFERROR(__xludf.DUMMYFUNCTION("""COMPUTED_VALUE"""),"https:")</f>
        <v>https:</v>
      </c>
      <c r="K1918" s="78" t="str">
        <f>IFERROR(__xludf.DUMMYFUNCTION("""COMPUTED_VALUE"""),"www.munzee.com")</f>
        <v>www.munzee.com</v>
      </c>
      <c r="L1918" s="47" t="str">
        <f>IFERROR(__xludf.DUMMYFUNCTION("""COMPUTED_VALUE"""),"m")</f>
        <v>m</v>
      </c>
      <c r="M1918" s="47" t="str">
        <f>IFERROR(__xludf.DUMMYFUNCTION("""COMPUTED_VALUE"""),"Liekensboys")</f>
        <v>Liekensboys</v>
      </c>
    </row>
    <row r="1919">
      <c r="A1919" s="47" t="str">
        <f>IFERROR(__xludf.DUMMYFUNCTION("""COMPUTED_VALUE"""),"Virtual Brown")</f>
        <v>Virtual Brown</v>
      </c>
      <c r="B1919" s="47" t="str">
        <f>IFERROR(__xludf.DUMMYFUNCTION("""COMPUTED_VALUE"""),"Trappertje")</f>
        <v>Trappertje</v>
      </c>
      <c r="C1919" s="78" t="str">
        <f>IFERROR(__xludf.DUMMYFUNCTION("""COMPUTED_VALUE"""),"https://www.munzee.com/m/Trappertje/5107/")</f>
        <v>https://www.munzee.com/m/Trappertje/5107/</v>
      </c>
      <c r="D1919" s="47"/>
      <c r="E1919" s="47" t="b">
        <f>IFERROR(__xludf.DUMMYFUNCTION("""COMPUTED_VALUE"""),TRUE)</f>
        <v>1</v>
      </c>
      <c r="F1919" s="47"/>
      <c r="G1919" s="47" t="str">
        <f>IFERROR(__xludf.DUMMYFUNCTION("""COMPUTED_VALUE"""),"")</f>
        <v/>
      </c>
      <c r="H1919" s="47"/>
      <c r="I1919" s="47">
        <f>IFERROR(__xludf.DUMMYFUNCTION("""COMPUTED_VALUE"""),2.0)</f>
        <v>2</v>
      </c>
      <c r="J1919" s="47" t="str">
        <f>IFERROR(__xludf.DUMMYFUNCTION("""COMPUTED_VALUE"""),"https:")</f>
        <v>https:</v>
      </c>
      <c r="K1919" s="78" t="str">
        <f>IFERROR(__xludf.DUMMYFUNCTION("""COMPUTED_VALUE"""),"www.munzee.com")</f>
        <v>www.munzee.com</v>
      </c>
      <c r="L1919" s="47" t="str">
        <f>IFERROR(__xludf.DUMMYFUNCTION("""COMPUTED_VALUE"""),"m")</f>
        <v>m</v>
      </c>
      <c r="M1919" s="47" t="str">
        <f>IFERROR(__xludf.DUMMYFUNCTION("""COMPUTED_VALUE"""),"Trappertje")</f>
        <v>Trappertje</v>
      </c>
    </row>
    <row r="1920">
      <c r="A1920" s="47" t="str">
        <f>IFERROR(__xludf.DUMMYFUNCTION("""COMPUTED_VALUE"""),"Virtual Brown")</f>
        <v>Virtual Brown</v>
      </c>
      <c r="B1920" s="47" t="str">
        <f>IFERROR(__xludf.DUMMYFUNCTION("""COMPUTED_VALUE"""),"ChudleighTraveller")</f>
        <v>ChudleighTraveller</v>
      </c>
      <c r="C1920" s="78" t="str">
        <f>IFERROR(__xludf.DUMMYFUNCTION("""COMPUTED_VALUE"""),"https://www.munzee.com/m/ChudleighTraveller/1183/")</f>
        <v>https://www.munzee.com/m/ChudleighTraveller/1183/</v>
      </c>
      <c r="D1920" s="47"/>
      <c r="E1920" s="47" t="b">
        <f>IFERROR(__xludf.DUMMYFUNCTION("""COMPUTED_VALUE"""),TRUE)</f>
        <v>1</v>
      </c>
      <c r="F1920" s="47"/>
      <c r="G1920" s="47" t="str">
        <f>IFERROR(__xludf.DUMMYFUNCTION("""COMPUTED_VALUE"""),"")</f>
        <v/>
      </c>
      <c r="H1920" s="47"/>
      <c r="I1920" s="47">
        <f>IFERROR(__xludf.DUMMYFUNCTION("""COMPUTED_VALUE"""),2.0)</f>
        <v>2</v>
      </c>
      <c r="J1920" s="47" t="str">
        <f>IFERROR(__xludf.DUMMYFUNCTION("""COMPUTED_VALUE"""),"https:")</f>
        <v>https:</v>
      </c>
      <c r="K1920" s="78" t="str">
        <f>IFERROR(__xludf.DUMMYFUNCTION("""COMPUTED_VALUE"""),"www.munzee.com")</f>
        <v>www.munzee.com</v>
      </c>
      <c r="L1920" s="47" t="str">
        <f>IFERROR(__xludf.DUMMYFUNCTION("""COMPUTED_VALUE"""),"m")</f>
        <v>m</v>
      </c>
      <c r="M1920" s="47" t="str">
        <f>IFERROR(__xludf.DUMMYFUNCTION("""COMPUTED_VALUE"""),"ChudleighTraveller")</f>
        <v>ChudleighTraveller</v>
      </c>
    </row>
    <row r="1921">
      <c r="A1921" s="47" t="str">
        <f>IFERROR(__xludf.DUMMYFUNCTION("""COMPUTED_VALUE"""),"Virtual Brown")</f>
        <v>Virtual Brown</v>
      </c>
      <c r="B1921" s="47" t="str">
        <f>IFERROR(__xludf.DUMMYFUNCTION("""COMPUTED_VALUE"""),"does")</f>
        <v>does</v>
      </c>
      <c r="C1921" s="78" t="str">
        <f>IFERROR(__xludf.DUMMYFUNCTION("""COMPUTED_VALUE"""),"https://www.munzee.com/m/does/677")</f>
        <v>https://www.munzee.com/m/does/677</v>
      </c>
      <c r="D1921" s="47"/>
      <c r="E1921" s="47" t="b">
        <f>IFERROR(__xludf.DUMMYFUNCTION("""COMPUTED_VALUE"""),TRUE)</f>
        <v>1</v>
      </c>
      <c r="F1921" s="47"/>
      <c r="G1921" s="47" t="str">
        <f>IFERROR(__xludf.DUMMYFUNCTION("""COMPUTED_VALUE"""),"")</f>
        <v/>
      </c>
      <c r="H1921" s="47"/>
      <c r="I1921" s="47">
        <f>IFERROR(__xludf.DUMMYFUNCTION("""COMPUTED_VALUE"""),2.0)</f>
        <v>2</v>
      </c>
      <c r="J1921" s="47" t="str">
        <f>IFERROR(__xludf.DUMMYFUNCTION("""COMPUTED_VALUE"""),"https:")</f>
        <v>https:</v>
      </c>
      <c r="K1921" s="78" t="str">
        <f>IFERROR(__xludf.DUMMYFUNCTION("""COMPUTED_VALUE"""),"www.munzee.com")</f>
        <v>www.munzee.com</v>
      </c>
      <c r="L1921" s="47" t="str">
        <f>IFERROR(__xludf.DUMMYFUNCTION("""COMPUTED_VALUE"""),"m")</f>
        <v>m</v>
      </c>
      <c r="M1921" s="47" t="str">
        <f>IFERROR(__xludf.DUMMYFUNCTION("""COMPUTED_VALUE"""),"does")</f>
        <v>does</v>
      </c>
    </row>
    <row r="1922">
      <c r="A1922" s="47" t="str">
        <f>IFERROR(__xludf.DUMMYFUNCTION("""COMPUTED_VALUE"""),"Virtual Raw Sienna")</f>
        <v>Virtual Raw Sienna</v>
      </c>
      <c r="B1922" s="47" t="str">
        <f>IFERROR(__xludf.DUMMYFUNCTION("""COMPUTED_VALUE"""),"MrsSourflush ")</f>
        <v>MrsSourflush </v>
      </c>
      <c r="C1922" s="78" t="str">
        <f>IFERROR(__xludf.DUMMYFUNCTION("""COMPUTED_VALUE"""),"https://www.munzee.com/m/MrsSourflush/1463/")</f>
        <v>https://www.munzee.com/m/MrsSourflush/1463/</v>
      </c>
      <c r="D1922" s="47"/>
      <c r="E1922" s="47" t="b">
        <f>IFERROR(__xludf.DUMMYFUNCTION("""COMPUTED_VALUE"""),TRUE)</f>
        <v>1</v>
      </c>
      <c r="F1922" s="47"/>
      <c r="G1922" s="47" t="str">
        <f>IFERROR(__xludf.DUMMYFUNCTION("""COMPUTED_VALUE"""),"")</f>
        <v/>
      </c>
      <c r="H1922" s="47"/>
      <c r="I1922" s="47">
        <f>IFERROR(__xludf.DUMMYFUNCTION("""COMPUTED_VALUE"""),2.0)</f>
        <v>2</v>
      </c>
      <c r="J1922" s="47" t="str">
        <f>IFERROR(__xludf.DUMMYFUNCTION("""COMPUTED_VALUE"""),"https:")</f>
        <v>https:</v>
      </c>
      <c r="K1922" s="78" t="str">
        <f>IFERROR(__xludf.DUMMYFUNCTION("""COMPUTED_VALUE"""),"www.munzee.com")</f>
        <v>www.munzee.com</v>
      </c>
      <c r="L1922" s="47" t="str">
        <f>IFERROR(__xludf.DUMMYFUNCTION("""COMPUTED_VALUE"""),"m")</f>
        <v>m</v>
      </c>
      <c r="M1922" s="47" t="str">
        <f>IFERROR(__xludf.DUMMYFUNCTION("""COMPUTED_VALUE"""),"MrsSourflush")</f>
        <v>MrsSourflush</v>
      </c>
    </row>
    <row r="1923">
      <c r="A1923" s="47" t="str">
        <f>IFERROR(__xludf.DUMMYFUNCTION("""COMPUTED_VALUE"""),"Virtual Raw Sienna")</f>
        <v>Virtual Raw Sienna</v>
      </c>
      <c r="B1923" s="47" t="str">
        <f>IFERROR(__xludf.DUMMYFUNCTION("""COMPUTED_VALUE"""),"NikitaStolk ")</f>
        <v>NikitaStolk </v>
      </c>
      <c r="C1923" s="78" t="str">
        <f>IFERROR(__xludf.DUMMYFUNCTION("""COMPUTED_VALUE"""),"https://www.munzee.com/m/NikitaStolk/1053/")</f>
        <v>https://www.munzee.com/m/NikitaStolk/1053/</v>
      </c>
      <c r="D1923" s="47"/>
      <c r="E1923" s="47" t="b">
        <f>IFERROR(__xludf.DUMMYFUNCTION("""COMPUTED_VALUE"""),TRUE)</f>
        <v>1</v>
      </c>
      <c r="F1923" s="47"/>
      <c r="G1923" s="47" t="str">
        <f>IFERROR(__xludf.DUMMYFUNCTION("""COMPUTED_VALUE"""),"")</f>
        <v/>
      </c>
      <c r="H1923" s="47"/>
      <c r="I1923" s="47">
        <f>IFERROR(__xludf.DUMMYFUNCTION("""COMPUTED_VALUE"""),2.0)</f>
        <v>2</v>
      </c>
      <c r="J1923" s="47" t="str">
        <f>IFERROR(__xludf.DUMMYFUNCTION("""COMPUTED_VALUE"""),"https:")</f>
        <v>https:</v>
      </c>
      <c r="K1923" s="78" t="str">
        <f>IFERROR(__xludf.DUMMYFUNCTION("""COMPUTED_VALUE"""),"www.munzee.com")</f>
        <v>www.munzee.com</v>
      </c>
      <c r="L1923" s="47" t="str">
        <f>IFERROR(__xludf.DUMMYFUNCTION("""COMPUTED_VALUE"""),"m")</f>
        <v>m</v>
      </c>
      <c r="M1923" s="47" t="str">
        <f>IFERROR(__xludf.DUMMYFUNCTION("""COMPUTED_VALUE"""),"NikitaStolk")</f>
        <v>NikitaStolk</v>
      </c>
    </row>
    <row r="1924">
      <c r="A1924" s="47" t="str">
        <f>IFERROR(__xludf.DUMMYFUNCTION("""COMPUTED_VALUE"""),"Virtual Brown")</f>
        <v>Virtual Brown</v>
      </c>
      <c r="B1924" s="47" t="str">
        <f>IFERROR(__xludf.DUMMYFUNCTION("""COMPUTED_VALUE"""),"Blutengel")</f>
        <v>Blutengel</v>
      </c>
      <c r="C1924" s="78" t="str">
        <f>IFERROR(__xludf.DUMMYFUNCTION("""COMPUTED_VALUE"""),"https://www.munzee.com/m/blutengel/3010/")</f>
        <v>https://www.munzee.com/m/blutengel/3010/</v>
      </c>
      <c r="D1924" s="47"/>
      <c r="E1924" s="47" t="b">
        <f>IFERROR(__xludf.DUMMYFUNCTION("""COMPUTED_VALUE"""),TRUE)</f>
        <v>1</v>
      </c>
      <c r="F1924" s="47"/>
      <c r="G1924" s="47" t="str">
        <f>IFERROR(__xludf.DUMMYFUNCTION("""COMPUTED_VALUE"""),"")</f>
        <v/>
      </c>
      <c r="H1924" s="47"/>
      <c r="I1924" s="47">
        <f>IFERROR(__xludf.DUMMYFUNCTION("""COMPUTED_VALUE"""),2.0)</f>
        <v>2</v>
      </c>
      <c r="J1924" s="47" t="str">
        <f>IFERROR(__xludf.DUMMYFUNCTION("""COMPUTED_VALUE"""),"https:")</f>
        <v>https:</v>
      </c>
      <c r="K1924" s="78" t="str">
        <f>IFERROR(__xludf.DUMMYFUNCTION("""COMPUTED_VALUE"""),"www.munzee.com")</f>
        <v>www.munzee.com</v>
      </c>
      <c r="L1924" s="47" t="str">
        <f>IFERROR(__xludf.DUMMYFUNCTION("""COMPUTED_VALUE"""),"m")</f>
        <v>m</v>
      </c>
      <c r="M1924" s="47" t="str">
        <f>IFERROR(__xludf.DUMMYFUNCTION("""COMPUTED_VALUE"""),"blutengel")</f>
        <v>blutengel</v>
      </c>
    </row>
  </sheetData>
  <hyperlinks>
    <hyperlink r:id="rId1" ref="C1"/>
    <hyperlink r:id="rId2" ref="K1"/>
    <hyperlink r:id="rId3" ref="C2"/>
    <hyperlink r:id="rId4" ref="K2"/>
    <hyperlink r:id="rId5" ref="C3"/>
    <hyperlink r:id="rId6" ref="K3"/>
    <hyperlink r:id="rId7" ref="C4"/>
    <hyperlink r:id="rId8" ref="K4"/>
    <hyperlink r:id="rId9" ref="C5"/>
    <hyperlink r:id="rId10" ref="K5"/>
    <hyperlink r:id="rId11" ref="C6"/>
    <hyperlink r:id="rId12" ref="K6"/>
    <hyperlink r:id="rId13" ref="C7"/>
    <hyperlink r:id="rId14" ref="K7"/>
    <hyperlink r:id="rId15" ref="C8"/>
    <hyperlink r:id="rId16" ref="K8"/>
    <hyperlink r:id="rId17" ref="C9"/>
    <hyperlink r:id="rId18" ref="K9"/>
    <hyperlink r:id="rId19" ref="C10"/>
    <hyperlink r:id="rId20" ref="K10"/>
    <hyperlink r:id="rId21" ref="C11"/>
    <hyperlink r:id="rId22" ref="K11"/>
    <hyperlink r:id="rId23" ref="C12"/>
    <hyperlink r:id="rId24" ref="K12"/>
    <hyperlink r:id="rId25" ref="C13"/>
    <hyperlink r:id="rId26" ref="K13"/>
    <hyperlink r:id="rId27" ref="C14"/>
    <hyperlink r:id="rId28" ref="K14"/>
    <hyperlink r:id="rId29" ref="C15"/>
    <hyperlink r:id="rId30" ref="K15"/>
    <hyperlink r:id="rId31" ref="C16"/>
    <hyperlink r:id="rId32" ref="K16"/>
    <hyperlink r:id="rId33" ref="C17"/>
    <hyperlink r:id="rId34" ref="K17"/>
    <hyperlink r:id="rId35" ref="C18"/>
    <hyperlink r:id="rId36" ref="K18"/>
    <hyperlink r:id="rId37" ref="C19"/>
    <hyperlink r:id="rId38" ref="K19"/>
    <hyperlink r:id="rId39" ref="C20"/>
    <hyperlink r:id="rId40" ref="K20"/>
    <hyperlink r:id="rId41" ref="C21"/>
    <hyperlink r:id="rId42" ref="K21"/>
    <hyperlink r:id="rId43" ref="C22"/>
    <hyperlink r:id="rId44" ref="K22"/>
    <hyperlink r:id="rId45" ref="C23"/>
    <hyperlink r:id="rId46" ref="K23"/>
    <hyperlink r:id="rId47" ref="C24"/>
    <hyperlink r:id="rId48" ref="K24"/>
    <hyperlink r:id="rId49" ref="C25"/>
    <hyperlink r:id="rId50" ref="K25"/>
    <hyperlink r:id="rId51" ref="C26"/>
    <hyperlink r:id="rId52" ref="K26"/>
    <hyperlink r:id="rId53" ref="C27"/>
    <hyperlink r:id="rId54" ref="K27"/>
    <hyperlink r:id="rId55" ref="C28"/>
    <hyperlink r:id="rId56" ref="K28"/>
    <hyperlink r:id="rId57" ref="C29"/>
    <hyperlink r:id="rId58" ref="K29"/>
    <hyperlink r:id="rId59" ref="C30"/>
    <hyperlink r:id="rId60" ref="K30"/>
    <hyperlink r:id="rId61" ref="C31"/>
    <hyperlink r:id="rId62" ref="K31"/>
    <hyperlink r:id="rId63" ref="C32"/>
    <hyperlink r:id="rId64" ref="K32"/>
    <hyperlink r:id="rId65" ref="C33"/>
    <hyperlink r:id="rId66" ref="K33"/>
    <hyperlink r:id="rId67" ref="C34"/>
    <hyperlink r:id="rId68" ref="K34"/>
    <hyperlink r:id="rId69" ref="C35"/>
    <hyperlink r:id="rId70" ref="K35"/>
    <hyperlink r:id="rId71" ref="C36"/>
    <hyperlink r:id="rId72" ref="K36"/>
    <hyperlink r:id="rId73" ref="C37"/>
    <hyperlink r:id="rId74" ref="K37"/>
    <hyperlink r:id="rId75" ref="C38"/>
    <hyperlink r:id="rId76" ref="K38"/>
    <hyperlink r:id="rId77" ref="C39"/>
    <hyperlink r:id="rId78" ref="K39"/>
    <hyperlink r:id="rId79" ref="C40"/>
    <hyperlink r:id="rId80" ref="K40"/>
    <hyperlink r:id="rId81" ref="C41"/>
    <hyperlink r:id="rId82" ref="K41"/>
    <hyperlink r:id="rId83" ref="C42"/>
    <hyperlink r:id="rId84" ref="K42"/>
    <hyperlink r:id="rId85" ref="C43"/>
    <hyperlink r:id="rId86" ref="K43"/>
    <hyperlink r:id="rId87" ref="C44"/>
    <hyperlink r:id="rId88" ref="K44"/>
    <hyperlink r:id="rId89" ref="C45"/>
    <hyperlink r:id="rId90" ref="K45"/>
    <hyperlink r:id="rId91" ref="C46"/>
    <hyperlink r:id="rId92" ref="K46"/>
    <hyperlink r:id="rId93" ref="C47"/>
    <hyperlink r:id="rId94" ref="K47"/>
    <hyperlink r:id="rId95" ref="C48"/>
    <hyperlink r:id="rId96" ref="K48"/>
    <hyperlink r:id="rId97" ref="C49"/>
    <hyperlink r:id="rId98" ref="K49"/>
    <hyperlink r:id="rId99" ref="C50"/>
    <hyperlink r:id="rId100" ref="K50"/>
    <hyperlink r:id="rId101" ref="C51"/>
    <hyperlink r:id="rId102" ref="K51"/>
    <hyperlink r:id="rId103" ref="C52"/>
    <hyperlink r:id="rId104" ref="K52"/>
    <hyperlink r:id="rId105" ref="C53"/>
    <hyperlink r:id="rId106" ref="K53"/>
    <hyperlink r:id="rId107" ref="C54"/>
    <hyperlink r:id="rId108" ref="K54"/>
    <hyperlink r:id="rId109" ref="C55"/>
    <hyperlink r:id="rId110" ref="K55"/>
    <hyperlink r:id="rId111" ref="C56"/>
    <hyperlink r:id="rId112" ref="K56"/>
    <hyperlink r:id="rId113" ref="C57"/>
    <hyperlink r:id="rId114" ref="K57"/>
    <hyperlink r:id="rId115" ref="C58"/>
    <hyperlink r:id="rId116" ref="K58"/>
    <hyperlink r:id="rId117" ref="C59"/>
    <hyperlink r:id="rId118" ref="K59"/>
    <hyperlink r:id="rId119" ref="C60"/>
    <hyperlink r:id="rId120" ref="K60"/>
    <hyperlink r:id="rId121" ref="C61"/>
    <hyperlink r:id="rId122" ref="K61"/>
    <hyperlink r:id="rId123" ref="C62"/>
    <hyperlink r:id="rId124" ref="K62"/>
    <hyperlink r:id="rId125" ref="C63"/>
    <hyperlink r:id="rId126" ref="K63"/>
    <hyperlink r:id="rId127" ref="C64"/>
    <hyperlink r:id="rId128" ref="K64"/>
    <hyperlink r:id="rId129" ref="C65"/>
    <hyperlink r:id="rId130" ref="K65"/>
    <hyperlink r:id="rId131" ref="C66"/>
    <hyperlink r:id="rId132" ref="K66"/>
    <hyperlink r:id="rId133" ref="C67"/>
    <hyperlink r:id="rId134" ref="K67"/>
    <hyperlink r:id="rId135" ref="C68"/>
    <hyperlink r:id="rId136" ref="K68"/>
    <hyperlink r:id="rId137" ref="C69"/>
    <hyperlink r:id="rId138" ref="K69"/>
    <hyperlink r:id="rId139" ref="C70"/>
    <hyperlink r:id="rId140" ref="K70"/>
    <hyperlink r:id="rId141" ref="C71"/>
    <hyperlink r:id="rId142" ref="K71"/>
    <hyperlink r:id="rId143" ref="C72"/>
    <hyperlink r:id="rId144" ref="K72"/>
    <hyperlink r:id="rId145" ref="C73"/>
    <hyperlink r:id="rId146" ref="K73"/>
    <hyperlink r:id="rId147" ref="C74"/>
    <hyperlink r:id="rId148" ref="K74"/>
    <hyperlink r:id="rId149" ref="C75"/>
    <hyperlink r:id="rId150" ref="K75"/>
    <hyperlink r:id="rId151" ref="C76"/>
    <hyperlink r:id="rId152" ref="K76"/>
    <hyperlink r:id="rId153" ref="C77"/>
    <hyperlink r:id="rId154" ref="K77"/>
    <hyperlink r:id="rId155" ref="C78"/>
    <hyperlink r:id="rId156" ref="K78"/>
    <hyperlink r:id="rId157" ref="C79"/>
    <hyperlink r:id="rId158" ref="K79"/>
    <hyperlink r:id="rId159" ref="C80"/>
    <hyperlink r:id="rId160" ref="K80"/>
    <hyperlink r:id="rId161" ref="C81"/>
    <hyperlink r:id="rId162" ref="K81"/>
    <hyperlink r:id="rId163" ref="C82"/>
    <hyperlink r:id="rId164" ref="K82"/>
    <hyperlink r:id="rId165" ref="C83"/>
    <hyperlink r:id="rId166" ref="K83"/>
    <hyperlink r:id="rId167" ref="C84"/>
    <hyperlink r:id="rId168" ref="K84"/>
    <hyperlink r:id="rId169" ref="C85"/>
    <hyperlink r:id="rId170" ref="K85"/>
    <hyperlink r:id="rId171" ref="C86"/>
    <hyperlink r:id="rId172" ref="K86"/>
    <hyperlink r:id="rId173" ref="C87"/>
    <hyperlink r:id="rId174" ref="K87"/>
    <hyperlink r:id="rId175" ref="C88"/>
    <hyperlink r:id="rId176" ref="K88"/>
    <hyperlink r:id="rId177" ref="C89"/>
    <hyperlink r:id="rId178" ref="K89"/>
    <hyperlink r:id="rId179" ref="C90"/>
    <hyperlink r:id="rId180" ref="K90"/>
    <hyperlink r:id="rId181" ref="C91"/>
    <hyperlink r:id="rId182" ref="K91"/>
    <hyperlink r:id="rId183" ref="C92"/>
    <hyperlink r:id="rId184" ref="K92"/>
    <hyperlink r:id="rId185" ref="C93"/>
    <hyperlink r:id="rId186" ref="K93"/>
    <hyperlink r:id="rId187" ref="C94"/>
    <hyperlink r:id="rId188" ref="K94"/>
    <hyperlink r:id="rId189" ref="C95"/>
    <hyperlink r:id="rId190" ref="K95"/>
    <hyperlink r:id="rId191" ref="C96"/>
    <hyperlink r:id="rId192" ref="K96"/>
    <hyperlink r:id="rId193" ref="C97"/>
    <hyperlink r:id="rId194" ref="K97"/>
    <hyperlink r:id="rId195" ref="C98"/>
    <hyperlink r:id="rId196" ref="K98"/>
    <hyperlink r:id="rId197" ref="C99"/>
    <hyperlink r:id="rId198" ref="K99"/>
    <hyperlink r:id="rId199" ref="C100"/>
    <hyperlink r:id="rId200" ref="K100"/>
    <hyperlink r:id="rId201" ref="C101"/>
    <hyperlink r:id="rId202" ref="K101"/>
    <hyperlink r:id="rId203" ref="C102"/>
    <hyperlink r:id="rId204" ref="K102"/>
    <hyperlink r:id="rId205" ref="C103"/>
    <hyperlink r:id="rId206" ref="K103"/>
    <hyperlink r:id="rId207" ref="C104"/>
    <hyperlink r:id="rId208" ref="K104"/>
    <hyperlink r:id="rId209" ref="C105"/>
    <hyperlink r:id="rId210" ref="K105"/>
    <hyperlink r:id="rId211" ref="C106"/>
    <hyperlink r:id="rId212" ref="K106"/>
    <hyperlink r:id="rId213" ref="C107"/>
    <hyperlink r:id="rId214" ref="K107"/>
    <hyperlink r:id="rId215" ref="C108"/>
    <hyperlink r:id="rId216" ref="K108"/>
    <hyperlink r:id="rId217" ref="C109"/>
    <hyperlink r:id="rId218" ref="K109"/>
    <hyperlink r:id="rId219" ref="C110"/>
    <hyperlink r:id="rId220" ref="K110"/>
    <hyperlink r:id="rId221" ref="C111"/>
    <hyperlink r:id="rId222" ref="K111"/>
    <hyperlink r:id="rId223" ref="C112"/>
    <hyperlink r:id="rId224" ref="K112"/>
    <hyperlink r:id="rId225" ref="C113"/>
    <hyperlink r:id="rId226" ref="K113"/>
    <hyperlink r:id="rId227" ref="C114"/>
    <hyperlink r:id="rId228" ref="K114"/>
    <hyperlink r:id="rId229" ref="C115"/>
    <hyperlink r:id="rId230" ref="K115"/>
    <hyperlink r:id="rId231" ref="C116"/>
    <hyperlink r:id="rId232" ref="K116"/>
    <hyperlink r:id="rId233" ref="C117"/>
    <hyperlink r:id="rId234" ref="K117"/>
    <hyperlink r:id="rId235" ref="C118"/>
    <hyperlink r:id="rId236" ref="K118"/>
    <hyperlink r:id="rId237" ref="C119"/>
    <hyperlink r:id="rId238" ref="K119"/>
    <hyperlink r:id="rId239" ref="C120"/>
    <hyperlink r:id="rId240" ref="K120"/>
    <hyperlink r:id="rId241" ref="C121"/>
    <hyperlink r:id="rId242" ref="K121"/>
    <hyperlink r:id="rId243" ref="C122"/>
    <hyperlink r:id="rId244" ref="K122"/>
    <hyperlink r:id="rId245" ref="C123"/>
    <hyperlink r:id="rId246" ref="K123"/>
    <hyperlink r:id="rId247" ref="C124"/>
    <hyperlink r:id="rId248" ref="K124"/>
    <hyperlink r:id="rId249" ref="C125"/>
    <hyperlink r:id="rId250" ref="K125"/>
    <hyperlink r:id="rId251" ref="C126"/>
    <hyperlink r:id="rId252" ref="K126"/>
    <hyperlink r:id="rId253" ref="C127"/>
    <hyperlink r:id="rId254" ref="K127"/>
    <hyperlink r:id="rId255" ref="C128"/>
    <hyperlink r:id="rId256" ref="K128"/>
    <hyperlink r:id="rId257" ref="C129"/>
    <hyperlink r:id="rId258" ref="K129"/>
    <hyperlink r:id="rId259" ref="C130"/>
    <hyperlink r:id="rId260" ref="K130"/>
    <hyperlink r:id="rId261" ref="C131"/>
    <hyperlink r:id="rId262" ref="K131"/>
    <hyperlink r:id="rId263" ref="C132"/>
    <hyperlink r:id="rId264" ref="K132"/>
    <hyperlink r:id="rId265" ref="C133"/>
    <hyperlink r:id="rId266" ref="K133"/>
    <hyperlink r:id="rId267" ref="C134"/>
    <hyperlink r:id="rId268" ref="K134"/>
    <hyperlink r:id="rId269" ref="C135"/>
    <hyperlink r:id="rId270" ref="K135"/>
    <hyperlink r:id="rId271" ref="C136"/>
    <hyperlink r:id="rId272" ref="K136"/>
    <hyperlink r:id="rId273" ref="C137"/>
    <hyperlink r:id="rId274" ref="K137"/>
    <hyperlink r:id="rId275" ref="C138"/>
    <hyperlink r:id="rId276" ref="K138"/>
    <hyperlink r:id="rId277" ref="C139"/>
    <hyperlink r:id="rId278" ref="K139"/>
    <hyperlink r:id="rId279" ref="C140"/>
    <hyperlink r:id="rId280" ref="K140"/>
    <hyperlink r:id="rId281" ref="C141"/>
    <hyperlink r:id="rId282" ref="K141"/>
    <hyperlink r:id="rId283" ref="C142"/>
    <hyperlink r:id="rId284" ref="K142"/>
    <hyperlink r:id="rId285" ref="C143"/>
    <hyperlink r:id="rId286" ref="K143"/>
    <hyperlink r:id="rId287" ref="C144"/>
    <hyperlink r:id="rId288" ref="K144"/>
    <hyperlink r:id="rId289" ref="C145"/>
    <hyperlink r:id="rId290" ref="K145"/>
    <hyperlink r:id="rId291" ref="C146"/>
    <hyperlink r:id="rId292" ref="K146"/>
    <hyperlink r:id="rId293" ref="C147"/>
    <hyperlink r:id="rId294" ref="K147"/>
    <hyperlink r:id="rId295" ref="C148"/>
    <hyperlink r:id="rId296" ref="K148"/>
    <hyperlink r:id="rId297" ref="C149"/>
    <hyperlink r:id="rId298" ref="K149"/>
    <hyperlink r:id="rId299" ref="C150"/>
    <hyperlink r:id="rId300" ref="K150"/>
    <hyperlink r:id="rId301" ref="C151"/>
    <hyperlink r:id="rId302" ref="K151"/>
    <hyperlink r:id="rId303" ref="C152"/>
    <hyperlink r:id="rId304" ref="K152"/>
    <hyperlink r:id="rId305" ref="C153"/>
    <hyperlink r:id="rId306" ref="K153"/>
    <hyperlink r:id="rId307" ref="C154"/>
    <hyperlink r:id="rId308" ref="K154"/>
    <hyperlink r:id="rId309" ref="C155"/>
    <hyperlink r:id="rId310" ref="K155"/>
    <hyperlink r:id="rId311" ref="C156"/>
    <hyperlink r:id="rId312" ref="K156"/>
    <hyperlink r:id="rId313" ref="C157"/>
    <hyperlink r:id="rId314" ref="K157"/>
    <hyperlink r:id="rId315" ref="C158"/>
    <hyperlink r:id="rId316" ref="K158"/>
    <hyperlink r:id="rId317" ref="C159"/>
    <hyperlink r:id="rId318" ref="K159"/>
    <hyperlink r:id="rId319" ref="C160"/>
    <hyperlink r:id="rId320" ref="K160"/>
    <hyperlink r:id="rId321" ref="C161"/>
    <hyperlink r:id="rId322" ref="K161"/>
    <hyperlink r:id="rId323" ref="C162"/>
    <hyperlink r:id="rId324" ref="K162"/>
    <hyperlink r:id="rId325" ref="C163"/>
    <hyperlink r:id="rId326" ref="K163"/>
    <hyperlink r:id="rId327" ref="C164"/>
    <hyperlink r:id="rId328" ref="K164"/>
    <hyperlink r:id="rId329" ref="C165"/>
    <hyperlink r:id="rId330" ref="K165"/>
    <hyperlink r:id="rId331" ref="C166"/>
    <hyperlink r:id="rId332" ref="K166"/>
    <hyperlink r:id="rId333" ref="C167"/>
    <hyperlink r:id="rId334" ref="K167"/>
    <hyperlink r:id="rId335" ref="C168"/>
    <hyperlink r:id="rId336" ref="K168"/>
    <hyperlink r:id="rId337" ref="C169"/>
    <hyperlink r:id="rId338" ref="K169"/>
    <hyperlink r:id="rId339" ref="C170"/>
    <hyperlink r:id="rId340" ref="K170"/>
    <hyperlink r:id="rId341" ref="C171"/>
    <hyperlink r:id="rId342" ref="K171"/>
    <hyperlink r:id="rId343" ref="C172"/>
    <hyperlink r:id="rId344" ref="K172"/>
    <hyperlink r:id="rId345" ref="C173"/>
    <hyperlink r:id="rId346" ref="K173"/>
    <hyperlink r:id="rId347" ref="C174"/>
    <hyperlink r:id="rId348" ref="K174"/>
    <hyperlink r:id="rId349" ref="C175"/>
    <hyperlink r:id="rId350" ref="K175"/>
    <hyperlink r:id="rId351" ref="C176"/>
    <hyperlink r:id="rId352" ref="K176"/>
    <hyperlink r:id="rId353" ref="C177"/>
    <hyperlink r:id="rId354" ref="K177"/>
    <hyperlink r:id="rId355" ref="C178"/>
    <hyperlink r:id="rId356" ref="K178"/>
    <hyperlink r:id="rId357" ref="C179"/>
    <hyperlink r:id="rId358" ref="K179"/>
    <hyperlink r:id="rId359" ref="C180"/>
    <hyperlink r:id="rId360" ref="K180"/>
    <hyperlink r:id="rId361" ref="C181"/>
    <hyperlink r:id="rId362" ref="K181"/>
    <hyperlink r:id="rId363" ref="C182"/>
    <hyperlink r:id="rId364" ref="K182"/>
    <hyperlink r:id="rId365" ref="C183"/>
    <hyperlink r:id="rId366" ref="K183"/>
    <hyperlink r:id="rId367" ref="C184"/>
    <hyperlink r:id="rId368" ref="K184"/>
    <hyperlink r:id="rId369" ref="C185"/>
    <hyperlink r:id="rId370" ref="K185"/>
    <hyperlink r:id="rId371" ref="C186"/>
    <hyperlink r:id="rId372" ref="K186"/>
    <hyperlink r:id="rId373" ref="C187"/>
    <hyperlink r:id="rId374" ref="K187"/>
    <hyperlink r:id="rId375" ref="C188"/>
    <hyperlink r:id="rId376" ref="K188"/>
    <hyperlink r:id="rId377" ref="C189"/>
    <hyperlink r:id="rId378" ref="K189"/>
    <hyperlink r:id="rId379" ref="C190"/>
    <hyperlink r:id="rId380" ref="K190"/>
    <hyperlink r:id="rId381" ref="C191"/>
    <hyperlink r:id="rId382" ref="K191"/>
    <hyperlink r:id="rId383" ref="C192"/>
    <hyperlink r:id="rId384" ref="K192"/>
    <hyperlink r:id="rId385" ref="C193"/>
    <hyperlink r:id="rId386" ref="K193"/>
    <hyperlink r:id="rId387" ref="C194"/>
    <hyperlink r:id="rId388" ref="K194"/>
    <hyperlink r:id="rId389" ref="C195"/>
    <hyperlink r:id="rId390" ref="K195"/>
    <hyperlink r:id="rId391" ref="C196"/>
    <hyperlink r:id="rId392" ref="K196"/>
    <hyperlink r:id="rId393" ref="C197"/>
    <hyperlink r:id="rId394" ref="K197"/>
    <hyperlink r:id="rId395" ref="C198"/>
    <hyperlink r:id="rId396" ref="K198"/>
    <hyperlink r:id="rId397" ref="C199"/>
    <hyperlink r:id="rId398" ref="K199"/>
    <hyperlink r:id="rId399" ref="C200"/>
    <hyperlink r:id="rId400" ref="K200"/>
    <hyperlink r:id="rId401" ref="C201"/>
    <hyperlink r:id="rId402" ref="K201"/>
    <hyperlink r:id="rId403" ref="C202"/>
    <hyperlink r:id="rId404" ref="K202"/>
    <hyperlink r:id="rId405" ref="C203"/>
    <hyperlink r:id="rId406" ref="K203"/>
    <hyperlink r:id="rId407" ref="C204"/>
    <hyperlink r:id="rId408" ref="K204"/>
    <hyperlink r:id="rId409" ref="C205"/>
    <hyperlink r:id="rId410" ref="K205"/>
    <hyperlink r:id="rId411" ref="C206"/>
    <hyperlink r:id="rId412" ref="K206"/>
    <hyperlink r:id="rId413" ref="C207"/>
    <hyperlink r:id="rId414" ref="K207"/>
    <hyperlink r:id="rId415" ref="C208"/>
    <hyperlink r:id="rId416" ref="K208"/>
    <hyperlink r:id="rId417" ref="C209"/>
    <hyperlink r:id="rId418" ref="K209"/>
    <hyperlink r:id="rId419" ref="C210"/>
    <hyperlink r:id="rId420" ref="K210"/>
    <hyperlink r:id="rId421" ref="C211"/>
    <hyperlink r:id="rId422" ref="K211"/>
    <hyperlink r:id="rId423" ref="C212"/>
    <hyperlink r:id="rId424" ref="K212"/>
    <hyperlink r:id="rId425" ref="C213"/>
    <hyperlink r:id="rId426" ref="K213"/>
    <hyperlink r:id="rId427" ref="C214"/>
    <hyperlink r:id="rId428" ref="K214"/>
    <hyperlink r:id="rId429" ref="C215"/>
    <hyperlink r:id="rId430" ref="K215"/>
    <hyperlink r:id="rId431" ref="C216"/>
    <hyperlink r:id="rId432" ref="K216"/>
    <hyperlink r:id="rId433" ref="C217"/>
    <hyperlink r:id="rId434" ref="K217"/>
    <hyperlink r:id="rId435" ref="C218"/>
    <hyperlink r:id="rId436" ref="K218"/>
    <hyperlink r:id="rId437" ref="C219"/>
    <hyperlink r:id="rId438" ref="K219"/>
    <hyperlink r:id="rId439" ref="C220"/>
    <hyperlink r:id="rId440" ref="K220"/>
    <hyperlink r:id="rId441" ref="C221"/>
    <hyperlink r:id="rId442" ref="K221"/>
    <hyperlink r:id="rId443" ref="C222"/>
    <hyperlink r:id="rId444" ref="K222"/>
    <hyperlink r:id="rId445" ref="C223"/>
    <hyperlink r:id="rId446" ref="K223"/>
    <hyperlink r:id="rId447" ref="C224"/>
    <hyperlink r:id="rId448" ref="K224"/>
    <hyperlink r:id="rId449" ref="C225"/>
    <hyperlink r:id="rId450" ref="K225"/>
    <hyperlink r:id="rId451" ref="C226"/>
    <hyperlink r:id="rId452" ref="K226"/>
    <hyperlink r:id="rId453" ref="C227"/>
    <hyperlink r:id="rId454" ref="K227"/>
    <hyperlink r:id="rId455" ref="C228"/>
    <hyperlink r:id="rId456" ref="K228"/>
    <hyperlink r:id="rId457" ref="C229"/>
    <hyperlink r:id="rId458" ref="K229"/>
    <hyperlink r:id="rId459" ref="C230"/>
    <hyperlink r:id="rId460" ref="K230"/>
    <hyperlink r:id="rId461" ref="C231"/>
    <hyperlink r:id="rId462" ref="K231"/>
    <hyperlink r:id="rId463" ref="C232"/>
    <hyperlink r:id="rId464" ref="K232"/>
    <hyperlink r:id="rId465" ref="C233"/>
    <hyperlink r:id="rId466" ref="K233"/>
    <hyperlink r:id="rId467" ref="C234"/>
    <hyperlink r:id="rId468" ref="K234"/>
    <hyperlink r:id="rId469" ref="C235"/>
    <hyperlink r:id="rId470" ref="K235"/>
    <hyperlink r:id="rId471" ref="C236"/>
    <hyperlink r:id="rId472" ref="K236"/>
    <hyperlink r:id="rId473" ref="C237"/>
    <hyperlink r:id="rId474" ref="K237"/>
    <hyperlink r:id="rId475" ref="C238"/>
    <hyperlink r:id="rId476" ref="K238"/>
    <hyperlink r:id="rId477" ref="C239"/>
    <hyperlink r:id="rId478" ref="K239"/>
    <hyperlink r:id="rId479" ref="C240"/>
    <hyperlink r:id="rId480" ref="K240"/>
    <hyperlink r:id="rId481" ref="C241"/>
    <hyperlink r:id="rId482" ref="K241"/>
    <hyperlink r:id="rId483" ref="C242"/>
    <hyperlink r:id="rId484" ref="K242"/>
    <hyperlink r:id="rId485" ref="C243"/>
    <hyperlink r:id="rId486" ref="K243"/>
    <hyperlink r:id="rId487" ref="C244"/>
    <hyperlink r:id="rId488" ref="K244"/>
    <hyperlink r:id="rId489" ref="C245"/>
    <hyperlink r:id="rId490" ref="K245"/>
    <hyperlink r:id="rId491" ref="C246"/>
    <hyperlink r:id="rId492" ref="K246"/>
    <hyperlink r:id="rId493" ref="C247"/>
    <hyperlink r:id="rId494" ref="K247"/>
    <hyperlink r:id="rId495" ref="C248"/>
    <hyperlink r:id="rId496" ref="K248"/>
    <hyperlink r:id="rId497" ref="C249"/>
    <hyperlink r:id="rId498" ref="K249"/>
    <hyperlink r:id="rId499" ref="C250"/>
    <hyperlink r:id="rId500" ref="K250"/>
    <hyperlink r:id="rId501" ref="C251"/>
    <hyperlink r:id="rId502" ref="K251"/>
    <hyperlink r:id="rId503" ref="C252"/>
    <hyperlink r:id="rId504" ref="K252"/>
    <hyperlink r:id="rId505" ref="C253"/>
    <hyperlink r:id="rId506" ref="K253"/>
    <hyperlink r:id="rId507" ref="C254"/>
    <hyperlink r:id="rId508" ref="K254"/>
    <hyperlink r:id="rId509" ref="C255"/>
    <hyperlink r:id="rId510" ref="K255"/>
    <hyperlink r:id="rId511" ref="C256"/>
    <hyperlink r:id="rId512" ref="K256"/>
    <hyperlink r:id="rId513" ref="C257"/>
    <hyperlink r:id="rId514" ref="K257"/>
    <hyperlink r:id="rId515" ref="C258"/>
    <hyperlink r:id="rId516" ref="K258"/>
    <hyperlink r:id="rId517" ref="C259"/>
    <hyperlink r:id="rId518" ref="K259"/>
    <hyperlink r:id="rId519" ref="C260"/>
    <hyperlink r:id="rId520" ref="K260"/>
    <hyperlink r:id="rId521" ref="C261"/>
    <hyperlink r:id="rId522" ref="K261"/>
    <hyperlink r:id="rId523" ref="C262"/>
    <hyperlink r:id="rId524" ref="K262"/>
    <hyperlink r:id="rId525" ref="C263"/>
    <hyperlink r:id="rId526" ref="K263"/>
    <hyperlink r:id="rId527" ref="C264"/>
    <hyperlink r:id="rId528" ref="K264"/>
    <hyperlink r:id="rId529" ref="C265"/>
    <hyperlink r:id="rId530" ref="K265"/>
    <hyperlink r:id="rId531" ref="C266"/>
    <hyperlink r:id="rId532" ref="K266"/>
    <hyperlink r:id="rId533" ref="C267"/>
    <hyperlink r:id="rId534" ref="K267"/>
    <hyperlink r:id="rId535" ref="C268"/>
    <hyperlink r:id="rId536" ref="K268"/>
    <hyperlink r:id="rId537" ref="C269"/>
    <hyperlink r:id="rId538" ref="K269"/>
    <hyperlink r:id="rId539" ref="C270"/>
    <hyperlink r:id="rId540" ref="K270"/>
    <hyperlink r:id="rId541" ref="C271"/>
    <hyperlink r:id="rId542" ref="K271"/>
    <hyperlink r:id="rId543" ref="C272"/>
    <hyperlink r:id="rId544" ref="K272"/>
    <hyperlink r:id="rId545" ref="C273"/>
    <hyperlink r:id="rId546" ref="K273"/>
    <hyperlink r:id="rId547" ref="C274"/>
    <hyperlink r:id="rId548" ref="K274"/>
    <hyperlink r:id="rId549" ref="C275"/>
    <hyperlink r:id="rId550" ref="K275"/>
    <hyperlink r:id="rId551" ref="C276"/>
    <hyperlink r:id="rId552" ref="K276"/>
    <hyperlink r:id="rId553" ref="C277"/>
    <hyperlink r:id="rId554" ref="K277"/>
    <hyperlink r:id="rId555" ref="C278"/>
    <hyperlink r:id="rId556" ref="K278"/>
    <hyperlink r:id="rId557" ref="C279"/>
    <hyperlink r:id="rId558" ref="K279"/>
    <hyperlink r:id="rId559" ref="C280"/>
    <hyperlink r:id="rId560" ref="K280"/>
    <hyperlink r:id="rId561" ref="C281"/>
    <hyperlink r:id="rId562" ref="K281"/>
    <hyperlink r:id="rId563" ref="C282"/>
    <hyperlink r:id="rId564" ref="K282"/>
    <hyperlink r:id="rId565" ref="C283"/>
    <hyperlink r:id="rId566" ref="K283"/>
    <hyperlink r:id="rId567" ref="C284"/>
    <hyperlink r:id="rId568" ref="K284"/>
    <hyperlink r:id="rId569" ref="C285"/>
    <hyperlink r:id="rId570" ref="K285"/>
    <hyperlink r:id="rId571" ref="C286"/>
    <hyperlink r:id="rId572" ref="K286"/>
    <hyperlink r:id="rId573" ref="C287"/>
    <hyperlink r:id="rId574" ref="K287"/>
    <hyperlink r:id="rId575" ref="C288"/>
    <hyperlink r:id="rId576" ref="K288"/>
    <hyperlink r:id="rId577" ref="C289"/>
    <hyperlink r:id="rId578" ref="K289"/>
    <hyperlink r:id="rId579" ref="C290"/>
    <hyperlink r:id="rId580" ref="K290"/>
    <hyperlink r:id="rId581" ref="C291"/>
    <hyperlink r:id="rId582" ref="K291"/>
    <hyperlink r:id="rId583" ref="C292"/>
    <hyperlink r:id="rId584" ref="K292"/>
    <hyperlink r:id="rId585" ref="C293"/>
    <hyperlink r:id="rId586" ref="K293"/>
    <hyperlink r:id="rId587" ref="C294"/>
    <hyperlink r:id="rId588" ref="K294"/>
    <hyperlink r:id="rId589" ref="C295"/>
    <hyperlink r:id="rId590" ref="K295"/>
    <hyperlink r:id="rId591" ref="C296"/>
    <hyperlink r:id="rId592" ref="K296"/>
    <hyperlink r:id="rId593" ref="C297"/>
    <hyperlink r:id="rId594" ref="K297"/>
    <hyperlink r:id="rId595" ref="C298"/>
    <hyperlink r:id="rId596" ref="K298"/>
    <hyperlink r:id="rId597" ref="C299"/>
    <hyperlink r:id="rId598" ref="K299"/>
    <hyperlink r:id="rId599" ref="C300"/>
    <hyperlink r:id="rId600" ref="K300"/>
    <hyperlink r:id="rId601" ref="C301"/>
    <hyperlink r:id="rId602" ref="K301"/>
    <hyperlink r:id="rId603" ref="C302"/>
    <hyperlink r:id="rId604" ref="K302"/>
    <hyperlink r:id="rId605" ref="C303"/>
    <hyperlink r:id="rId606" ref="K303"/>
    <hyperlink r:id="rId607" ref="C304"/>
    <hyperlink r:id="rId608" ref="K304"/>
    <hyperlink r:id="rId609" ref="C305"/>
    <hyperlink r:id="rId610" ref="K305"/>
    <hyperlink r:id="rId611" ref="C306"/>
    <hyperlink r:id="rId612" ref="K306"/>
    <hyperlink r:id="rId613" ref="C307"/>
    <hyperlink r:id="rId614" ref="K307"/>
    <hyperlink r:id="rId615" ref="C308"/>
    <hyperlink r:id="rId616" ref="K308"/>
    <hyperlink r:id="rId617" ref="C309"/>
    <hyperlink r:id="rId618" ref="K309"/>
    <hyperlink r:id="rId619" ref="C310"/>
    <hyperlink r:id="rId620" ref="K310"/>
    <hyperlink r:id="rId621" ref="C311"/>
    <hyperlink r:id="rId622" ref="K311"/>
    <hyperlink r:id="rId623" ref="C312"/>
    <hyperlink r:id="rId624" ref="K312"/>
    <hyperlink r:id="rId625" ref="C313"/>
    <hyperlink r:id="rId626" ref="K313"/>
    <hyperlink r:id="rId627" ref="C314"/>
    <hyperlink r:id="rId628" ref="K314"/>
    <hyperlink r:id="rId629" ref="C315"/>
    <hyperlink r:id="rId630" ref="K315"/>
    <hyperlink r:id="rId631" ref="C316"/>
    <hyperlink r:id="rId632" ref="K316"/>
    <hyperlink r:id="rId633" ref="C317"/>
    <hyperlink r:id="rId634" ref="K317"/>
    <hyperlink r:id="rId635" ref="C318"/>
    <hyperlink r:id="rId636" ref="K318"/>
    <hyperlink r:id="rId637" ref="C319"/>
    <hyperlink r:id="rId638" ref="K319"/>
    <hyperlink r:id="rId639" ref="C320"/>
    <hyperlink r:id="rId640" ref="K320"/>
    <hyperlink r:id="rId641" ref="C321"/>
    <hyperlink r:id="rId642" ref="K321"/>
    <hyperlink r:id="rId643" ref="C322"/>
    <hyperlink r:id="rId644" ref="K322"/>
    <hyperlink r:id="rId645" ref="C323"/>
    <hyperlink r:id="rId646" ref="K323"/>
    <hyperlink r:id="rId647" ref="C324"/>
    <hyperlink r:id="rId648" ref="K324"/>
    <hyperlink r:id="rId649" ref="C325"/>
    <hyperlink r:id="rId650" ref="K325"/>
    <hyperlink r:id="rId651" ref="C326"/>
    <hyperlink r:id="rId652" ref="K326"/>
    <hyperlink r:id="rId653" ref="C327"/>
    <hyperlink r:id="rId654" ref="K327"/>
    <hyperlink r:id="rId655" ref="C328"/>
    <hyperlink r:id="rId656" ref="K328"/>
    <hyperlink r:id="rId657" ref="C329"/>
    <hyperlink r:id="rId658" ref="K329"/>
    <hyperlink r:id="rId659" ref="C330"/>
    <hyperlink r:id="rId660" ref="K330"/>
    <hyperlink r:id="rId661" ref="C331"/>
    <hyperlink r:id="rId662" ref="K331"/>
    <hyperlink r:id="rId663" ref="C332"/>
    <hyperlink r:id="rId664" ref="K332"/>
    <hyperlink r:id="rId665" ref="C333"/>
    <hyperlink r:id="rId666" ref="K333"/>
    <hyperlink r:id="rId667" ref="C334"/>
    <hyperlink r:id="rId668" ref="K334"/>
    <hyperlink r:id="rId669" ref="C335"/>
    <hyperlink r:id="rId670" ref="K335"/>
    <hyperlink r:id="rId671" ref="C336"/>
    <hyperlink r:id="rId672" ref="K336"/>
    <hyperlink r:id="rId673" ref="C337"/>
    <hyperlink r:id="rId674" ref="K337"/>
    <hyperlink r:id="rId675" ref="C338"/>
    <hyperlink r:id="rId676" ref="K338"/>
    <hyperlink r:id="rId677" ref="C339"/>
    <hyperlink r:id="rId678" ref="K339"/>
    <hyperlink r:id="rId679" ref="C340"/>
    <hyperlink r:id="rId680" ref="K340"/>
    <hyperlink r:id="rId681" ref="C341"/>
    <hyperlink r:id="rId682" ref="K341"/>
    <hyperlink r:id="rId683" ref="C342"/>
    <hyperlink r:id="rId684" ref="K342"/>
    <hyperlink r:id="rId685" ref="C343"/>
    <hyperlink r:id="rId686" ref="K343"/>
    <hyperlink r:id="rId687" ref="C344"/>
    <hyperlink r:id="rId688" ref="K344"/>
    <hyperlink r:id="rId689" ref="C345"/>
    <hyperlink r:id="rId690" ref="K345"/>
    <hyperlink r:id="rId691" ref="C346"/>
    <hyperlink r:id="rId692" ref="K346"/>
    <hyperlink r:id="rId693" ref="C347"/>
    <hyperlink r:id="rId694" ref="K347"/>
    <hyperlink r:id="rId695" ref="C348"/>
    <hyperlink r:id="rId696" ref="K348"/>
    <hyperlink r:id="rId697" ref="C349"/>
    <hyperlink r:id="rId698" ref="K349"/>
    <hyperlink r:id="rId699" ref="C350"/>
    <hyperlink r:id="rId700" ref="K350"/>
    <hyperlink r:id="rId701" ref="C351"/>
    <hyperlink r:id="rId702" ref="K351"/>
    <hyperlink r:id="rId703" ref="C352"/>
    <hyperlink r:id="rId704" ref="K352"/>
    <hyperlink r:id="rId705" ref="C353"/>
    <hyperlink r:id="rId706" ref="K353"/>
    <hyperlink r:id="rId707" ref="C354"/>
    <hyperlink r:id="rId708" ref="K354"/>
    <hyperlink r:id="rId709" ref="C355"/>
    <hyperlink r:id="rId710" ref="K355"/>
    <hyperlink r:id="rId711" ref="C356"/>
    <hyperlink r:id="rId712" ref="K356"/>
    <hyperlink r:id="rId713" ref="C357"/>
    <hyperlink r:id="rId714" ref="K357"/>
    <hyperlink r:id="rId715" ref="C358"/>
    <hyperlink r:id="rId716" ref="K358"/>
    <hyperlink r:id="rId717" ref="C359"/>
    <hyperlink r:id="rId718" ref="K359"/>
    <hyperlink r:id="rId719" ref="C360"/>
    <hyperlink r:id="rId720" ref="K360"/>
    <hyperlink r:id="rId721" ref="C361"/>
    <hyperlink r:id="rId722" ref="K361"/>
    <hyperlink r:id="rId723" ref="C362"/>
    <hyperlink r:id="rId724" ref="K362"/>
    <hyperlink r:id="rId725" ref="C363"/>
    <hyperlink r:id="rId726" ref="K363"/>
    <hyperlink r:id="rId727" ref="C364"/>
    <hyperlink r:id="rId728" ref="K364"/>
    <hyperlink r:id="rId729" ref="C365"/>
    <hyperlink r:id="rId730" ref="K365"/>
    <hyperlink r:id="rId731" ref="C366"/>
    <hyperlink r:id="rId732" ref="K366"/>
    <hyperlink r:id="rId733" ref="C367"/>
    <hyperlink r:id="rId734" ref="K367"/>
    <hyperlink r:id="rId735" ref="C368"/>
    <hyperlink r:id="rId736" ref="K368"/>
    <hyperlink r:id="rId737" ref="C369"/>
    <hyperlink r:id="rId738" ref="K369"/>
    <hyperlink r:id="rId739" ref="C370"/>
    <hyperlink r:id="rId740" ref="K370"/>
    <hyperlink r:id="rId741" ref="C371"/>
    <hyperlink r:id="rId742" ref="K371"/>
    <hyperlink r:id="rId743" ref="C372"/>
    <hyperlink r:id="rId744" ref="K372"/>
    <hyperlink r:id="rId745" ref="C373"/>
    <hyperlink r:id="rId746" ref="K373"/>
    <hyperlink r:id="rId747" ref="C374"/>
    <hyperlink r:id="rId748" ref="K374"/>
    <hyperlink r:id="rId749" ref="C375"/>
    <hyperlink r:id="rId750" ref="K375"/>
    <hyperlink r:id="rId751" ref="C376"/>
    <hyperlink r:id="rId752" ref="K376"/>
    <hyperlink r:id="rId753" ref="C377"/>
    <hyperlink r:id="rId754" ref="K377"/>
    <hyperlink r:id="rId755" ref="C378"/>
    <hyperlink r:id="rId756" ref="K378"/>
    <hyperlink r:id="rId757" ref="C379"/>
    <hyperlink r:id="rId758" ref="K379"/>
    <hyperlink r:id="rId759" ref="C380"/>
    <hyperlink r:id="rId760" ref="K380"/>
    <hyperlink r:id="rId761" ref="C381"/>
    <hyperlink r:id="rId762" ref="K381"/>
    <hyperlink r:id="rId763" ref="C382"/>
    <hyperlink r:id="rId764" ref="K382"/>
    <hyperlink r:id="rId765" ref="C383"/>
    <hyperlink r:id="rId766" ref="K383"/>
    <hyperlink r:id="rId767" ref="C384"/>
    <hyperlink r:id="rId768" ref="K384"/>
    <hyperlink r:id="rId769" ref="C385"/>
    <hyperlink r:id="rId770" ref="K385"/>
    <hyperlink r:id="rId771" ref="C386"/>
    <hyperlink r:id="rId772" ref="K386"/>
    <hyperlink r:id="rId773" ref="C387"/>
    <hyperlink r:id="rId774" ref="K387"/>
    <hyperlink r:id="rId775" ref="C388"/>
    <hyperlink r:id="rId776" ref="K388"/>
    <hyperlink r:id="rId777" ref="C389"/>
    <hyperlink r:id="rId778" ref="K389"/>
    <hyperlink r:id="rId779" ref="C390"/>
    <hyperlink r:id="rId780" ref="K390"/>
    <hyperlink r:id="rId781" ref="C391"/>
    <hyperlink r:id="rId782" ref="K391"/>
    <hyperlink r:id="rId783" ref="C392"/>
    <hyperlink r:id="rId784" ref="K392"/>
    <hyperlink r:id="rId785" ref="C393"/>
    <hyperlink r:id="rId786" ref="K393"/>
    <hyperlink r:id="rId787" ref="C394"/>
    <hyperlink r:id="rId788" ref="K394"/>
    <hyperlink r:id="rId789" ref="C395"/>
    <hyperlink r:id="rId790" ref="K395"/>
    <hyperlink r:id="rId791" ref="C396"/>
    <hyperlink r:id="rId792" ref="K396"/>
    <hyperlink r:id="rId793" ref="C397"/>
    <hyperlink r:id="rId794" ref="K397"/>
    <hyperlink r:id="rId795" ref="C398"/>
    <hyperlink r:id="rId796" ref="K398"/>
    <hyperlink r:id="rId797" ref="C399"/>
    <hyperlink r:id="rId798" ref="K399"/>
    <hyperlink r:id="rId799" ref="C400"/>
    <hyperlink r:id="rId800" ref="K400"/>
    <hyperlink r:id="rId801" ref="C401"/>
    <hyperlink r:id="rId802" ref="K401"/>
    <hyperlink r:id="rId803" ref="C402"/>
    <hyperlink r:id="rId804" ref="K402"/>
    <hyperlink r:id="rId805" ref="C403"/>
    <hyperlink r:id="rId806" ref="C404"/>
    <hyperlink r:id="rId807" ref="K404"/>
    <hyperlink r:id="rId808" ref="C405"/>
    <hyperlink r:id="rId809" ref="K405"/>
    <hyperlink r:id="rId810" ref="C406"/>
    <hyperlink r:id="rId811" ref="K406"/>
    <hyperlink r:id="rId812" ref="C407"/>
    <hyperlink r:id="rId813" ref="K407"/>
    <hyperlink r:id="rId814" ref="C408"/>
    <hyperlink r:id="rId815" ref="K408"/>
    <hyperlink r:id="rId816" ref="C409"/>
    <hyperlink r:id="rId817" ref="K409"/>
    <hyperlink r:id="rId818" ref="C410"/>
    <hyperlink r:id="rId819" ref="K410"/>
    <hyperlink r:id="rId820" ref="C411"/>
    <hyperlink r:id="rId821" ref="K411"/>
    <hyperlink r:id="rId822" ref="C412"/>
    <hyperlink r:id="rId823" ref="K412"/>
    <hyperlink r:id="rId824" ref="C413"/>
    <hyperlink r:id="rId825" ref="K413"/>
    <hyperlink r:id="rId826" ref="C414"/>
    <hyperlink r:id="rId827" ref="K414"/>
    <hyperlink r:id="rId828" ref="C415"/>
    <hyperlink r:id="rId829" ref="K415"/>
    <hyperlink r:id="rId830" ref="C416"/>
    <hyperlink r:id="rId831" ref="K416"/>
    <hyperlink r:id="rId832" ref="C417"/>
    <hyperlink r:id="rId833" ref="K417"/>
    <hyperlink r:id="rId834" ref="C418"/>
    <hyperlink r:id="rId835" ref="K418"/>
    <hyperlink r:id="rId836" ref="C419"/>
    <hyperlink r:id="rId837" ref="K419"/>
    <hyperlink r:id="rId838" ref="C420"/>
    <hyperlink r:id="rId839" ref="K420"/>
    <hyperlink r:id="rId840" ref="C421"/>
    <hyperlink r:id="rId841" ref="K421"/>
    <hyperlink r:id="rId842" ref="C422"/>
    <hyperlink r:id="rId843" ref="K422"/>
    <hyperlink r:id="rId844" ref="C423"/>
    <hyperlink r:id="rId845" ref="K423"/>
    <hyperlink r:id="rId846" ref="C424"/>
    <hyperlink r:id="rId847" ref="K424"/>
    <hyperlink r:id="rId848" ref="C425"/>
    <hyperlink r:id="rId849" ref="K425"/>
    <hyperlink r:id="rId850" ref="C426"/>
    <hyperlink r:id="rId851" ref="K426"/>
    <hyperlink r:id="rId852" ref="C427"/>
    <hyperlink r:id="rId853" ref="K427"/>
    <hyperlink r:id="rId854" ref="C428"/>
    <hyperlink r:id="rId855" ref="K428"/>
    <hyperlink r:id="rId856" ref="C429"/>
    <hyperlink r:id="rId857" ref="K429"/>
    <hyperlink r:id="rId858" ref="C430"/>
    <hyperlink r:id="rId859" ref="K430"/>
    <hyperlink r:id="rId860" ref="C431"/>
    <hyperlink r:id="rId861" ref="K431"/>
    <hyperlink r:id="rId862" ref="C432"/>
    <hyperlink r:id="rId863" ref="K432"/>
    <hyperlink r:id="rId864" ref="C433"/>
    <hyperlink r:id="rId865" ref="K433"/>
    <hyperlink r:id="rId866" ref="C434"/>
    <hyperlink r:id="rId867" ref="K434"/>
    <hyperlink r:id="rId868" ref="C435"/>
    <hyperlink r:id="rId869" ref="K435"/>
    <hyperlink r:id="rId870" ref="C436"/>
    <hyperlink r:id="rId871" ref="K436"/>
    <hyperlink r:id="rId872" ref="C437"/>
    <hyperlink r:id="rId873" ref="K437"/>
    <hyperlink r:id="rId874" ref="C438"/>
    <hyperlink r:id="rId875" ref="K438"/>
    <hyperlink r:id="rId876" ref="C439"/>
    <hyperlink r:id="rId877" ref="K439"/>
    <hyperlink r:id="rId878" ref="C440"/>
    <hyperlink r:id="rId879" ref="K440"/>
    <hyperlink r:id="rId880" ref="C441"/>
    <hyperlink r:id="rId881" ref="K441"/>
    <hyperlink r:id="rId882" ref="C442"/>
    <hyperlink r:id="rId883" ref="K442"/>
    <hyperlink r:id="rId884" ref="C443"/>
    <hyperlink r:id="rId885" ref="K443"/>
    <hyperlink r:id="rId886" ref="C444"/>
    <hyperlink r:id="rId887" ref="K444"/>
    <hyperlink r:id="rId888" ref="C445"/>
    <hyperlink r:id="rId889" ref="K445"/>
    <hyperlink r:id="rId890" ref="C446"/>
    <hyperlink r:id="rId891" ref="K446"/>
    <hyperlink r:id="rId892" ref="C447"/>
    <hyperlink r:id="rId893" ref="K447"/>
    <hyperlink r:id="rId894" ref="C448"/>
    <hyperlink r:id="rId895" ref="K448"/>
    <hyperlink r:id="rId896" ref="C449"/>
    <hyperlink r:id="rId897" ref="K449"/>
    <hyperlink r:id="rId898" ref="C450"/>
    <hyperlink r:id="rId899" ref="K450"/>
    <hyperlink r:id="rId900" ref="C451"/>
    <hyperlink r:id="rId901" ref="K451"/>
    <hyperlink r:id="rId902" ref="C452"/>
    <hyperlink r:id="rId903" ref="K452"/>
    <hyperlink r:id="rId904" ref="C453"/>
    <hyperlink r:id="rId905" ref="K453"/>
    <hyperlink r:id="rId906" ref="C454"/>
    <hyperlink r:id="rId907" ref="K454"/>
    <hyperlink r:id="rId908" ref="C455"/>
    <hyperlink r:id="rId909" ref="K455"/>
    <hyperlink r:id="rId910" ref="C456"/>
    <hyperlink r:id="rId911" ref="K456"/>
    <hyperlink r:id="rId912" ref="C457"/>
    <hyperlink r:id="rId913" ref="K457"/>
    <hyperlink r:id="rId914" ref="C458"/>
    <hyperlink r:id="rId915" ref="K458"/>
    <hyperlink r:id="rId916" ref="C459"/>
    <hyperlink r:id="rId917" ref="K459"/>
    <hyperlink r:id="rId918" ref="C460"/>
    <hyperlink r:id="rId919" ref="K460"/>
    <hyperlink r:id="rId920" ref="C461"/>
    <hyperlink r:id="rId921" ref="K461"/>
    <hyperlink r:id="rId922" ref="C462"/>
    <hyperlink r:id="rId923" ref="K462"/>
    <hyperlink r:id="rId924" ref="C463"/>
    <hyperlink r:id="rId925" ref="K463"/>
    <hyperlink r:id="rId926" ref="C464"/>
    <hyperlink r:id="rId927" ref="K464"/>
    <hyperlink r:id="rId928" ref="C465"/>
    <hyperlink r:id="rId929" ref="K465"/>
    <hyperlink r:id="rId930" ref="C466"/>
    <hyperlink r:id="rId931" ref="K466"/>
    <hyperlink r:id="rId932" ref="C467"/>
    <hyperlink r:id="rId933" ref="K467"/>
    <hyperlink r:id="rId934" ref="C468"/>
    <hyperlink r:id="rId935" ref="K468"/>
    <hyperlink r:id="rId936" ref="C469"/>
    <hyperlink r:id="rId937" ref="K469"/>
    <hyperlink r:id="rId938" ref="C470"/>
    <hyperlink r:id="rId939" ref="K470"/>
    <hyperlink r:id="rId940" ref="C471"/>
    <hyperlink r:id="rId941" ref="K471"/>
    <hyperlink r:id="rId942" ref="C472"/>
    <hyperlink r:id="rId943" ref="K472"/>
    <hyperlink r:id="rId944" ref="C473"/>
    <hyperlink r:id="rId945" ref="K473"/>
    <hyperlink r:id="rId946" ref="C474"/>
    <hyperlink r:id="rId947" ref="K474"/>
    <hyperlink r:id="rId948" ref="C475"/>
    <hyperlink r:id="rId949" ref="K475"/>
    <hyperlink r:id="rId950" ref="C476"/>
    <hyperlink r:id="rId951" ref="K476"/>
    <hyperlink r:id="rId952" ref="C477"/>
    <hyperlink r:id="rId953" ref="K477"/>
    <hyperlink r:id="rId954" ref="C478"/>
    <hyperlink r:id="rId955" ref="K478"/>
    <hyperlink r:id="rId956" ref="C479"/>
    <hyperlink r:id="rId957" ref="K479"/>
    <hyperlink r:id="rId958" ref="C480"/>
    <hyperlink r:id="rId959" ref="K480"/>
    <hyperlink r:id="rId960" ref="C481"/>
    <hyperlink r:id="rId961" ref="K481"/>
    <hyperlink r:id="rId962" ref="C482"/>
    <hyperlink r:id="rId963" ref="K482"/>
    <hyperlink r:id="rId964" ref="C483"/>
    <hyperlink r:id="rId965" ref="K483"/>
    <hyperlink r:id="rId966" ref="C484"/>
    <hyperlink r:id="rId967" ref="K484"/>
    <hyperlink r:id="rId968" ref="C485"/>
    <hyperlink r:id="rId969" ref="K485"/>
    <hyperlink r:id="rId970" ref="C486"/>
    <hyperlink r:id="rId971" ref="K486"/>
    <hyperlink r:id="rId972" ref="C487"/>
    <hyperlink r:id="rId973" ref="K487"/>
    <hyperlink r:id="rId974" ref="C488"/>
    <hyperlink r:id="rId975" ref="K488"/>
    <hyperlink r:id="rId976" ref="C489"/>
    <hyperlink r:id="rId977" ref="K489"/>
    <hyperlink r:id="rId978" ref="C490"/>
    <hyperlink r:id="rId979" ref="K490"/>
    <hyperlink r:id="rId980" ref="C491"/>
    <hyperlink r:id="rId981" ref="K491"/>
    <hyperlink r:id="rId982" ref="C492"/>
    <hyperlink r:id="rId983" ref="K492"/>
    <hyperlink r:id="rId984" ref="C493"/>
    <hyperlink r:id="rId985" ref="K493"/>
    <hyperlink r:id="rId986" ref="C494"/>
    <hyperlink r:id="rId987" ref="K494"/>
    <hyperlink r:id="rId988" ref="C495"/>
    <hyperlink r:id="rId989" ref="K495"/>
    <hyperlink r:id="rId990" ref="C496"/>
    <hyperlink r:id="rId991" ref="K496"/>
    <hyperlink r:id="rId992" ref="C497"/>
    <hyperlink r:id="rId993" ref="K497"/>
    <hyperlink r:id="rId994" ref="C498"/>
    <hyperlink r:id="rId995" ref="K498"/>
    <hyperlink r:id="rId996" ref="C499"/>
    <hyperlink r:id="rId997" ref="K499"/>
    <hyperlink r:id="rId998" ref="C500"/>
    <hyperlink r:id="rId999" ref="K500"/>
    <hyperlink r:id="rId1000" ref="C501"/>
    <hyperlink r:id="rId1001" ref="K501"/>
    <hyperlink r:id="rId1002" ref="C502"/>
    <hyperlink r:id="rId1003" ref="K502"/>
    <hyperlink r:id="rId1004" ref="C503"/>
    <hyperlink r:id="rId1005" ref="K503"/>
    <hyperlink r:id="rId1006" ref="C504"/>
    <hyperlink r:id="rId1007" ref="K504"/>
    <hyperlink r:id="rId1008" ref="C505"/>
    <hyperlink r:id="rId1009" ref="K505"/>
    <hyperlink r:id="rId1010" ref="C506"/>
    <hyperlink r:id="rId1011" ref="K506"/>
    <hyperlink r:id="rId1012" ref="C507"/>
    <hyperlink r:id="rId1013" ref="K507"/>
    <hyperlink r:id="rId1014" ref="C508"/>
    <hyperlink r:id="rId1015" ref="K508"/>
    <hyperlink r:id="rId1016" ref="C509"/>
    <hyperlink r:id="rId1017" ref="K509"/>
    <hyperlink r:id="rId1018" ref="C510"/>
    <hyperlink r:id="rId1019" ref="K510"/>
    <hyperlink r:id="rId1020" ref="C511"/>
    <hyperlink r:id="rId1021" ref="K511"/>
    <hyperlink r:id="rId1022" ref="C512"/>
    <hyperlink r:id="rId1023" ref="K512"/>
    <hyperlink r:id="rId1024" ref="C513"/>
    <hyperlink r:id="rId1025" ref="K513"/>
    <hyperlink r:id="rId1026" ref="C514"/>
    <hyperlink r:id="rId1027" ref="K514"/>
    <hyperlink r:id="rId1028" ref="C515"/>
    <hyperlink r:id="rId1029" ref="K515"/>
    <hyperlink r:id="rId1030" ref="C516"/>
    <hyperlink r:id="rId1031" ref="K516"/>
    <hyperlink r:id="rId1032" ref="C517"/>
    <hyperlink r:id="rId1033" ref="K517"/>
    <hyperlink r:id="rId1034" ref="C518"/>
    <hyperlink r:id="rId1035" ref="K518"/>
    <hyperlink r:id="rId1036" ref="C519"/>
    <hyperlink r:id="rId1037" ref="K519"/>
    <hyperlink r:id="rId1038" ref="C520"/>
    <hyperlink r:id="rId1039" ref="K520"/>
    <hyperlink r:id="rId1040" ref="C521"/>
    <hyperlink r:id="rId1041" ref="K521"/>
    <hyperlink r:id="rId1042" ref="C522"/>
    <hyperlink r:id="rId1043" ref="K522"/>
    <hyperlink r:id="rId1044" ref="C523"/>
    <hyperlink r:id="rId1045" ref="K523"/>
    <hyperlink r:id="rId1046" ref="C524"/>
    <hyperlink r:id="rId1047" ref="K524"/>
    <hyperlink r:id="rId1048" ref="C525"/>
    <hyperlink r:id="rId1049" ref="K525"/>
    <hyperlink r:id="rId1050" ref="C526"/>
    <hyperlink r:id="rId1051" ref="K526"/>
    <hyperlink r:id="rId1052" ref="C527"/>
    <hyperlink r:id="rId1053" ref="K527"/>
    <hyperlink r:id="rId1054" ref="C528"/>
    <hyperlink r:id="rId1055" ref="K528"/>
    <hyperlink r:id="rId1056" ref="C529"/>
    <hyperlink r:id="rId1057" ref="K529"/>
    <hyperlink r:id="rId1058" ref="C530"/>
    <hyperlink r:id="rId1059" ref="K530"/>
    <hyperlink r:id="rId1060" ref="C531"/>
    <hyperlink r:id="rId1061" ref="K531"/>
    <hyperlink r:id="rId1062" ref="C532"/>
    <hyperlink r:id="rId1063" ref="K532"/>
    <hyperlink r:id="rId1064" ref="C533"/>
    <hyperlink r:id="rId1065" ref="K533"/>
    <hyperlink r:id="rId1066" ref="C534"/>
    <hyperlink r:id="rId1067" ref="K534"/>
    <hyperlink r:id="rId1068" ref="C535"/>
    <hyperlink r:id="rId1069" ref="K535"/>
    <hyperlink r:id="rId1070" ref="C536"/>
    <hyperlink r:id="rId1071" ref="K536"/>
    <hyperlink r:id="rId1072" ref="C537"/>
    <hyperlink r:id="rId1073" ref="K537"/>
    <hyperlink r:id="rId1074" ref="C538"/>
    <hyperlink r:id="rId1075" ref="K538"/>
    <hyperlink r:id="rId1076" ref="C539"/>
    <hyperlink r:id="rId1077" ref="K539"/>
    <hyperlink r:id="rId1078" ref="C540"/>
    <hyperlink r:id="rId1079" ref="K540"/>
    <hyperlink r:id="rId1080" ref="C541"/>
    <hyperlink r:id="rId1081" ref="K541"/>
    <hyperlink r:id="rId1082" ref="C542"/>
    <hyperlink r:id="rId1083" ref="K542"/>
    <hyperlink r:id="rId1084" ref="C543"/>
    <hyperlink r:id="rId1085" ref="K543"/>
    <hyperlink r:id="rId1086" ref="C544"/>
    <hyperlink r:id="rId1087" ref="K544"/>
    <hyperlink r:id="rId1088" ref="C545"/>
    <hyperlink r:id="rId1089" ref="K545"/>
    <hyperlink r:id="rId1090" ref="C546"/>
    <hyperlink r:id="rId1091" ref="K546"/>
    <hyperlink r:id="rId1092" ref="C547"/>
    <hyperlink r:id="rId1093" ref="K547"/>
    <hyperlink r:id="rId1094" ref="C548"/>
    <hyperlink r:id="rId1095" ref="K548"/>
    <hyperlink r:id="rId1096" ref="C549"/>
    <hyperlink r:id="rId1097" ref="K549"/>
    <hyperlink r:id="rId1098" ref="C550"/>
    <hyperlink r:id="rId1099" ref="K550"/>
    <hyperlink r:id="rId1100" ref="C551"/>
    <hyperlink r:id="rId1101" ref="K551"/>
    <hyperlink r:id="rId1102" ref="C552"/>
    <hyperlink r:id="rId1103" ref="K552"/>
    <hyperlink r:id="rId1104" ref="C553"/>
    <hyperlink r:id="rId1105" ref="K553"/>
    <hyperlink r:id="rId1106" ref="C554"/>
    <hyperlink r:id="rId1107" ref="K554"/>
    <hyperlink r:id="rId1108" ref="C555"/>
    <hyperlink r:id="rId1109" ref="K555"/>
    <hyperlink r:id="rId1110" ref="C556"/>
    <hyperlink r:id="rId1111" ref="K556"/>
    <hyperlink r:id="rId1112" ref="C557"/>
    <hyperlink r:id="rId1113" ref="K557"/>
    <hyperlink r:id="rId1114" ref="C558"/>
    <hyperlink r:id="rId1115" ref="K558"/>
    <hyperlink r:id="rId1116" ref="C559"/>
    <hyperlink r:id="rId1117" ref="K559"/>
    <hyperlink r:id="rId1118" ref="C560"/>
    <hyperlink r:id="rId1119" ref="K560"/>
    <hyperlink r:id="rId1120" ref="C561"/>
    <hyperlink r:id="rId1121" ref="K561"/>
    <hyperlink r:id="rId1122" ref="C562"/>
    <hyperlink r:id="rId1123" ref="K562"/>
    <hyperlink r:id="rId1124" ref="C563"/>
    <hyperlink r:id="rId1125" ref="K563"/>
    <hyperlink r:id="rId1126" ref="C564"/>
    <hyperlink r:id="rId1127" ref="K564"/>
    <hyperlink r:id="rId1128" ref="C565"/>
    <hyperlink r:id="rId1129" ref="K565"/>
    <hyperlink r:id="rId1130" ref="C566"/>
    <hyperlink r:id="rId1131" ref="K566"/>
    <hyperlink r:id="rId1132" ref="C567"/>
    <hyperlink r:id="rId1133" ref="K567"/>
    <hyperlink r:id="rId1134" ref="C568"/>
    <hyperlink r:id="rId1135" ref="K568"/>
    <hyperlink r:id="rId1136" ref="C569"/>
    <hyperlink r:id="rId1137" ref="K569"/>
    <hyperlink r:id="rId1138" ref="C570"/>
    <hyperlink r:id="rId1139" ref="K570"/>
    <hyperlink r:id="rId1140" ref="C571"/>
    <hyperlink r:id="rId1141" ref="K571"/>
    <hyperlink r:id="rId1142" ref="C572"/>
    <hyperlink r:id="rId1143" ref="K572"/>
    <hyperlink r:id="rId1144" ref="C573"/>
    <hyperlink r:id="rId1145" ref="K573"/>
    <hyperlink r:id="rId1146" ref="C574"/>
    <hyperlink r:id="rId1147" ref="K574"/>
    <hyperlink r:id="rId1148" ref="C575"/>
    <hyperlink r:id="rId1149" ref="K575"/>
    <hyperlink r:id="rId1150" ref="C576"/>
    <hyperlink r:id="rId1151" ref="K576"/>
    <hyperlink r:id="rId1152" ref="C577"/>
    <hyperlink r:id="rId1153" ref="K577"/>
    <hyperlink r:id="rId1154" ref="C578"/>
    <hyperlink r:id="rId1155" ref="K578"/>
    <hyperlink r:id="rId1156" ref="C579"/>
    <hyperlink r:id="rId1157" ref="K579"/>
    <hyperlink r:id="rId1158" ref="C580"/>
    <hyperlink r:id="rId1159" ref="K580"/>
    <hyperlink r:id="rId1160" ref="C581"/>
    <hyperlink r:id="rId1161" ref="K581"/>
    <hyperlink r:id="rId1162" ref="C582"/>
    <hyperlink r:id="rId1163" ref="K582"/>
    <hyperlink r:id="rId1164" ref="C583"/>
    <hyperlink r:id="rId1165" ref="K583"/>
    <hyperlink r:id="rId1166" ref="C584"/>
    <hyperlink r:id="rId1167" ref="K584"/>
    <hyperlink r:id="rId1168" ref="C585"/>
    <hyperlink r:id="rId1169" ref="K585"/>
    <hyperlink r:id="rId1170" ref="C586"/>
    <hyperlink r:id="rId1171" ref="K586"/>
    <hyperlink r:id="rId1172" ref="C587"/>
    <hyperlink r:id="rId1173" ref="K587"/>
    <hyperlink r:id="rId1174" ref="C588"/>
    <hyperlink r:id="rId1175" ref="K588"/>
    <hyperlink r:id="rId1176" ref="C589"/>
    <hyperlink r:id="rId1177" ref="K589"/>
    <hyperlink r:id="rId1178" ref="C590"/>
    <hyperlink r:id="rId1179" ref="K590"/>
    <hyperlink r:id="rId1180" ref="C591"/>
    <hyperlink r:id="rId1181" ref="K591"/>
    <hyperlink r:id="rId1182" ref="C592"/>
    <hyperlink r:id="rId1183" ref="K592"/>
    <hyperlink r:id="rId1184" ref="C593"/>
    <hyperlink r:id="rId1185" ref="K593"/>
    <hyperlink r:id="rId1186" ref="C594"/>
    <hyperlink r:id="rId1187" ref="K594"/>
    <hyperlink r:id="rId1188" ref="C595"/>
    <hyperlink r:id="rId1189" ref="K595"/>
    <hyperlink r:id="rId1190" ref="C596"/>
    <hyperlink r:id="rId1191" ref="K596"/>
    <hyperlink r:id="rId1192" ref="C597"/>
    <hyperlink r:id="rId1193" ref="K597"/>
    <hyperlink r:id="rId1194" ref="C598"/>
    <hyperlink r:id="rId1195" ref="K598"/>
    <hyperlink r:id="rId1196" ref="C599"/>
    <hyperlink r:id="rId1197" ref="K599"/>
    <hyperlink r:id="rId1198" ref="C600"/>
    <hyperlink r:id="rId1199" ref="K600"/>
    <hyperlink r:id="rId1200" ref="C601"/>
    <hyperlink r:id="rId1201" ref="K601"/>
    <hyperlink r:id="rId1202" ref="C602"/>
    <hyperlink r:id="rId1203" ref="K602"/>
    <hyperlink r:id="rId1204" ref="C603"/>
    <hyperlink r:id="rId1205" ref="K603"/>
    <hyperlink r:id="rId1206" ref="C604"/>
    <hyperlink r:id="rId1207" ref="K604"/>
    <hyperlink r:id="rId1208" ref="C605"/>
    <hyperlink r:id="rId1209" ref="K605"/>
    <hyperlink r:id="rId1210" ref="C606"/>
    <hyperlink r:id="rId1211" ref="K606"/>
    <hyperlink r:id="rId1212" ref="C607"/>
    <hyperlink r:id="rId1213" ref="K607"/>
    <hyperlink r:id="rId1214" ref="C608"/>
    <hyperlink r:id="rId1215" ref="K608"/>
    <hyperlink r:id="rId1216" ref="C609"/>
    <hyperlink r:id="rId1217" ref="K609"/>
    <hyperlink r:id="rId1218" ref="C610"/>
    <hyperlink r:id="rId1219" ref="K610"/>
    <hyperlink r:id="rId1220" ref="C611"/>
    <hyperlink r:id="rId1221" ref="K611"/>
    <hyperlink r:id="rId1222" ref="C612"/>
    <hyperlink r:id="rId1223" ref="K612"/>
    <hyperlink r:id="rId1224" ref="C613"/>
    <hyperlink r:id="rId1225" ref="K613"/>
    <hyperlink r:id="rId1226" ref="C614"/>
    <hyperlink r:id="rId1227" ref="K614"/>
    <hyperlink r:id="rId1228" ref="C615"/>
    <hyperlink r:id="rId1229" ref="K615"/>
    <hyperlink r:id="rId1230" ref="C616"/>
    <hyperlink r:id="rId1231" ref="K616"/>
    <hyperlink r:id="rId1232" ref="C617"/>
    <hyperlink r:id="rId1233" ref="K617"/>
    <hyperlink r:id="rId1234" ref="C618"/>
    <hyperlink r:id="rId1235" ref="K618"/>
    <hyperlink r:id="rId1236" ref="C619"/>
    <hyperlink r:id="rId1237" ref="K619"/>
    <hyperlink r:id="rId1238" ref="C620"/>
    <hyperlink r:id="rId1239" ref="K620"/>
    <hyperlink r:id="rId1240" ref="C621"/>
    <hyperlink r:id="rId1241" ref="K621"/>
    <hyperlink r:id="rId1242" ref="C622"/>
    <hyperlink r:id="rId1243" ref="K622"/>
    <hyperlink r:id="rId1244" ref="C623"/>
    <hyperlink r:id="rId1245" ref="K623"/>
    <hyperlink r:id="rId1246" ref="C624"/>
    <hyperlink r:id="rId1247" ref="K624"/>
    <hyperlink r:id="rId1248" ref="C625"/>
    <hyperlink r:id="rId1249" ref="K625"/>
    <hyperlink r:id="rId1250" ref="C626"/>
    <hyperlink r:id="rId1251" ref="K626"/>
    <hyperlink r:id="rId1252" ref="C627"/>
    <hyperlink r:id="rId1253" ref="K627"/>
    <hyperlink r:id="rId1254" ref="C628"/>
    <hyperlink r:id="rId1255" ref="K628"/>
    <hyperlink r:id="rId1256" ref="C629"/>
    <hyperlink r:id="rId1257" ref="K629"/>
    <hyperlink r:id="rId1258" ref="C630"/>
    <hyperlink r:id="rId1259" ref="K630"/>
    <hyperlink r:id="rId1260" ref="C631"/>
    <hyperlink r:id="rId1261" ref="K631"/>
    <hyperlink r:id="rId1262" ref="C632"/>
    <hyperlink r:id="rId1263" ref="K632"/>
    <hyperlink r:id="rId1264" ref="C633"/>
    <hyperlink r:id="rId1265" ref="K633"/>
    <hyperlink r:id="rId1266" ref="C634"/>
    <hyperlink r:id="rId1267" ref="K634"/>
    <hyperlink r:id="rId1268" ref="C635"/>
    <hyperlink r:id="rId1269" ref="K635"/>
    <hyperlink r:id="rId1270" ref="C636"/>
    <hyperlink r:id="rId1271" ref="K636"/>
    <hyperlink r:id="rId1272" ref="C637"/>
    <hyperlink r:id="rId1273" ref="K637"/>
    <hyperlink r:id="rId1274" ref="C638"/>
    <hyperlink r:id="rId1275" ref="K638"/>
    <hyperlink r:id="rId1276" ref="C639"/>
    <hyperlink r:id="rId1277" ref="K639"/>
    <hyperlink r:id="rId1278" ref="C640"/>
    <hyperlink r:id="rId1279" ref="K640"/>
    <hyperlink r:id="rId1280" ref="C641"/>
    <hyperlink r:id="rId1281" ref="K641"/>
    <hyperlink r:id="rId1282" ref="C642"/>
    <hyperlink r:id="rId1283" ref="K642"/>
    <hyperlink r:id="rId1284" ref="C643"/>
    <hyperlink r:id="rId1285" ref="K643"/>
    <hyperlink r:id="rId1286" ref="C644"/>
    <hyperlink r:id="rId1287" ref="K644"/>
    <hyperlink r:id="rId1288" ref="C645"/>
    <hyperlink r:id="rId1289" ref="K645"/>
    <hyperlink r:id="rId1290" ref="C646"/>
    <hyperlink r:id="rId1291" ref="K646"/>
    <hyperlink r:id="rId1292" ref="C647"/>
    <hyperlink r:id="rId1293" ref="K647"/>
    <hyperlink r:id="rId1294" ref="C648"/>
    <hyperlink r:id="rId1295" ref="K648"/>
    <hyperlink r:id="rId1296" ref="C649"/>
    <hyperlink r:id="rId1297" ref="K649"/>
    <hyperlink r:id="rId1298" ref="C650"/>
    <hyperlink r:id="rId1299" ref="K650"/>
    <hyperlink r:id="rId1300" ref="C651"/>
    <hyperlink r:id="rId1301" ref="K651"/>
    <hyperlink r:id="rId1302" ref="C652"/>
    <hyperlink r:id="rId1303" ref="K652"/>
    <hyperlink r:id="rId1304" ref="C653"/>
    <hyperlink r:id="rId1305" ref="K653"/>
    <hyperlink r:id="rId1306" ref="C654"/>
    <hyperlink r:id="rId1307" ref="K654"/>
    <hyperlink r:id="rId1308" ref="C655"/>
    <hyperlink r:id="rId1309" ref="K655"/>
    <hyperlink r:id="rId1310" ref="C656"/>
    <hyperlink r:id="rId1311" ref="K656"/>
    <hyperlink r:id="rId1312" ref="C657"/>
    <hyperlink r:id="rId1313" ref="K657"/>
    <hyperlink r:id="rId1314" ref="C658"/>
    <hyperlink r:id="rId1315" ref="K658"/>
    <hyperlink r:id="rId1316" ref="C659"/>
    <hyperlink r:id="rId1317" ref="K659"/>
    <hyperlink r:id="rId1318" ref="C660"/>
    <hyperlink r:id="rId1319" ref="K660"/>
    <hyperlink r:id="rId1320" ref="C661"/>
    <hyperlink r:id="rId1321" ref="K661"/>
    <hyperlink r:id="rId1322" ref="C662"/>
    <hyperlink r:id="rId1323" ref="K662"/>
    <hyperlink r:id="rId1324" ref="C663"/>
    <hyperlink r:id="rId1325" ref="K663"/>
    <hyperlink r:id="rId1326" ref="C664"/>
    <hyperlink r:id="rId1327" ref="K664"/>
    <hyperlink r:id="rId1328" ref="C665"/>
    <hyperlink r:id="rId1329" ref="K665"/>
    <hyperlink r:id="rId1330" ref="C666"/>
    <hyperlink r:id="rId1331" ref="K666"/>
    <hyperlink r:id="rId1332" ref="C667"/>
    <hyperlink r:id="rId1333" ref="K667"/>
    <hyperlink r:id="rId1334" ref="C668"/>
    <hyperlink r:id="rId1335" ref="K668"/>
    <hyperlink r:id="rId1336" ref="C669"/>
    <hyperlink r:id="rId1337" ref="K669"/>
    <hyperlink r:id="rId1338" ref="C670"/>
    <hyperlink r:id="rId1339" ref="K670"/>
    <hyperlink r:id="rId1340" ref="C671"/>
    <hyperlink r:id="rId1341" ref="K671"/>
    <hyperlink r:id="rId1342" ref="C672"/>
    <hyperlink r:id="rId1343" ref="K672"/>
    <hyperlink r:id="rId1344" ref="C673"/>
    <hyperlink r:id="rId1345" ref="K673"/>
    <hyperlink r:id="rId1346" ref="C674"/>
    <hyperlink r:id="rId1347" ref="K674"/>
    <hyperlink r:id="rId1348" ref="C675"/>
    <hyperlink r:id="rId1349" ref="K675"/>
    <hyperlink r:id="rId1350" ref="C676"/>
    <hyperlink r:id="rId1351" ref="K676"/>
    <hyperlink r:id="rId1352" ref="C677"/>
    <hyperlink r:id="rId1353" ref="K677"/>
    <hyperlink r:id="rId1354" ref="C678"/>
    <hyperlink r:id="rId1355" ref="K678"/>
    <hyperlink r:id="rId1356" ref="C679"/>
    <hyperlink r:id="rId1357" ref="K679"/>
    <hyperlink r:id="rId1358" ref="C680"/>
    <hyperlink r:id="rId1359" ref="K680"/>
    <hyperlink r:id="rId1360" ref="C681"/>
    <hyperlink r:id="rId1361" ref="K681"/>
    <hyperlink r:id="rId1362" ref="C682"/>
    <hyperlink r:id="rId1363" ref="C683"/>
    <hyperlink r:id="rId1364" ref="K683"/>
    <hyperlink r:id="rId1365" ref="C684"/>
    <hyperlink r:id="rId1366" ref="K684"/>
    <hyperlink r:id="rId1367" ref="C685"/>
    <hyperlink r:id="rId1368" ref="K685"/>
    <hyperlink r:id="rId1369" ref="C686"/>
    <hyperlink r:id="rId1370" ref="K686"/>
    <hyperlink r:id="rId1371" ref="C687"/>
    <hyperlink r:id="rId1372" ref="K687"/>
    <hyperlink r:id="rId1373" ref="C688"/>
    <hyperlink r:id="rId1374" ref="K688"/>
    <hyperlink r:id="rId1375" ref="C689"/>
    <hyperlink r:id="rId1376" ref="K689"/>
    <hyperlink r:id="rId1377" ref="C690"/>
    <hyperlink r:id="rId1378" ref="K690"/>
    <hyperlink r:id="rId1379" ref="C691"/>
    <hyperlink r:id="rId1380" ref="K691"/>
    <hyperlink r:id="rId1381" ref="C692"/>
    <hyperlink r:id="rId1382" ref="K692"/>
    <hyperlink r:id="rId1383" ref="C693"/>
    <hyperlink r:id="rId1384" ref="K693"/>
    <hyperlink r:id="rId1385" ref="C694"/>
    <hyperlink r:id="rId1386" ref="K694"/>
    <hyperlink r:id="rId1387" ref="C695"/>
    <hyperlink r:id="rId1388" ref="K695"/>
    <hyperlink r:id="rId1389" ref="C696"/>
    <hyperlink r:id="rId1390" ref="K696"/>
    <hyperlink r:id="rId1391" ref="C697"/>
    <hyperlink r:id="rId1392" ref="K697"/>
    <hyperlink r:id="rId1393" ref="C698"/>
    <hyperlink r:id="rId1394" ref="K698"/>
    <hyperlink r:id="rId1395" ref="C699"/>
    <hyperlink r:id="rId1396" ref="K699"/>
    <hyperlink r:id="rId1397" ref="C700"/>
    <hyperlink r:id="rId1398" ref="K700"/>
    <hyperlink r:id="rId1399" ref="C701"/>
    <hyperlink r:id="rId1400" ref="K701"/>
    <hyperlink r:id="rId1401" ref="C702"/>
    <hyperlink r:id="rId1402" ref="K702"/>
    <hyperlink r:id="rId1403" ref="C703"/>
    <hyperlink r:id="rId1404" ref="K703"/>
    <hyperlink r:id="rId1405" ref="C704"/>
    <hyperlink r:id="rId1406" ref="K704"/>
    <hyperlink r:id="rId1407" ref="C705"/>
    <hyperlink r:id="rId1408" ref="K705"/>
    <hyperlink r:id="rId1409" ref="C706"/>
    <hyperlink r:id="rId1410" ref="K706"/>
    <hyperlink r:id="rId1411" ref="C707"/>
    <hyperlink r:id="rId1412" ref="K707"/>
    <hyperlink r:id="rId1413" ref="C708"/>
    <hyperlink r:id="rId1414" ref="K708"/>
    <hyperlink r:id="rId1415" ref="C709"/>
    <hyperlink r:id="rId1416" ref="K709"/>
    <hyperlink r:id="rId1417" ref="C710"/>
    <hyperlink r:id="rId1418" ref="K710"/>
    <hyperlink r:id="rId1419" ref="C711"/>
    <hyperlink r:id="rId1420" ref="K711"/>
    <hyperlink r:id="rId1421" ref="C712"/>
    <hyperlink r:id="rId1422" ref="K712"/>
    <hyperlink r:id="rId1423" ref="C713"/>
    <hyperlink r:id="rId1424" ref="K713"/>
    <hyperlink r:id="rId1425" ref="C714"/>
    <hyperlink r:id="rId1426" ref="K714"/>
    <hyperlink r:id="rId1427" ref="C715"/>
    <hyperlink r:id="rId1428" ref="K715"/>
    <hyperlink r:id="rId1429" ref="C716"/>
    <hyperlink r:id="rId1430" ref="K716"/>
    <hyperlink r:id="rId1431" ref="C717"/>
    <hyperlink r:id="rId1432" ref="K717"/>
    <hyperlink r:id="rId1433" ref="C718"/>
    <hyperlink r:id="rId1434" ref="K718"/>
    <hyperlink r:id="rId1435" ref="C719"/>
    <hyperlink r:id="rId1436" ref="K719"/>
    <hyperlink r:id="rId1437" ref="C720"/>
    <hyperlink r:id="rId1438" ref="K720"/>
    <hyperlink r:id="rId1439" ref="C721"/>
    <hyperlink r:id="rId1440" ref="K721"/>
    <hyperlink r:id="rId1441" ref="C722"/>
    <hyperlink r:id="rId1442" ref="K722"/>
    <hyperlink r:id="rId1443" ref="C723"/>
    <hyperlink r:id="rId1444" ref="K723"/>
    <hyperlink r:id="rId1445" ref="C724"/>
    <hyperlink r:id="rId1446" ref="K724"/>
    <hyperlink r:id="rId1447" ref="C725"/>
    <hyperlink r:id="rId1448" ref="K725"/>
    <hyperlink r:id="rId1449" ref="C726"/>
    <hyperlink r:id="rId1450" ref="K726"/>
    <hyperlink r:id="rId1451" ref="C727"/>
    <hyperlink r:id="rId1452" ref="K727"/>
    <hyperlink r:id="rId1453" ref="C728"/>
    <hyperlink r:id="rId1454" ref="K728"/>
    <hyperlink r:id="rId1455" ref="C729"/>
    <hyperlink r:id="rId1456" ref="K729"/>
    <hyperlink r:id="rId1457" ref="C730"/>
    <hyperlink r:id="rId1458" ref="K730"/>
    <hyperlink r:id="rId1459" ref="C731"/>
    <hyperlink r:id="rId1460" ref="K731"/>
    <hyperlink r:id="rId1461" ref="C732"/>
    <hyperlink r:id="rId1462" ref="K732"/>
    <hyperlink r:id="rId1463" ref="C733"/>
    <hyperlink r:id="rId1464" ref="K733"/>
    <hyperlink r:id="rId1465" ref="C734"/>
    <hyperlink r:id="rId1466" ref="K734"/>
    <hyperlink r:id="rId1467" ref="C735"/>
    <hyperlink r:id="rId1468" ref="K735"/>
    <hyperlink r:id="rId1469" ref="C736"/>
    <hyperlink r:id="rId1470" ref="K736"/>
    <hyperlink r:id="rId1471" ref="C737"/>
    <hyperlink r:id="rId1472" ref="K737"/>
    <hyperlink r:id="rId1473" ref="C738"/>
    <hyperlink r:id="rId1474" ref="K738"/>
    <hyperlink r:id="rId1475" ref="C739"/>
    <hyperlink r:id="rId1476" ref="K739"/>
    <hyperlink r:id="rId1477" ref="C740"/>
    <hyperlink r:id="rId1478" ref="K740"/>
    <hyperlink r:id="rId1479" ref="C741"/>
    <hyperlink r:id="rId1480" ref="K741"/>
    <hyperlink r:id="rId1481" ref="C742"/>
    <hyperlink r:id="rId1482" ref="K742"/>
    <hyperlink r:id="rId1483" ref="C743"/>
    <hyperlink r:id="rId1484" ref="K743"/>
    <hyperlink r:id="rId1485" ref="C744"/>
    <hyperlink r:id="rId1486" ref="K744"/>
    <hyperlink r:id="rId1487" ref="C745"/>
    <hyperlink r:id="rId1488" ref="K745"/>
    <hyperlink r:id="rId1489" ref="C746"/>
    <hyperlink r:id="rId1490" ref="K746"/>
    <hyperlink r:id="rId1491" ref="C747"/>
    <hyperlink r:id="rId1492" ref="C748"/>
    <hyperlink r:id="rId1493" ref="K748"/>
    <hyperlink r:id="rId1494" ref="C749"/>
    <hyperlink r:id="rId1495" ref="K749"/>
    <hyperlink r:id="rId1496" ref="C750"/>
    <hyperlink r:id="rId1497" ref="K750"/>
    <hyperlink r:id="rId1498" ref="C751"/>
    <hyperlink r:id="rId1499" ref="K751"/>
    <hyperlink r:id="rId1500" ref="C752"/>
    <hyperlink r:id="rId1501" ref="K752"/>
    <hyperlink r:id="rId1502" ref="C753"/>
    <hyperlink r:id="rId1503" ref="K753"/>
    <hyperlink r:id="rId1504" ref="C754"/>
    <hyperlink r:id="rId1505" ref="C755"/>
    <hyperlink r:id="rId1506" ref="K755"/>
    <hyperlink r:id="rId1507" ref="C756"/>
    <hyperlink r:id="rId1508" ref="K756"/>
    <hyperlink r:id="rId1509" ref="C757"/>
    <hyperlink r:id="rId1510" ref="K757"/>
    <hyperlink r:id="rId1511" ref="C758"/>
    <hyperlink r:id="rId1512" ref="K758"/>
    <hyperlink r:id="rId1513" ref="C759"/>
    <hyperlink r:id="rId1514" ref="K759"/>
    <hyperlink r:id="rId1515" ref="C760"/>
    <hyperlink r:id="rId1516" ref="K760"/>
    <hyperlink r:id="rId1517" ref="C761"/>
    <hyperlink r:id="rId1518" ref="K761"/>
    <hyperlink r:id="rId1519" ref="C762"/>
    <hyperlink r:id="rId1520" ref="C763"/>
    <hyperlink r:id="rId1521" ref="K763"/>
    <hyperlink r:id="rId1522" ref="C764"/>
    <hyperlink r:id="rId1523" ref="K764"/>
    <hyperlink r:id="rId1524" ref="C765"/>
    <hyperlink r:id="rId1525" ref="K765"/>
    <hyperlink r:id="rId1526" ref="C766"/>
    <hyperlink r:id="rId1527" ref="K766"/>
    <hyperlink r:id="rId1528" ref="C767"/>
    <hyperlink r:id="rId1529" ref="K767"/>
    <hyperlink r:id="rId1530" ref="C768"/>
    <hyperlink r:id="rId1531" ref="K768"/>
    <hyperlink r:id="rId1532" ref="C769"/>
    <hyperlink r:id="rId1533" ref="K769"/>
    <hyperlink r:id="rId1534" ref="C770"/>
    <hyperlink r:id="rId1535" ref="K770"/>
    <hyperlink r:id="rId1536" ref="C771"/>
    <hyperlink r:id="rId1537" ref="K771"/>
    <hyperlink r:id="rId1538" ref="C772"/>
    <hyperlink r:id="rId1539" ref="K772"/>
    <hyperlink r:id="rId1540" ref="C773"/>
    <hyperlink r:id="rId1541" ref="K773"/>
    <hyperlink r:id="rId1542" ref="C774"/>
    <hyperlink r:id="rId1543" ref="K774"/>
    <hyperlink r:id="rId1544" ref="C775"/>
    <hyperlink r:id="rId1545" ref="K775"/>
    <hyperlink r:id="rId1546" ref="C776"/>
    <hyperlink r:id="rId1547" ref="K776"/>
    <hyperlink r:id="rId1548" ref="C777"/>
    <hyperlink r:id="rId1549" ref="K777"/>
    <hyperlink r:id="rId1550" ref="C778"/>
    <hyperlink r:id="rId1551" ref="K778"/>
    <hyperlink r:id="rId1552" ref="C779"/>
    <hyperlink r:id="rId1553" ref="K779"/>
    <hyperlink r:id="rId1554" ref="C780"/>
    <hyperlink r:id="rId1555" ref="K780"/>
    <hyperlink r:id="rId1556" ref="C781"/>
    <hyperlink r:id="rId1557" ref="K781"/>
    <hyperlink r:id="rId1558" ref="C782"/>
    <hyperlink r:id="rId1559" ref="K782"/>
    <hyperlink r:id="rId1560" ref="C783"/>
    <hyperlink r:id="rId1561" ref="K783"/>
    <hyperlink r:id="rId1562" ref="C784"/>
    <hyperlink r:id="rId1563" ref="K784"/>
    <hyperlink r:id="rId1564" ref="C785"/>
    <hyperlink r:id="rId1565" ref="K785"/>
    <hyperlink r:id="rId1566" ref="C786"/>
    <hyperlink r:id="rId1567" ref="K786"/>
    <hyperlink r:id="rId1568" ref="C787"/>
    <hyperlink r:id="rId1569" ref="K787"/>
    <hyperlink r:id="rId1570" ref="C788"/>
    <hyperlink r:id="rId1571" ref="K788"/>
    <hyperlink r:id="rId1572" ref="C789"/>
    <hyperlink r:id="rId1573" ref="K789"/>
    <hyperlink r:id="rId1574" ref="C790"/>
    <hyperlink r:id="rId1575" ref="K790"/>
    <hyperlink r:id="rId1576" ref="C791"/>
    <hyperlink r:id="rId1577" ref="K791"/>
    <hyperlink r:id="rId1578" ref="C792"/>
    <hyperlink r:id="rId1579" ref="K792"/>
    <hyperlink r:id="rId1580" ref="C793"/>
    <hyperlink r:id="rId1581" ref="K793"/>
    <hyperlink r:id="rId1582" ref="C794"/>
    <hyperlink r:id="rId1583" ref="K794"/>
    <hyperlink r:id="rId1584" ref="C795"/>
    <hyperlink r:id="rId1585" ref="K795"/>
    <hyperlink r:id="rId1586" ref="C796"/>
    <hyperlink r:id="rId1587" ref="K796"/>
    <hyperlink r:id="rId1588" ref="C797"/>
    <hyperlink r:id="rId1589" ref="K797"/>
    <hyperlink r:id="rId1590" ref="C798"/>
    <hyperlink r:id="rId1591" ref="K798"/>
    <hyperlink r:id="rId1592" ref="C799"/>
    <hyperlink r:id="rId1593" ref="K799"/>
    <hyperlink r:id="rId1594" ref="C800"/>
    <hyperlink r:id="rId1595" ref="K800"/>
    <hyperlink r:id="rId1596" ref="C801"/>
    <hyperlink r:id="rId1597" ref="K801"/>
    <hyperlink r:id="rId1598" ref="C802"/>
    <hyperlink r:id="rId1599" ref="K802"/>
    <hyperlink r:id="rId1600" ref="C803"/>
    <hyperlink r:id="rId1601" ref="K803"/>
    <hyperlink r:id="rId1602" ref="C804"/>
    <hyperlink r:id="rId1603" ref="K804"/>
    <hyperlink r:id="rId1604" ref="C805"/>
    <hyperlink r:id="rId1605" ref="K805"/>
    <hyperlink r:id="rId1606" ref="C806"/>
    <hyperlink r:id="rId1607" ref="K806"/>
    <hyperlink r:id="rId1608" ref="C807"/>
    <hyperlink r:id="rId1609" ref="K807"/>
    <hyperlink r:id="rId1610" ref="C808"/>
    <hyperlink r:id="rId1611" ref="K808"/>
    <hyperlink r:id="rId1612" ref="C809"/>
    <hyperlink r:id="rId1613" ref="K809"/>
    <hyperlink r:id="rId1614" ref="C810"/>
    <hyperlink r:id="rId1615" ref="K810"/>
    <hyperlink r:id="rId1616" ref="C811"/>
    <hyperlink r:id="rId1617" ref="K811"/>
    <hyperlink r:id="rId1618" ref="C812"/>
    <hyperlink r:id="rId1619" ref="K812"/>
    <hyperlink r:id="rId1620" ref="C813"/>
    <hyperlink r:id="rId1621" ref="K813"/>
    <hyperlink r:id="rId1622" ref="C814"/>
    <hyperlink r:id="rId1623" ref="K814"/>
    <hyperlink r:id="rId1624" ref="C815"/>
    <hyperlink r:id="rId1625" ref="K815"/>
    <hyperlink r:id="rId1626" ref="C816"/>
    <hyperlink r:id="rId1627" ref="K816"/>
    <hyperlink r:id="rId1628" ref="C817"/>
    <hyperlink r:id="rId1629" ref="K817"/>
    <hyperlink r:id="rId1630" ref="C818"/>
    <hyperlink r:id="rId1631" ref="K818"/>
    <hyperlink r:id="rId1632" ref="C819"/>
    <hyperlink r:id="rId1633" ref="K819"/>
    <hyperlink r:id="rId1634" ref="C820"/>
    <hyperlink r:id="rId1635" ref="K820"/>
    <hyperlink r:id="rId1636" ref="C821"/>
    <hyperlink r:id="rId1637" ref="K821"/>
    <hyperlink r:id="rId1638" ref="C822"/>
    <hyperlink r:id="rId1639" ref="K822"/>
    <hyperlink r:id="rId1640" ref="C823"/>
    <hyperlink r:id="rId1641" ref="K823"/>
    <hyperlink r:id="rId1642" ref="C824"/>
    <hyperlink r:id="rId1643" ref="K824"/>
    <hyperlink r:id="rId1644" ref="C825"/>
    <hyperlink r:id="rId1645" ref="K825"/>
    <hyperlink r:id="rId1646" ref="C826"/>
    <hyperlink r:id="rId1647" ref="K826"/>
    <hyperlink r:id="rId1648" ref="C827"/>
    <hyperlink r:id="rId1649" ref="K827"/>
    <hyperlink r:id="rId1650" ref="C828"/>
    <hyperlink r:id="rId1651" ref="K828"/>
    <hyperlink r:id="rId1652" ref="C829"/>
    <hyperlink r:id="rId1653" ref="K829"/>
    <hyperlink r:id="rId1654" ref="C830"/>
    <hyperlink r:id="rId1655" ref="K830"/>
    <hyperlink r:id="rId1656" ref="C831"/>
    <hyperlink r:id="rId1657" ref="K831"/>
    <hyperlink r:id="rId1658" ref="C832"/>
    <hyperlink r:id="rId1659" ref="K832"/>
    <hyperlink r:id="rId1660" ref="C833"/>
    <hyperlink r:id="rId1661" ref="K833"/>
    <hyperlink r:id="rId1662" ref="C834"/>
    <hyperlink r:id="rId1663" ref="K834"/>
    <hyperlink r:id="rId1664" ref="C835"/>
    <hyperlink r:id="rId1665" ref="K835"/>
    <hyperlink r:id="rId1666" ref="C836"/>
    <hyperlink r:id="rId1667" ref="K836"/>
    <hyperlink r:id="rId1668" ref="C837"/>
    <hyperlink r:id="rId1669" ref="K837"/>
    <hyperlink r:id="rId1670" ref="C838"/>
    <hyperlink r:id="rId1671" ref="K838"/>
    <hyperlink r:id="rId1672" ref="C839"/>
    <hyperlink r:id="rId1673" ref="K839"/>
    <hyperlink r:id="rId1674" ref="C840"/>
    <hyperlink r:id="rId1675" ref="K840"/>
    <hyperlink r:id="rId1676" ref="C841"/>
    <hyperlink r:id="rId1677" ref="K841"/>
    <hyperlink r:id="rId1678" ref="C842"/>
    <hyperlink r:id="rId1679" ref="K842"/>
    <hyperlink r:id="rId1680" ref="C843"/>
    <hyperlink r:id="rId1681" ref="K843"/>
    <hyperlink r:id="rId1682" ref="C844"/>
    <hyperlink r:id="rId1683" ref="K844"/>
    <hyperlink r:id="rId1684" ref="C845"/>
    <hyperlink r:id="rId1685" ref="K845"/>
    <hyperlink r:id="rId1686" ref="C846"/>
    <hyperlink r:id="rId1687" ref="K846"/>
    <hyperlink r:id="rId1688" ref="C847"/>
    <hyperlink r:id="rId1689" ref="K847"/>
    <hyperlink r:id="rId1690" ref="C848"/>
    <hyperlink r:id="rId1691" ref="K848"/>
    <hyperlink r:id="rId1692" ref="C849"/>
    <hyperlink r:id="rId1693" ref="K849"/>
    <hyperlink r:id="rId1694" ref="C850"/>
    <hyperlink r:id="rId1695" ref="K850"/>
    <hyperlink r:id="rId1696" ref="C851"/>
    <hyperlink r:id="rId1697" ref="K851"/>
    <hyperlink r:id="rId1698" ref="C852"/>
    <hyperlink r:id="rId1699" ref="K852"/>
    <hyperlink r:id="rId1700" ref="C853"/>
    <hyperlink r:id="rId1701" ref="K853"/>
    <hyperlink r:id="rId1702" ref="C854"/>
    <hyperlink r:id="rId1703" ref="K854"/>
    <hyperlink r:id="rId1704" ref="C855"/>
    <hyperlink r:id="rId1705" ref="K855"/>
    <hyperlink r:id="rId1706" ref="C856"/>
    <hyperlink r:id="rId1707" ref="K856"/>
    <hyperlink r:id="rId1708" ref="C857"/>
    <hyperlink r:id="rId1709" ref="K857"/>
    <hyperlink r:id="rId1710" ref="C858"/>
    <hyperlink r:id="rId1711" ref="K858"/>
    <hyperlink r:id="rId1712" ref="C859"/>
    <hyperlink r:id="rId1713" ref="K859"/>
    <hyperlink r:id="rId1714" ref="C860"/>
    <hyperlink r:id="rId1715" ref="K860"/>
    <hyperlink r:id="rId1716" ref="C861"/>
    <hyperlink r:id="rId1717" ref="K861"/>
    <hyperlink r:id="rId1718" ref="C862"/>
    <hyperlink r:id="rId1719" ref="K862"/>
    <hyperlink r:id="rId1720" ref="C863"/>
    <hyperlink r:id="rId1721" ref="K863"/>
    <hyperlink r:id="rId1722" ref="C864"/>
    <hyperlink r:id="rId1723" ref="K864"/>
    <hyperlink r:id="rId1724" ref="C865"/>
    <hyperlink r:id="rId1725" ref="K865"/>
    <hyperlink r:id="rId1726" ref="C866"/>
    <hyperlink r:id="rId1727" ref="K866"/>
    <hyperlink r:id="rId1728" ref="C867"/>
    <hyperlink r:id="rId1729" ref="K867"/>
    <hyperlink r:id="rId1730" ref="C868"/>
    <hyperlink r:id="rId1731" ref="K868"/>
    <hyperlink r:id="rId1732" ref="C869"/>
    <hyperlink r:id="rId1733" ref="K869"/>
    <hyperlink r:id="rId1734" ref="C870"/>
    <hyperlink r:id="rId1735" ref="K870"/>
    <hyperlink r:id="rId1736" ref="C871"/>
    <hyperlink r:id="rId1737" ref="K871"/>
    <hyperlink r:id="rId1738" ref="C872"/>
    <hyperlink r:id="rId1739" ref="K872"/>
    <hyperlink r:id="rId1740" ref="C873"/>
    <hyperlink r:id="rId1741" ref="K873"/>
    <hyperlink r:id="rId1742" ref="C874"/>
    <hyperlink r:id="rId1743" ref="K874"/>
    <hyperlink r:id="rId1744" ref="C875"/>
    <hyperlink r:id="rId1745" ref="K875"/>
    <hyperlink r:id="rId1746" ref="C876"/>
    <hyperlink r:id="rId1747" ref="K876"/>
    <hyperlink r:id="rId1748" ref="C877"/>
    <hyperlink r:id="rId1749" ref="K877"/>
    <hyperlink r:id="rId1750" ref="C878"/>
    <hyperlink r:id="rId1751" ref="K878"/>
    <hyperlink r:id="rId1752" ref="C879"/>
    <hyperlink r:id="rId1753" ref="K879"/>
    <hyperlink r:id="rId1754" ref="C880"/>
    <hyperlink r:id="rId1755" ref="K880"/>
    <hyperlink r:id="rId1756" ref="C881"/>
    <hyperlink r:id="rId1757" ref="K881"/>
    <hyperlink r:id="rId1758" ref="C882"/>
    <hyperlink r:id="rId1759" ref="K882"/>
    <hyperlink r:id="rId1760" ref="C883"/>
    <hyperlink r:id="rId1761" ref="K883"/>
    <hyperlink r:id="rId1762" ref="C884"/>
    <hyperlink r:id="rId1763" ref="K884"/>
    <hyperlink r:id="rId1764" ref="C885"/>
    <hyperlink r:id="rId1765" ref="K885"/>
    <hyperlink r:id="rId1766" ref="C886"/>
    <hyperlink r:id="rId1767" ref="K886"/>
    <hyperlink r:id="rId1768" ref="C887"/>
    <hyperlink r:id="rId1769" ref="K887"/>
    <hyperlink r:id="rId1770" ref="C888"/>
    <hyperlink r:id="rId1771" ref="K888"/>
    <hyperlink r:id="rId1772" ref="C889"/>
    <hyperlink r:id="rId1773" ref="K889"/>
    <hyperlink r:id="rId1774" ref="C890"/>
    <hyperlink r:id="rId1775" ref="K890"/>
    <hyperlink r:id="rId1776" ref="C891"/>
    <hyperlink r:id="rId1777" ref="K891"/>
    <hyperlink r:id="rId1778" ref="C892"/>
    <hyperlink r:id="rId1779" ref="K892"/>
    <hyperlink r:id="rId1780" ref="C893"/>
    <hyperlink r:id="rId1781" ref="K893"/>
    <hyperlink r:id="rId1782" ref="C894"/>
    <hyperlink r:id="rId1783" ref="K894"/>
    <hyperlink r:id="rId1784" ref="C895"/>
    <hyperlink r:id="rId1785" ref="K895"/>
    <hyperlink r:id="rId1786" ref="C896"/>
    <hyperlink r:id="rId1787" ref="K896"/>
    <hyperlink r:id="rId1788" ref="C897"/>
    <hyperlink r:id="rId1789" ref="K897"/>
    <hyperlink r:id="rId1790" ref="C898"/>
    <hyperlink r:id="rId1791" ref="K898"/>
    <hyperlink r:id="rId1792" ref="C899"/>
    <hyperlink r:id="rId1793" ref="K899"/>
    <hyperlink r:id="rId1794" ref="C900"/>
    <hyperlink r:id="rId1795" ref="K900"/>
    <hyperlink r:id="rId1796" ref="C901"/>
    <hyperlink r:id="rId1797" ref="K901"/>
    <hyperlink r:id="rId1798" ref="C902"/>
    <hyperlink r:id="rId1799" ref="K902"/>
    <hyperlink r:id="rId1800" ref="C903"/>
    <hyperlink r:id="rId1801" ref="K903"/>
    <hyperlink r:id="rId1802" ref="C904"/>
    <hyperlink r:id="rId1803" ref="K904"/>
    <hyperlink r:id="rId1804" ref="C905"/>
    <hyperlink r:id="rId1805" ref="K905"/>
    <hyperlink r:id="rId1806" ref="C906"/>
    <hyperlink r:id="rId1807" ref="K906"/>
    <hyperlink r:id="rId1808" ref="C907"/>
    <hyperlink r:id="rId1809" ref="K907"/>
    <hyperlink r:id="rId1810" ref="C908"/>
    <hyperlink r:id="rId1811" ref="K908"/>
    <hyperlink r:id="rId1812" ref="C909"/>
    <hyperlink r:id="rId1813" ref="K909"/>
    <hyperlink r:id="rId1814" ref="C911"/>
    <hyperlink r:id="rId1815" ref="K911"/>
    <hyperlink r:id="rId1816" ref="C912"/>
    <hyperlink r:id="rId1817" ref="K912"/>
    <hyperlink r:id="rId1818" ref="C913"/>
    <hyperlink r:id="rId1819" ref="K913"/>
    <hyperlink r:id="rId1820" ref="C915"/>
    <hyperlink r:id="rId1821" ref="K915"/>
    <hyperlink r:id="rId1822" ref="C916"/>
    <hyperlink r:id="rId1823" ref="K916"/>
    <hyperlink r:id="rId1824" ref="C919"/>
    <hyperlink r:id="rId1825" ref="K919"/>
    <hyperlink r:id="rId1826" ref="C920"/>
    <hyperlink r:id="rId1827" ref="K920"/>
    <hyperlink r:id="rId1828" ref="C925"/>
    <hyperlink r:id="rId1829" ref="K925"/>
    <hyperlink r:id="rId1830" ref="C926"/>
    <hyperlink r:id="rId1831" ref="K926"/>
    <hyperlink r:id="rId1832" ref="C927"/>
    <hyperlink r:id="rId1833" ref="K927"/>
    <hyperlink r:id="rId1834" ref="C932"/>
    <hyperlink r:id="rId1835" ref="K932"/>
    <hyperlink r:id="rId1836" ref="C937"/>
    <hyperlink r:id="rId1837" ref="K937"/>
    <hyperlink r:id="rId1838" ref="C938"/>
    <hyperlink r:id="rId1839" ref="K938"/>
    <hyperlink r:id="rId1840" ref="C939"/>
    <hyperlink r:id="rId1841" ref="K939"/>
    <hyperlink r:id="rId1842" ref="C940"/>
    <hyperlink r:id="rId1843" ref="K940"/>
    <hyperlink r:id="rId1844" ref="C941"/>
    <hyperlink r:id="rId1845" ref="K941"/>
    <hyperlink r:id="rId1846" ref="C942"/>
    <hyperlink r:id="rId1847" ref="K942"/>
    <hyperlink r:id="rId1848" ref="C943"/>
    <hyperlink r:id="rId1849" ref="K943"/>
    <hyperlink r:id="rId1850" ref="C944"/>
    <hyperlink r:id="rId1851" ref="K944"/>
    <hyperlink r:id="rId1852" ref="C945"/>
    <hyperlink r:id="rId1853" ref="K945"/>
    <hyperlink r:id="rId1854" ref="C946"/>
    <hyperlink r:id="rId1855" ref="K946"/>
    <hyperlink r:id="rId1856" ref="C947"/>
    <hyperlink r:id="rId1857" ref="K947"/>
    <hyperlink r:id="rId1858" ref="C948"/>
    <hyperlink r:id="rId1859" ref="K948"/>
    <hyperlink r:id="rId1860" ref="C949"/>
    <hyperlink r:id="rId1861" ref="K949"/>
    <hyperlink r:id="rId1862" ref="C950"/>
    <hyperlink r:id="rId1863" ref="K950"/>
    <hyperlink r:id="rId1864" ref="C951"/>
    <hyperlink r:id="rId1865" ref="K951"/>
    <hyperlink r:id="rId1866" ref="C952"/>
    <hyperlink r:id="rId1867" ref="K952"/>
    <hyperlink r:id="rId1868" ref="C953"/>
    <hyperlink r:id="rId1869" ref="K953"/>
    <hyperlink r:id="rId1870" ref="C954"/>
    <hyperlink r:id="rId1871" ref="K954"/>
    <hyperlink r:id="rId1872" ref="C955"/>
    <hyperlink r:id="rId1873" ref="K955"/>
    <hyperlink r:id="rId1874" ref="C956"/>
    <hyperlink r:id="rId1875" ref="K956"/>
    <hyperlink r:id="rId1876" ref="C957"/>
    <hyperlink r:id="rId1877" ref="K957"/>
    <hyperlink r:id="rId1878" ref="C958"/>
    <hyperlink r:id="rId1879" ref="K958"/>
    <hyperlink r:id="rId1880" ref="C959"/>
    <hyperlink r:id="rId1881" ref="K959"/>
    <hyperlink r:id="rId1882" ref="C960"/>
    <hyperlink r:id="rId1883" ref="K960"/>
    <hyperlink r:id="rId1884" ref="C961"/>
    <hyperlink r:id="rId1885" ref="K961"/>
    <hyperlink r:id="rId1886" ref="C962"/>
    <hyperlink r:id="rId1887" ref="K962"/>
    <hyperlink r:id="rId1888" ref="C963"/>
    <hyperlink r:id="rId1889" ref="K963"/>
    <hyperlink r:id="rId1890" ref="C964"/>
    <hyperlink r:id="rId1891" ref="K964"/>
    <hyperlink r:id="rId1892" ref="C965"/>
    <hyperlink r:id="rId1893" ref="K965"/>
    <hyperlink r:id="rId1894" ref="C966"/>
    <hyperlink r:id="rId1895" ref="K966"/>
    <hyperlink r:id="rId1896" ref="C967"/>
    <hyperlink r:id="rId1897" ref="K967"/>
    <hyperlink r:id="rId1898" ref="C968"/>
    <hyperlink r:id="rId1899" ref="K968"/>
    <hyperlink r:id="rId1900" ref="C969"/>
    <hyperlink r:id="rId1901" ref="K969"/>
    <hyperlink r:id="rId1902" ref="C971"/>
    <hyperlink r:id="rId1903" ref="K971"/>
    <hyperlink r:id="rId1904" ref="C977"/>
    <hyperlink r:id="rId1905" ref="K977"/>
    <hyperlink r:id="rId1906" ref="C978"/>
    <hyperlink r:id="rId1907" ref="K978"/>
    <hyperlink r:id="rId1908" ref="C979"/>
    <hyperlink r:id="rId1909" ref="K979"/>
    <hyperlink r:id="rId1910" ref="C980"/>
    <hyperlink r:id="rId1911" ref="K980"/>
    <hyperlink r:id="rId1912" ref="C984"/>
    <hyperlink r:id="rId1913" ref="K984"/>
    <hyperlink r:id="rId1914" ref="C985"/>
    <hyperlink r:id="rId1915" ref="K985"/>
    <hyperlink r:id="rId1916" ref="C988"/>
    <hyperlink r:id="rId1917" ref="K988"/>
    <hyperlink r:id="rId1918" ref="C989"/>
    <hyperlink r:id="rId1919" ref="K989"/>
    <hyperlink r:id="rId1920" ref="C990"/>
    <hyperlink r:id="rId1921" ref="K990"/>
    <hyperlink r:id="rId1922" ref="C991"/>
    <hyperlink r:id="rId1923" ref="K991"/>
    <hyperlink r:id="rId1924" ref="C992"/>
    <hyperlink r:id="rId1925" ref="K992"/>
    <hyperlink r:id="rId1926" ref="C993"/>
    <hyperlink r:id="rId1927" ref="K993"/>
    <hyperlink r:id="rId1928" ref="C994"/>
    <hyperlink r:id="rId1929" ref="K994"/>
    <hyperlink r:id="rId1930" ref="C995"/>
    <hyperlink r:id="rId1931" ref="K995"/>
    <hyperlink r:id="rId1932" ref="C996"/>
    <hyperlink r:id="rId1933" ref="K996"/>
    <hyperlink r:id="rId1934" ref="C997"/>
    <hyperlink r:id="rId1935" ref="K997"/>
    <hyperlink r:id="rId1936" ref="C998"/>
    <hyperlink r:id="rId1937" ref="K998"/>
    <hyperlink r:id="rId1938" ref="C999"/>
    <hyperlink r:id="rId1939" ref="K999"/>
    <hyperlink r:id="rId1940" ref="C1000"/>
    <hyperlink r:id="rId1941" ref="K1000"/>
    <hyperlink r:id="rId1942" ref="C1001"/>
    <hyperlink r:id="rId1943" ref="K1001"/>
    <hyperlink r:id="rId1944" ref="C1002"/>
    <hyperlink r:id="rId1945" ref="K1002"/>
    <hyperlink r:id="rId1946" ref="C1003"/>
    <hyperlink r:id="rId1947" ref="K1003"/>
    <hyperlink r:id="rId1948" ref="C1004"/>
    <hyperlink r:id="rId1949" ref="K1004"/>
    <hyperlink r:id="rId1950" ref="C1005"/>
    <hyperlink r:id="rId1951" ref="K1005"/>
    <hyperlink r:id="rId1952" ref="C1006"/>
    <hyperlink r:id="rId1953" ref="K1006"/>
    <hyperlink r:id="rId1954" ref="C1007"/>
    <hyperlink r:id="rId1955" ref="K1007"/>
    <hyperlink r:id="rId1956" ref="C1008"/>
    <hyperlink r:id="rId1957" ref="K1008"/>
    <hyperlink r:id="rId1958" ref="C1009"/>
    <hyperlink r:id="rId1959" ref="K1009"/>
    <hyperlink r:id="rId1960" ref="C1010"/>
    <hyperlink r:id="rId1961" ref="K1010"/>
    <hyperlink r:id="rId1962" ref="C1011"/>
    <hyperlink r:id="rId1963" ref="K1011"/>
    <hyperlink r:id="rId1964" ref="C1012"/>
    <hyperlink r:id="rId1965" ref="K1012"/>
    <hyperlink r:id="rId1966" ref="C1013"/>
    <hyperlink r:id="rId1967" ref="K1013"/>
    <hyperlink r:id="rId1968" ref="C1014"/>
    <hyperlink r:id="rId1969" ref="K1014"/>
    <hyperlink r:id="rId1970" ref="C1015"/>
    <hyperlink r:id="rId1971" ref="K1015"/>
    <hyperlink r:id="rId1972" ref="C1016"/>
    <hyperlink r:id="rId1973" ref="K1016"/>
    <hyperlink r:id="rId1974" ref="C1017"/>
    <hyperlink r:id="rId1975" ref="K1017"/>
    <hyperlink r:id="rId1976" ref="C1018"/>
    <hyperlink r:id="rId1977" ref="K1018"/>
    <hyperlink r:id="rId1978" ref="C1019"/>
    <hyperlink r:id="rId1979" ref="K1019"/>
    <hyperlink r:id="rId1980" ref="C1020"/>
    <hyperlink r:id="rId1981" ref="K1020"/>
    <hyperlink r:id="rId1982" ref="C1021"/>
    <hyperlink r:id="rId1983" ref="K1021"/>
    <hyperlink r:id="rId1984" ref="C1022"/>
    <hyperlink r:id="rId1985" ref="K1022"/>
    <hyperlink r:id="rId1986" ref="C1023"/>
    <hyperlink r:id="rId1987" ref="K1023"/>
    <hyperlink r:id="rId1988" ref="C1024"/>
    <hyperlink r:id="rId1989" ref="K1024"/>
    <hyperlink r:id="rId1990" ref="C1029"/>
    <hyperlink r:id="rId1991" ref="K1029"/>
    <hyperlink r:id="rId1992" ref="C1030"/>
    <hyperlink r:id="rId1993" ref="K1030"/>
    <hyperlink r:id="rId1994" ref="C1036"/>
    <hyperlink r:id="rId1995" ref="K1036"/>
    <hyperlink r:id="rId1996" ref="C1039"/>
    <hyperlink r:id="rId1997" ref="K1039"/>
    <hyperlink r:id="rId1998" ref="C1040"/>
    <hyperlink r:id="rId1999" ref="K1040"/>
    <hyperlink r:id="rId2000" ref="C1041"/>
    <hyperlink r:id="rId2001" ref="K1041"/>
    <hyperlink r:id="rId2002" ref="C1042"/>
    <hyperlink r:id="rId2003" ref="K1042"/>
    <hyperlink r:id="rId2004" ref="C1043"/>
    <hyperlink r:id="rId2005" ref="K1043"/>
    <hyperlink r:id="rId2006" ref="C1044"/>
    <hyperlink r:id="rId2007" ref="K1044"/>
    <hyperlink r:id="rId2008" ref="C1045"/>
    <hyperlink r:id="rId2009" ref="K1045"/>
    <hyperlink r:id="rId2010" ref="C1046"/>
    <hyperlink r:id="rId2011" ref="K1046"/>
    <hyperlink r:id="rId2012" ref="C1047"/>
    <hyperlink r:id="rId2013" ref="K1047"/>
    <hyperlink r:id="rId2014" ref="C1048"/>
    <hyperlink r:id="rId2015" ref="K1048"/>
    <hyperlink r:id="rId2016" ref="C1049"/>
    <hyperlink r:id="rId2017" ref="K1049"/>
    <hyperlink r:id="rId2018" ref="C1050"/>
    <hyperlink r:id="rId2019" ref="K1050"/>
    <hyperlink r:id="rId2020" ref="C1051"/>
    <hyperlink r:id="rId2021" ref="K1051"/>
    <hyperlink r:id="rId2022" ref="C1052"/>
    <hyperlink r:id="rId2023" ref="K1052"/>
    <hyperlink r:id="rId2024" ref="C1053"/>
    <hyperlink r:id="rId2025" ref="K1053"/>
    <hyperlink r:id="rId2026" ref="C1054"/>
    <hyperlink r:id="rId2027" ref="K1054"/>
    <hyperlink r:id="rId2028" ref="C1055"/>
    <hyperlink r:id="rId2029" ref="K1055"/>
    <hyperlink r:id="rId2030" ref="C1056"/>
    <hyperlink r:id="rId2031" ref="K1056"/>
    <hyperlink r:id="rId2032" ref="C1057"/>
    <hyperlink r:id="rId2033" ref="K1057"/>
    <hyperlink r:id="rId2034" ref="C1058"/>
    <hyperlink r:id="rId2035" ref="K1058"/>
    <hyperlink r:id="rId2036" ref="C1059"/>
    <hyperlink r:id="rId2037" ref="K1059"/>
    <hyperlink r:id="rId2038" ref="C1060"/>
    <hyperlink r:id="rId2039" ref="K1060"/>
    <hyperlink r:id="rId2040" ref="C1061"/>
    <hyperlink r:id="rId2041" ref="K1061"/>
    <hyperlink r:id="rId2042" ref="C1062"/>
    <hyperlink r:id="rId2043" ref="K1062"/>
    <hyperlink r:id="rId2044" ref="C1063"/>
    <hyperlink r:id="rId2045" ref="K1063"/>
    <hyperlink r:id="rId2046" ref="C1065"/>
    <hyperlink r:id="rId2047" ref="K1065"/>
    <hyperlink r:id="rId2048" ref="C1068"/>
    <hyperlink r:id="rId2049" ref="K1068"/>
    <hyperlink r:id="rId2050" ref="C1075"/>
    <hyperlink r:id="rId2051" ref="K1075"/>
    <hyperlink r:id="rId2052" ref="C1081"/>
    <hyperlink r:id="rId2053" ref="K1081"/>
    <hyperlink r:id="rId2054" ref="C1082"/>
    <hyperlink r:id="rId2055" ref="K1082"/>
    <hyperlink r:id="rId2056" ref="C1088"/>
    <hyperlink r:id="rId2057" ref="K1088"/>
    <hyperlink r:id="rId2058" ref="C1091"/>
    <hyperlink r:id="rId2059" ref="K1091"/>
    <hyperlink r:id="rId2060" ref="C1092"/>
    <hyperlink r:id="rId2061" ref="K1092"/>
    <hyperlink r:id="rId2062" ref="C1093"/>
    <hyperlink r:id="rId2063" ref="K1093"/>
    <hyperlink r:id="rId2064" ref="C1094"/>
    <hyperlink r:id="rId2065" ref="K1094"/>
    <hyperlink r:id="rId2066" ref="C1095"/>
    <hyperlink r:id="rId2067" ref="K1095"/>
    <hyperlink r:id="rId2068" ref="C1096"/>
    <hyperlink r:id="rId2069" ref="K1096"/>
    <hyperlink r:id="rId2070" ref="C1097"/>
    <hyperlink r:id="rId2071" ref="K1097"/>
    <hyperlink r:id="rId2072" ref="C1098"/>
    <hyperlink r:id="rId2073" ref="K1098"/>
    <hyperlink r:id="rId2074" ref="C1099"/>
    <hyperlink r:id="rId2075" ref="K1099"/>
    <hyperlink r:id="rId2076" ref="C1100"/>
    <hyperlink r:id="rId2077" ref="K1100"/>
    <hyperlink r:id="rId2078" ref="C1101"/>
    <hyperlink r:id="rId2079" ref="K1101"/>
    <hyperlink r:id="rId2080" ref="C1102"/>
    <hyperlink r:id="rId2081" ref="K1102"/>
    <hyperlink r:id="rId2082" ref="C1103"/>
    <hyperlink r:id="rId2083" ref="K1103"/>
    <hyperlink r:id="rId2084" ref="C1104"/>
    <hyperlink r:id="rId2085" ref="K1104"/>
    <hyperlink r:id="rId2086" ref="C1105"/>
    <hyperlink r:id="rId2087" ref="K1105"/>
    <hyperlink r:id="rId2088" ref="C1106"/>
    <hyperlink r:id="rId2089" ref="K1106"/>
    <hyperlink r:id="rId2090" ref="C1107"/>
    <hyperlink r:id="rId2091" ref="K1107"/>
    <hyperlink r:id="rId2092" ref="C1108"/>
    <hyperlink r:id="rId2093" ref="K1108"/>
    <hyperlink r:id="rId2094" ref="C1109"/>
    <hyperlink r:id="rId2095" ref="K1109"/>
    <hyperlink r:id="rId2096" ref="C1110"/>
    <hyperlink r:id="rId2097" ref="K1110"/>
    <hyperlink r:id="rId2098" ref="C1111"/>
    <hyperlink r:id="rId2099" ref="K1111"/>
    <hyperlink r:id="rId2100" ref="C1112"/>
    <hyperlink r:id="rId2101" ref="K1112"/>
    <hyperlink r:id="rId2102" ref="C1113"/>
    <hyperlink r:id="rId2103" ref="K1113"/>
    <hyperlink r:id="rId2104" ref="C1114"/>
    <hyperlink r:id="rId2105" ref="K1114"/>
    <hyperlink r:id="rId2106" ref="C1115"/>
    <hyperlink r:id="rId2107" ref="K1115"/>
    <hyperlink r:id="rId2108" ref="C1116"/>
    <hyperlink r:id="rId2109" ref="K1116"/>
    <hyperlink r:id="rId2110" ref="C1117"/>
    <hyperlink r:id="rId2111" ref="K1117"/>
    <hyperlink r:id="rId2112" ref="C1119"/>
    <hyperlink r:id="rId2113" ref="K1119"/>
    <hyperlink r:id="rId2114" ref="C1120"/>
    <hyperlink r:id="rId2115" ref="K1120"/>
    <hyperlink r:id="rId2116" ref="C1125"/>
    <hyperlink r:id="rId2117" ref="K1125"/>
    <hyperlink r:id="rId2118" ref="C1126"/>
    <hyperlink r:id="rId2119" ref="K1126"/>
    <hyperlink r:id="rId2120" ref="C1128"/>
    <hyperlink r:id="rId2121" ref="K1128"/>
    <hyperlink r:id="rId2122" ref="C1129"/>
    <hyperlink r:id="rId2123" ref="K1129"/>
    <hyperlink r:id="rId2124" ref="C1130"/>
    <hyperlink r:id="rId2125" ref="K1130"/>
    <hyperlink r:id="rId2126" ref="C1132"/>
    <hyperlink r:id="rId2127" ref="K1132"/>
    <hyperlink r:id="rId2128" ref="C1133"/>
    <hyperlink r:id="rId2129" ref="K1133"/>
    <hyperlink r:id="rId2130" ref="C1134"/>
    <hyperlink r:id="rId2131" ref="K1134"/>
    <hyperlink r:id="rId2132" ref="C1135"/>
    <hyperlink r:id="rId2133" ref="K1135"/>
    <hyperlink r:id="rId2134" ref="C1140"/>
    <hyperlink r:id="rId2135" ref="K1140"/>
    <hyperlink r:id="rId2136" ref="C1142"/>
    <hyperlink r:id="rId2137" ref="K1142"/>
    <hyperlink r:id="rId2138" ref="C1143"/>
    <hyperlink r:id="rId2139" ref="K1143"/>
    <hyperlink r:id="rId2140" ref="C1144"/>
    <hyperlink r:id="rId2141" ref="K1144"/>
    <hyperlink r:id="rId2142" ref="C1145"/>
    <hyperlink r:id="rId2143" ref="K1145"/>
    <hyperlink r:id="rId2144" ref="C1146"/>
    <hyperlink r:id="rId2145" ref="K1146"/>
    <hyperlink r:id="rId2146" ref="C1147"/>
    <hyperlink r:id="rId2147" ref="K1147"/>
    <hyperlink r:id="rId2148" ref="C1148"/>
    <hyperlink r:id="rId2149" ref="K1148"/>
    <hyperlink r:id="rId2150" ref="C1149"/>
    <hyperlink r:id="rId2151" ref="K1149"/>
    <hyperlink r:id="rId2152" ref="C1150"/>
    <hyperlink r:id="rId2153" ref="K1150"/>
    <hyperlink r:id="rId2154" ref="C1151"/>
    <hyperlink r:id="rId2155" ref="K1151"/>
    <hyperlink r:id="rId2156" ref="C1152"/>
    <hyperlink r:id="rId2157" ref="K1152"/>
    <hyperlink r:id="rId2158" ref="C1153"/>
    <hyperlink r:id="rId2159" ref="K1153"/>
    <hyperlink r:id="rId2160" ref="C1154"/>
    <hyperlink r:id="rId2161" ref="K1154"/>
    <hyperlink r:id="rId2162" ref="C1155"/>
    <hyperlink r:id="rId2163" ref="K1155"/>
    <hyperlink r:id="rId2164" ref="C1156"/>
    <hyperlink r:id="rId2165" ref="K1156"/>
    <hyperlink r:id="rId2166" ref="C1157"/>
    <hyperlink r:id="rId2167" ref="K1157"/>
    <hyperlink r:id="rId2168" ref="C1158"/>
    <hyperlink r:id="rId2169" ref="K1158"/>
    <hyperlink r:id="rId2170" ref="C1159"/>
    <hyperlink r:id="rId2171" ref="K1159"/>
    <hyperlink r:id="rId2172" ref="C1160"/>
    <hyperlink r:id="rId2173" ref="K1160"/>
    <hyperlink r:id="rId2174" ref="C1161"/>
    <hyperlink r:id="rId2175" ref="K1161"/>
    <hyperlink r:id="rId2176" ref="C1162"/>
    <hyperlink r:id="rId2177" ref="K1162"/>
    <hyperlink r:id="rId2178" ref="C1163"/>
    <hyperlink r:id="rId2179" ref="K1163"/>
    <hyperlink r:id="rId2180" ref="C1164"/>
    <hyperlink r:id="rId2181" ref="K1164"/>
    <hyperlink r:id="rId2182" ref="C1165"/>
    <hyperlink r:id="rId2183" ref="K1165"/>
    <hyperlink r:id="rId2184" ref="C1166"/>
    <hyperlink r:id="rId2185" ref="K1166"/>
    <hyperlink r:id="rId2186" ref="C1167"/>
    <hyperlink r:id="rId2187" ref="K1167"/>
    <hyperlink r:id="rId2188" ref="C1168"/>
    <hyperlink r:id="rId2189" ref="K1168"/>
    <hyperlink r:id="rId2190" ref="C1169"/>
    <hyperlink r:id="rId2191" ref="K1169"/>
    <hyperlink r:id="rId2192" ref="C1170"/>
    <hyperlink r:id="rId2193" ref="K1170"/>
    <hyperlink r:id="rId2194" ref="C1171"/>
    <hyperlink r:id="rId2195" ref="K1171"/>
    <hyperlink r:id="rId2196" ref="C1172"/>
    <hyperlink r:id="rId2197" ref="K1172"/>
    <hyperlink r:id="rId2198" ref="C1173"/>
    <hyperlink r:id="rId2199" ref="K1173"/>
    <hyperlink r:id="rId2200" ref="C1174"/>
    <hyperlink r:id="rId2201" ref="K1174"/>
    <hyperlink r:id="rId2202" ref="C1175"/>
    <hyperlink r:id="rId2203" ref="K1175"/>
    <hyperlink r:id="rId2204" ref="C1176"/>
    <hyperlink r:id="rId2205" ref="K1176"/>
    <hyperlink r:id="rId2206" ref="C1177"/>
    <hyperlink r:id="rId2207" ref="K1177"/>
    <hyperlink r:id="rId2208" ref="C1178"/>
    <hyperlink r:id="rId2209" ref="K1178"/>
    <hyperlink r:id="rId2210" ref="C1180"/>
    <hyperlink r:id="rId2211" ref="K1180"/>
    <hyperlink r:id="rId2212" ref="C1181"/>
    <hyperlink r:id="rId2213" ref="K1181"/>
    <hyperlink r:id="rId2214" ref="C1182"/>
    <hyperlink r:id="rId2215" ref="K1182"/>
    <hyperlink r:id="rId2216" ref="C1183"/>
    <hyperlink r:id="rId2217" ref="K1183"/>
    <hyperlink r:id="rId2218" ref="C1184"/>
    <hyperlink r:id="rId2219" ref="K1184"/>
    <hyperlink r:id="rId2220" ref="C1185"/>
    <hyperlink r:id="rId2221" ref="K1185"/>
    <hyperlink r:id="rId2222" ref="C1186"/>
    <hyperlink r:id="rId2223" ref="K1186"/>
    <hyperlink r:id="rId2224" ref="C1187"/>
    <hyperlink r:id="rId2225" ref="K1187"/>
    <hyperlink r:id="rId2226" ref="C1188"/>
    <hyperlink r:id="rId2227" ref="K1188"/>
    <hyperlink r:id="rId2228" ref="C1189"/>
    <hyperlink r:id="rId2229" ref="K1189"/>
    <hyperlink r:id="rId2230" ref="C1190"/>
    <hyperlink r:id="rId2231" ref="K1190"/>
    <hyperlink r:id="rId2232" ref="C1192"/>
    <hyperlink r:id="rId2233" ref="K1192"/>
    <hyperlink r:id="rId2234" ref="C1194"/>
    <hyperlink r:id="rId2235" ref="K1194"/>
    <hyperlink r:id="rId2236" ref="C1195"/>
    <hyperlink r:id="rId2237" ref="K1195"/>
    <hyperlink r:id="rId2238" ref="C1196"/>
    <hyperlink r:id="rId2239" ref="K1196"/>
    <hyperlink r:id="rId2240" ref="C1197"/>
    <hyperlink r:id="rId2241" ref="K1197"/>
    <hyperlink r:id="rId2242" ref="C1198"/>
    <hyperlink r:id="rId2243" ref="K1198"/>
    <hyperlink r:id="rId2244" ref="C1199"/>
    <hyperlink r:id="rId2245" ref="K1199"/>
    <hyperlink r:id="rId2246" ref="C1200"/>
    <hyperlink r:id="rId2247" ref="K1200"/>
    <hyperlink r:id="rId2248" ref="C1201"/>
    <hyperlink r:id="rId2249" ref="K1201"/>
    <hyperlink r:id="rId2250" ref="C1202"/>
    <hyperlink r:id="rId2251" ref="K1202"/>
    <hyperlink r:id="rId2252" ref="C1203"/>
    <hyperlink r:id="rId2253" ref="K1203"/>
    <hyperlink r:id="rId2254" ref="C1204"/>
    <hyperlink r:id="rId2255" ref="K1204"/>
    <hyperlink r:id="rId2256" ref="C1205"/>
    <hyperlink r:id="rId2257" ref="K1205"/>
    <hyperlink r:id="rId2258" ref="C1206"/>
    <hyperlink r:id="rId2259" ref="K1206"/>
    <hyperlink r:id="rId2260" ref="C1207"/>
    <hyperlink r:id="rId2261" ref="K1207"/>
    <hyperlink r:id="rId2262" ref="C1208"/>
    <hyperlink r:id="rId2263" ref="K1208"/>
    <hyperlink r:id="rId2264" ref="C1209"/>
    <hyperlink r:id="rId2265" ref="K1209"/>
    <hyperlink r:id="rId2266" ref="C1210"/>
    <hyperlink r:id="rId2267" ref="K1210"/>
    <hyperlink r:id="rId2268" ref="C1211"/>
    <hyperlink r:id="rId2269" ref="K1211"/>
    <hyperlink r:id="rId2270" ref="C1212"/>
    <hyperlink r:id="rId2271" ref="K1212"/>
    <hyperlink r:id="rId2272" ref="C1213"/>
    <hyperlink r:id="rId2273" ref="K1213"/>
    <hyperlink r:id="rId2274" ref="C1214"/>
    <hyperlink r:id="rId2275" ref="K1214"/>
    <hyperlink r:id="rId2276" ref="C1215"/>
    <hyperlink r:id="rId2277" ref="K1215"/>
    <hyperlink r:id="rId2278" ref="C1216"/>
    <hyperlink r:id="rId2279" ref="K1216"/>
    <hyperlink r:id="rId2280" ref="C1217"/>
    <hyperlink r:id="rId2281" ref="K1217"/>
    <hyperlink r:id="rId2282" ref="C1218"/>
    <hyperlink r:id="rId2283" ref="K1218"/>
    <hyperlink r:id="rId2284" ref="C1219"/>
    <hyperlink r:id="rId2285" ref="K1219"/>
    <hyperlink r:id="rId2286" ref="C1220"/>
    <hyperlink r:id="rId2287" ref="K1220"/>
    <hyperlink r:id="rId2288" ref="C1221"/>
    <hyperlink r:id="rId2289" ref="K1221"/>
    <hyperlink r:id="rId2290" ref="C1223"/>
    <hyperlink r:id="rId2291" ref="K1223"/>
    <hyperlink r:id="rId2292" ref="C1224"/>
    <hyperlink r:id="rId2293" ref="K1224"/>
    <hyperlink r:id="rId2294" ref="C1225"/>
    <hyperlink r:id="rId2295" ref="K1225"/>
    <hyperlink r:id="rId2296" ref="C1226"/>
    <hyperlink r:id="rId2297" ref="K1226"/>
    <hyperlink r:id="rId2298" ref="C1229"/>
    <hyperlink r:id="rId2299" ref="K1229"/>
    <hyperlink r:id="rId2300" ref="C1231"/>
    <hyperlink r:id="rId2301" ref="K1231"/>
    <hyperlink r:id="rId2302" ref="C1232"/>
    <hyperlink r:id="rId2303" ref="K1232"/>
    <hyperlink r:id="rId2304" ref="C1237"/>
    <hyperlink r:id="rId2305" ref="K1237"/>
    <hyperlink r:id="rId2306" ref="C1238"/>
    <hyperlink r:id="rId2307" ref="K1238"/>
    <hyperlink r:id="rId2308" ref="C1244"/>
    <hyperlink r:id="rId2309" ref="K1244"/>
    <hyperlink r:id="rId2310" ref="C1245"/>
    <hyperlink r:id="rId2311" ref="K1245"/>
    <hyperlink r:id="rId2312" ref="C1248"/>
    <hyperlink r:id="rId2313" ref="K1248"/>
    <hyperlink r:id="rId2314" ref="C1249"/>
    <hyperlink r:id="rId2315" ref="K1249"/>
    <hyperlink r:id="rId2316" ref="C1250"/>
    <hyperlink r:id="rId2317" ref="K1250"/>
    <hyperlink r:id="rId2318" ref="C1251"/>
    <hyperlink r:id="rId2319" ref="K1251"/>
    <hyperlink r:id="rId2320" ref="C1252"/>
    <hyperlink r:id="rId2321" ref="K1252"/>
    <hyperlink r:id="rId2322" ref="C1253"/>
    <hyperlink r:id="rId2323" ref="K1253"/>
    <hyperlink r:id="rId2324" ref="C1254"/>
    <hyperlink r:id="rId2325" ref="K1254"/>
    <hyperlink r:id="rId2326" ref="C1255"/>
    <hyperlink r:id="rId2327" ref="K1255"/>
    <hyperlink r:id="rId2328" ref="C1256"/>
    <hyperlink r:id="rId2329" ref="K1256"/>
    <hyperlink r:id="rId2330" ref="C1257"/>
    <hyperlink r:id="rId2331" ref="K1257"/>
    <hyperlink r:id="rId2332" ref="C1258"/>
    <hyperlink r:id="rId2333" ref="K1258"/>
    <hyperlink r:id="rId2334" ref="C1259"/>
    <hyperlink r:id="rId2335" ref="K1259"/>
    <hyperlink r:id="rId2336" ref="C1260"/>
    <hyperlink r:id="rId2337" ref="K1260"/>
    <hyperlink r:id="rId2338" ref="C1261"/>
    <hyperlink r:id="rId2339" ref="K1261"/>
    <hyperlink r:id="rId2340" ref="C1262"/>
    <hyperlink r:id="rId2341" ref="K1262"/>
    <hyperlink r:id="rId2342" ref="C1263"/>
    <hyperlink r:id="rId2343" ref="K1263"/>
    <hyperlink r:id="rId2344" ref="C1264"/>
    <hyperlink r:id="rId2345" ref="K1264"/>
    <hyperlink r:id="rId2346" ref="C1265"/>
    <hyperlink r:id="rId2347" ref="K1265"/>
    <hyperlink r:id="rId2348" ref="C1266"/>
    <hyperlink r:id="rId2349" ref="K1266"/>
    <hyperlink r:id="rId2350" ref="C1267"/>
    <hyperlink r:id="rId2351" ref="K1267"/>
    <hyperlink r:id="rId2352" ref="C1268"/>
    <hyperlink r:id="rId2353" ref="K1268"/>
    <hyperlink r:id="rId2354" ref="C1269"/>
    <hyperlink r:id="rId2355" ref="K1269"/>
    <hyperlink r:id="rId2356" ref="C1270"/>
    <hyperlink r:id="rId2357" ref="K1270"/>
    <hyperlink r:id="rId2358" ref="C1271"/>
    <hyperlink r:id="rId2359" ref="K1271"/>
    <hyperlink r:id="rId2360" ref="C1272"/>
    <hyperlink r:id="rId2361" ref="K1272"/>
    <hyperlink r:id="rId2362" ref="C1276"/>
    <hyperlink r:id="rId2363" ref="K1276"/>
    <hyperlink r:id="rId2364" ref="C1283"/>
    <hyperlink r:id="rId2365" ref="K1283"/>
    <hyperlink r:id="rId2366" ref="C1286"/>
    <hyperlink r:id="rId2367" ref="K1286"/>
    <hyperlink r:id="rId2368" ref="C1289"/>
    <hyperlink r:id="rId2369" ref="K1289"/>
    <hyperlink r:id="rId2370" ref="C1290"/>
    <hyperlink r:id="rId2371" ref="K1290"/>
    <hyperlink r:id="rId2372" ref="C1296"/>
    <hyperlink r:id="rId2373" ref="K1296"/>
    <hyperlink r:id="rId2374" ref="C1300"/>
    <hyperlink r:id="rId2375" ref="K1300"/>
    <hyperlink r:id="rId2376" ref="C1301"/>
    <hyperlink r:id="rId2377" ref="K1301"/>
    <hyperlink r:id="rId2378" ref="C1302"/>
    <hyperlink r:id="rId2379" ref="K1302"/>
    <hyperlink r:id="rId2380" ref="C1303"/>
    <hyperlink r:id="rId2381" ref="K1303"/>
    <hyperlink r:id="rId2382" ref="C1304"/>
    <hyperlink r:id="rId2383" ref="K1304"/>
    <hyperlink r:id="rId2384" ref="C1305"/>
    <hyperlink r:id="rId2385" ref="K1305"/>
    <hyperlink r:id="rId2386" ref="C1306"/>
    <hyperlink r:id="rId2387" ref="K1306"/>
    <hyperlink r:id="rId2388" ref="C1307"/>
    <hyperlink r:id="rId2389" ref="K1307"/>
    <hyperlink r:id="rId2390" ref="C1308"/>
    <hyperlink r:id="rId2391" ref="K1308"/>
    <hyperlink r:id="rId2392" ref="C1309"/>
    <hyperlink r:id="rId2393" ref="K1309"/>
    <hyperlink r:id="rId2394" ref="C1310"/>
    <hyperlink r:id="rId2395" ref="K1310"/>
    <hyperlink r:id="rId2396" ref="C1311"/>
    <hyperlink r:id="rId2397" ref="K1311"/>
    <hyperlink r:id="rId2398" ref="C1312"/>
    <hyperlink r:id="rId2399" ref="K1312"/>
    <hyperlink r:id="rId2400" ref="C1313"/>
    <hyperlink r:id="rId2401" ref="K1313"/>
    <hyperlink r:id="rId2402" ref="C1314"/>
    <hyperlink r:id="rId2403" ref="K1314"/>
    <hyperlink r:id="rId2404" ref="C1315"/>
    <hyperlink r:id="rId2405" ref="K1315"/>
    <hyperlink r:id="rId2406" ref="C1316"/>
    <hyperlink r:id="rId2407" ref="K1316"/>
    <hyperlink r:id="rId2408" ref="C1317"/>
    <hyperlink r:id="rId2409" ref="K1317"/>
    <hyperlink r:id="rId2410" ref="C1318"/>
    <hyperlink r:id="rId2411" ref="K1318"/>
    <hyperlink r:id="rId2412" ref="C1319"/>
    <hyperlink r:id="rId2413" ref="K1319"/>
    <hyperlink r:id="rId2414" ref="C1320"/>
    <hyperlink r:id="rId2415" ref="K1320"/>
    <hyperlink r:id="rId2416" ref="C1321"/>
    <hyperlink r:id="rId2417" ref="K1321"/>
    <hyperlink r:id="rId2418" ref="C1322"/>
    <hyperlink r:id="rId2419" ref="K1322"/>
    <hyperlink r:id="rId2420" ref="C1323"/>
    <hyperlink r:id="rId2421" ref="K1323"/>
    <hyperlink r:id="rId2422" ref="C1324"/>
    <hyperlink r:id="rId2423" ref="K1324"/>
    <hyperlink r:id="rId2424" ref="C1325"/>
    <hyperlink r:id="rId2425" ref="K1325"/>
    <hyperlink r:id="rId2426" ref="C1326"/>
    <hyperlink r:id="rId2427" ref="K1326"/>
    <hyperlink r:id="rId2428" ref="C1327"/>
    <hyperlink r:id="rId2429" ref="K1327"/>
    <hyperlink r:id="rId2430" ref="C1328"/>
    <hyperlink r:id="rId2431" ref="K1328"/>
    <hyperlink r:id="rId2432" ref="C1329"/>
    <hyperlink r:id="rId2433" ref="K1329"/>
    <hyperlink r:id="rId2434" ref="C1330"/>
    <hyperlink r:id="rId2435" ref="K1330"/>
    <hyperlink r:id="rId2436" ref="C1331"/>
    <hyperlink r:id="rId2437" ref="K1331"/>
    <hyperlink r:id="rId2438" ref="C1332"/>
    <hyperlink r:id="rId2439" ref="K1332"/>
    <hyperlink r:id="rId2440" ref="C1333"/>
    <hyperlink r:id="rId2441" ref="K1333"/>
    <hyperlink r:id="rId2442" ref="C1334"/>
    <hyperlink r:id="rId2443" ref="K1334"/>
    <hyperlink r:id="rId2444" ref="C1335"/>
    <hyperlink r:id="rId2445" ref="K1335"/>
    <hyperlink r:id="rId2446" ref="C1336"/>
    <hyperlink r:id="rId2447" ref="K1336"/>
    <hyperlink r:id="rId2448" ref="C1337"/>
    <hyperlink r:id="rId2449" ref="K1337"/>
    <hyperlink r:id="rId2450" ref="C1338"/>
    <hyperlink r:id="rId2451" ref="K1338"/>
    <hyperlink r:id="rId2452" ref="C1339"/>
    <hyperlink r:id="rId2453" ref="K1339"/>
    <hyperlink r:id="rId2454" ref="C1340"/>
    <hyperlink r:id="rId2455" ref="K1340"/>
    <hyperlink r:id="rId2456" ref="C1341"/>
    <hyperlink r:id="rId2457" ref="K1341"/>
    <hyperlink r:id="rId2458" ref="C1342"/>
    <hyperlink r:id="rId2459" ref="K1342"/>
    <hyperlink r:id="rId2460" ref="C1343"/>
    <hyperlink r:id="rId2461" ref="K1343"/>
    <hyperlink r:id="rId2462" ref="C1344"/>
    <hyperlink r:id="rId2463" ref="K1344"/>
    <hyperlink r:id="rId2464" ref="C1345"/>
    <hyperlink r:id="rId2465" ref="K1345"/>
    <hyperlink r:id="rId2466" ref="C1346"/>
    <hyperlink r:id="rId2467" ref="K1346"/>
    <hyperlink r:id="rId2468" ref="C1347"/>
    <hyperlink r:id="rId2469" ref="K1347"/>
    <hyperlink r:id="rId2470" ref="C1348"/>
    <hyperlink r:id="rId2471" ref="K1348"/>
    <hyperlink r:id="rId2472" ref="C1349"/>
    <hyperlink r:id="rId2473" ref="K1349"/>
    <hyperlink r:id="rId2474" ref="C1350"/>
    <hyperlink r:id="rId2475" ref="K1350"/>
    <hyperlink r:id="rId2476" ref="C1351"/>
    <hyperlink r:id="rId2477" ref="K1351"/>
    <hyperlink r:id="rId2478" ref="C1352"/>
    <hyperlink r:id="rId2479" ref="K1352"/>
    <hyperlink r:id="rId2480" ref="C1353"/>
    <hyperlink r:id="rId2481" ref="K1353"/>
    <hyperlink r:id="rId2482" ref="C1354"/>
    <hyperlink r:id="rId2483" ref="K1354"/>
    <hyperlink r:id="rId2484" ref="C1355"/>
    <hyperlink r:id="rId2485" ref="K1355"/>
    <hyperlink r:id="rId2486" ref="C1356"/>
    <hyperlink r:id="rId2487" ref="K1356"/>
    <hyperlink r:id="rId2488" ref="C1357"/>
    <hyperlink r:id="rId2489" ref="K1357"/>
    <hyperlink r:id="rId2490" ref="C1358"/>
    <hyperlink r:id="rId2491" ref="K1358"/>
    <hyperlink r:id="rId2492" ref="C1359"/>
    <hyperlink r:id="rId2493" ref="K1359"/>
    <hyperlink r:id="rId2494" ref="C1360"/>
    <hyperlink r:id="rId2495" ref="K1360"/>
    <hyperlink r:id="rId2496" ref="C1361"/>
    <hyperlink r:id="rId2497" ref="K1361"/>
    <hyperlink r:id="rId2498" ref="C1362"/>
    <hyperlink r:id="rId2499" ref="K1362"/>
    <hyperlink r:id="rId2500" ref="C1363"/>
    <hyperlink r:id="rId2501" ref="K1363"/>
    <hyperlink r:id="rId2502" ref="C1364"/>
    <hyperlink r:id="rId2503" ref="K1364"/>
    <hyperlink r:id="rId2504" ref="C1365"/>
    <hyperlink r:id="rId2505" ref="K1365"/>
    <hyperlink r:id="rId2506" ref="C1366"/>
    <hyperlink r:id="rId2507" ref="K1366"/>
    <hyperlink r:id="rId2508" ref="C1367"/>
    <hyperlink r:id="rId2509" ref="K1367"/>
    <hyperlink r:id="rId2510" ref="C1368"/>
    <hyperlink r:id="rId2511" ref="K1368"/>
    <hyperlink r:id="rId2512" ref="C1369"/>
    <hyperlink r:id="rId2513" ref="K1369"/>
    <hyperlink r:id="rId2514" ref="C1370"/>
    <hyperlink r:id="rId2515" ref="K1370"/>
    <hyperlink r:id="rId2516" ref="C1372"/>
    <hyperlink r:id="rId2517" ref="K1372"/>
    <hyperlink r:id="rId2518" ref="C1374"/>
    <hyperlink r:id="rId2519" ref="K1374"/>
    <hyperlink r:id="rId2520" ref="C1376"/>
    <hyperlink r:id="rId2521" ref="K1376"/>
    <hyperlink r:id="rId2522" ref="C1377"/>
    <hyperlink r:id="rId2523" ref="K1377"/>
    <hyperlink r:id="rId2524" ref="C1380"/>
    <hyperlink r:id="rId2525" ref="K1380"/>
    <hyperlink r:id="rId2526" ref="C1387"/>
    <hyperlink r:id="rId2527" ref="K1387"/>
    <hyperlink r:id="rId2528" ref="C1388"/>
    <hyperlink r:id="rId2529" ref="K1388"/>
    <hyperlink r:id="rId2530" ref="C1393"/>
    <hyperlink r:id="rId2531" ref="K1393"/>
    <hyperlink r:id="rId2532" ref="C1394"/>
    <hyperlink r:id="rId2533" ref="K1394"/>
    <hyperlink r:id="rId2534" ref="C1395"/>
    <hyperlink r:id="rId2535" ref="K1395"/>
    <hyperlink r:id="rId2536" ref="C1400"/>
    <hyperlink r:id="rId2537" ref="K1400"/>
    <hyperlink r:id="rId2538" ref="C1404"/>
    <hyperlink r:id="rId2539" ref="K1404"/>
    <hyperlink r:id="rId2540" ref="C1457"/>
    <hyperlink r:id="rId2541" ref="K1457"/>
    <hyperlink r:id="rId2542" ref="C1458"/>
    <hyperlink r:id="rId2543" ref="K1458"/>
    <hyperlink r:id="rId2544" ref="C1459"/>
    <hyperlink r:id="rId2545" ref="K1459"/>
    <hyperlink r:id="rId2546" ref="C1460"/>
    <hyperlink r:id="rId2547" ref="K1460"/>
    <hyperlink r:id="rId2548" ref="C1461"/>
    <hyperlink r:id="rId2549" ref="K1461"/>
    <hyperlink r:id="rId2550" ref="C1462"/>
    <hyperlink r:id="rId2551" ref="K1462"/>
    <hyperlink r:id="rId2552" ref="C1463"/>
    <hyperlink r:id="rId2553" ref="K1463"/>
    <hyperlink r:id="rId2554" ref="C1464"/>
    <hyperlink r:id="rId2555" ref="K1464"/>
    <hyperlink r:id="rId2556" ref="C1465"/>
    <hyperlink r:id="rId2557" ref="K1465"/>
    <hyperlink r:id="rId2558" ref="C1466"/>
    <hyperlink r:id="rId2559" ref="K1466"/>
    <hyperlink r:id="rId2560" ref="C1467"/>
    <hyperlink r:id="rId2561" ref="K1467"/>
    <hyperlink r:id="rId2562" ref="C1468"/>
    <hyperlink r:id="rId2563" ref="K1468"/>
    <hyperlink r:id="rId2564" ref="C1469"/>
    <hyperlink r:id="rId2565" ref="K1469"/>
    <hyperlink r:id="rId2566" ref="C1470"/>
    <hyperlink r:id="rId2567" ref="K1470"/>
    <hyperlink r:id="rId2568" ref="C1471"/>
    <hyperlink r:id="rId2569" ref="K1471"/>
    <hyperlink r:id="rId2570" ref="C1472"/>
    <hyperlink r:id="rId2571" ref="K1472"/>
    <hyperlink r:id="rId2572" ref="C1473"/>
    <hyperlink r:id="rId2573" ref="K1473"/>
    <hyperlink r:id="rId2574" ref="C1474"/>
    <hyperlink r:id="rId2575" ref="K1474"/>
    <hyperlink r:id="rId2576" ref="C1475"/>
    <hyperlink r:id="rId2577" ref="K1475"/>
    <hyperlink r:id="rId2578" ref="C1477"/>
    <hyperlink r:id="rId2579" ref="K1477"/>
    <hyperlink r:id="rId2580" ref="C1478"/>
    <hyperlink r:id="rId2581" ref="K1478"/>
    <hyperlink r:id="rId2582" ref="C1479"/>
    <hyperlink r:id="rId2583" ref="K1479"/>
    <hyperlink r:id="rId2584" ref="C1480"/>
    <hyperlink r:id="rId2585" ref="K1480"/>
    <hyperlink r:id="rId2586" ref="C1481"/>
    <hyperlink r:id="rId2587" ref="K1481"/>
    <hyperlink r:id="rId2588" ref="C1482"/>
    <hyperlink r:id="rId2589" ref="K1482"/>
    <hyperlink r:id="rId2590" ref="C1484"/>
    <hyperlink r:id="rId2591" ref="K1484"/>
    <hyperlink r:id="rId2592" ref="C1491"/>
    <hyperlink r:id="rId2593" ref="K1491"/>
    <hyperlink r:id="rId2594" ref="C1497"/>
    <hyperlink r:id="rId2595" ref="K1497"/>
    <hyperlink r:id="rId2596" ref="C1498"/>
    <hyperlink r:id="rId2597" ref="K1498"/>
    <hyperlink r:id="rId2598" ref="C1501"/>
    <hyperlink r:id="rId2599" ref="K1501"/>
    <hyperlink r:id="rId2600" ref="C1504"/>
    <hyperlink r:id="rId2601" ref="K1504"/>
    <hyperlink r:id="rId2602" ref="C1508"/>
    <hyperlink r:id="rId2603" ref="K1508"/>
    <hyperlink r:id="rId2604" ref="C1509"/>
    <hyperlink r:id="rId2605" ref="K1509"/>
    <hyperlink r:id="rId2606" ref="C1510"/>
    <hyperlink r:id="rId2607" ref="K1510"/>
    <hyperlink r:id="rId2608" ref="C1511"/>
    <hyperlink r:id="rId2609" ref="K1511"/>
    <hyperlink r:id="rId2610" ref="C1512"/>
    <hyperlink r:id="rId2611" ref="K1512"/>
    <hyperlink r:id="rId2612" ref="C1513"/>
    <hyperlink r:id="rId2613" ref="K1513"/>
    <hyperlink r:id="rId2614" ref="C1514"/>
    <hyperlink r:id="rId2615" ref="K1514"/>
    <hyperlink r:id="rId2616" ref="C1515"/>
    <hyperlink r:id="rId2617" ref="K1515"/>
    <hyperlink r:id="rId2618" ref="C1516"/>
    <hyperlink r:id="rId2619" ref="K1516"/>
    <hyperlink r:id="rId2620" ref="C1517"/>
    <hyperlink r:id="rId2621" ref="C1518"/>
    <hyperlink r:id="rId2622" ref="K1518"/>
    <hyperlink r:id="rId2623" ref="C1519"/>
    <hyperlink r:id="rId2624" ref="K1519"/>
    <hyperlink r:id="rId2625" ref="C1520"/>
    <hyperlink r:id="rId2626" ref="K1520"/>
    <hyperlink r:id="rId2627" ref="C1521"/>
    <hyperlink r:id="rId2628" ref="K1521"/>
    <hyperlink r:id="rId2629" ref="C1522"/>
    <hyperlink r:id="rId2630" ref="K1522"/>
    <hyperlink r:id="rId2631" ref="C1523"/>
    <hyperlink r:id="rId2632" ref="K1523"/>
    <hyperlink r:id="rId2633" ref="C1524"/>
    <hyperlink r:id="rId2634" ref="K1524"/>
    <hyperlink r:id="rId2635" ref="C1525"/>
    <hyperlink r:id="rId2636" ref="K1525"/>
    <hyperlink r:id="rId2637" ref="C1527"/>
    <hyperlink r:id="rId2638" ref="K1527"/>
    <hyperlink r:id="rId2639" ref="C1528"/>
    <hyperlink r:id="rId2640" ref="K1528"/>
    <hyperlink r:id="rId2641" ref="C1530"/>
    <hyperlink r:id="rId2642" ref="K1530"/>
    <hyperlink r:id="rId2643" ref="C1536"/>
    <hyperlink r:id="rId2644" ref="K1536"/>
    <hyperlink r:id="rId2645" ref="C1539"/>
    <hyperlink r:id="rId2646" ref="K1539"/>
    <hyperlink r:id="rId2647" ref="C1541"/>
    <hyperlink r:id="rId2648" ref="K1541"/>
    <hyperlink r:id="rId2649" ref="C1542"/>
    <hyperlink r:id="rId2650" ref="K1542"/>
    <hyperlink r:id="rId2651" ref="C1543"/>
    <hyperlink r:id="rId2652" ref="K1543"/>
    <hyperlink r:id="rId2653" ref="C1551"/>
    <hyperlink r:id="rId2654" ref="K1551"/>
    <hyperlink r:id="rId2655" ref="C1556"/>
    <hyperlink r:id="rId2656" ref="K1556"/>
    <hyperlink r:id="rId2657" ref="C1557"/>
    <hyperlink r:id="rId2658" ref="K1557"/>
    <hyperlink r:id="rId2659" ref="C1560"/>
    <hyperlink r:id="rId2660" ref="K1560"/>
    <hyperlink r:id="rId2661" ref="C1561"/>
    <hyperlink r:id="rId2662" ref="K1561"/>
    <hyperlink r:id="rId2663" ref="C1562"/>
    <hyperlink r:id="rId2664" ref="K1562"/>
    <hyperlink r:id="rId2665" ref="C1563"/>
    <hyperlink r:id="rId2666" ref="K1563"/>
    <hyperlink r:id="rId2667" ref="C1564"/>
    <hyperlink r:id="rId2668" ref="K1564"/>
    <hyperlink r:id="rId2669" ref="C1565"/>
    <hyperlink r:id="rId2670" ref="K1565"/>
    <hyperlink r:id="rId2671" ref="C1566"/>
    <hyperlink r:id="rId2672" ref="K1566"/>
    <hyperlink r:id="rId2673" ref="C1567"/>
    <hyperlink r:id="rId2674" ref="K1567"/>
    <hyperlink r:id="rId2675" ref="C1568"/>
    <hyperlink r:id="rId2676" ref="K1568"/>
    <hyperlink r:id="rId2677" ref="C1569"/>
    <hyperlink r:id="rId2678" ref="K1569"/>
    <hyperlink r:id="rId2679" ref="C1570"/>
    <hyperlink r:id="rId2680" ref="K1570"/>
    <hyperlink r:id="rId2681" ref="C1571"/>
    <hyperlink r:id="rId2682" ref="K1571"/>
    <hyperlink r:id="rId2683" ref="C1572"/>
    <hyperlink r:id="rId2684" ref="K1572"/>
    <hyperlink r:id="rId2685" ref="C1573"/>
    <hyperlink r:id="rId2686" ref="K1573"/>
    <hyperlink r:id="rId2687" ref="C1574"/>
    <hyperlink r:id="rId2688" ref="K1574"/>
    <hyperlink r:id="rId2689" ref="C1575"/>
    <hyperlink r:id="rId2690" ref="K1575"/>
    <hyperlink r:id="rId2691" ref="C1576"/>
    <hyperlink r:id="rId2692" ref="K1576"/>
    <hyperlink r:id="rId2693" ref="C1577"/>
    <hyperlink r:id="rId2694" ref="K1577"/>
    <hyperlink r:id="rId2695" ref="C1578"/>
    <hyperlink r:id="rId2696" ref="K1578"/>
    <hyperlink r:id="rId2697" ref="C1579"/>
    <hyperlink r:id="rId2698" ref="K1579"/>
    <hyperlink r:id="rId2699" ref="C1580"/>
    <hyperlink r:id="rId2700" ref="K1580"/>
    <hyperlink r:id="rId2701" ref="C1581"/>
    <hyperlink r:id="rId2702" ref="K1581"/>
    <hyperlink r:id="rId2703" ref="C1582"/>
    <hyperlink r:id="rId2704" ref="K1582"/>
    <hyperlink r:id="rId2705" ref="C1583"/>
    <hyperlink r:id="rId2706" ref="K1583"/>
    <hyperlink r:id="rId2707" ref="C1584"/>
    <hyperlink r:id="rId2708" ref="K1584"/>
    <hyperlink r:id="rId2709" ref="C1585"/>
    <hyperlink r:id="rId2710" ref="K1585"/>
    <hyperlink r:id="rId2711" ref="C1586"/>
    <hyperlink r:id="rId2712" ref="K1586"/>
    <hyperlink r:id="rId2713" ref="C1587"/>
    <hyperlink r:id="rId2714" ref="K1587"/>
    <hyperlink r:id="rId2715" ref="C1588"/>
    <hyperlink r:id="rId2716" ref="K1588"/>
    <hyperlink r:id="rId2717" ref="C1589"/>
    <hyperlink r:id="rId2718" ref="K1589"/>
    <hyperlink r:id="rId2719" ref="C1590"/>
    <hyperlink r:id="rId2720" ref="K1590"/>
    <hyperlink r:id="rId2721" ref="C1591"/>
    <hyperlink r:id="rId2722" ref="K1591"/>
    <hyperlink r:id="rId2723" ref="C1592"/>
    <hyperlink r:id="rId2724" ref="K1592"/>
    <hyperlink r:id="rId2725" ref="C1593"/>
    <hyperlink r:id="rId2726" ref="K1593"/>
    <hyperlink r:id="rId2727" ref="C1594"/>
    <hyperlink r:id="rId2728" ref="K1594"/>
    <hyperlink r:id="rId2729" ref="C1595"/>
    <hyperlink r:id="rId2730" ref="K1595"/>
    <hyperlink r:id="rId2731" ref="C1596"/>
    <hyperlink r:id="rId2732" ref="K1596"/>
    <hyperlink r:id="rId2733" ref="C1597"/>
    <hyperlink r:id="rId2734" ref="K1597"/>
    <hyperlink r:id="rId2735" ref="C1598"/>
    <hyperlink r:id="rId2736" ref="K1598"/>
    <hyperlink r:id="rId2737" ref="C1599"/>
    <hyperlink r:id="rId2738" ref="K1599"/>
    <hyperlink r:id="rId2739" ref="C1601"/>
    <hyperlink r:id="rId2740" ref="K1601"/>
    <hyperlink r:id="rId2741" ref="C1602"/>
    <hyperlink r:id="rId2742" ref="K1602"/>
    <hyperlink r:id="rId2743" ref="C1606"/>
    <hyperlink r:id="rId2744" ref="K1606"/>
    <hyperlink r:id="rId2745" ref="C1608"/>
    <hyperlink r:id="rId2746" ref="K1608"/>
    <hyperlink r:id="rId2747" ref="C1609"/>
    <hyperlink r:id="rId2748" ref="K1609"/>
    <hyperlink r:id="rId2749" ref="C1610"/>
    <hyperlink r:id="rId2750" ref="K1610"/>
    <hyperlink r:id="rId2751" ref="C1612"/>
    <hyperlink r:id="rId2752" ref="K1612"/>
    <hyperlink r:id="rId2753" ref="C1613"/>
    <hyperlink r:id="rId2754" ref="K1613"/>
    <hyperlink r:id="rId2755" ref="C1614"/>
    <hyperlink r:id="rId2756" ref="K1614"/>
    <hyperlink r:id="rId2757" ref="C1615"/>
    <hyperlink r:id="rId2758" ref="K1615"/>
    <hyperlink r:id="rId2759" ref="C1616"/>
    <hyperlink r:id="rId2760" ref="K1616"/>
    <hyperlink r:id="rId2761" ref="C1617"/>
    <hyperlink r:id="rId2762" ref="K1617"/>
    <hyperlink r:id="rId2763" ref="C1618"/>
    <hyperlink r:id="rId2764" ref="K1618"/>
    <hyperlink r:id="rId2765" ref="C1619"/>
    <hyperlink r:id="rId2766" ref="K1619"/>
    <hyperlink r:id="rId2767" ref="C1620"/>
    <hyperlink r:id="rId2768" ref="K1620"/>
    <hyperlink r:id="rId2769" ref="C1621"/>
    <hyperlink r:id="rId2770" ref="K1621"/>
    <hyperlink r:id="rId2771" ref="C1622"/>
    <hyperlink r:id="rId2772" ref="K1622"/>
    <hyperlink r:id="rId2773" ref="C1623"/>
    <hyperlink r:id="rId2774" ref="K1623"/>
    <hyperlink r:id="rId2775" ref="C1624"/>
    <hyperlink r:id="rId2776" ref="K1624"/>
    <hyperlink r:id="rId2777" ref="C1625"/>
    <hyperlink r:id="rId2778" ref="K1625"/>
    <hyperlink r:id="rId2779" ref="C1626"/>
    <hyperlink r:id="rId2780" ref="K1626"/>
    <hyperlink r:id="rId2781" ref="C1627"/>
    <hyperlink r:id="rId2782" ref="K1627"/>
    <hyperlink r:id="rId2783" ref="C1628"/>
    <hyperlink r:id="rId2784" ref="K1628"/>
    <hyperlink r:id="rId2785" ref="C1629"/>
    <hyperlink r:id="rId2786" ref="K1629"/>
    <hyperlink r:id="rId2787" ref="C1630"/>
    <hyperlink r:id="rId2788" ref="K1630"/>
    <hyperlink r:id="rId2789" ref="C1631"/>
    <hyperlink r:id="rId2790" ref="K1631"/>
    <hyperlink r:id="rId2791" ref="C1632"/>
    <hyperlink r:id="rId2792" ref="K1632"/>
    <hyperlink r:id="rId2793" ref="C1633"/>
    <hyperlink r:id="rId2794" ref="K1633"/>
    <hyperlink r:id="rId2795" ref="C1634"/>
    <hyperlink r:id="rId2796" ref="K1634"/>
    <hyperlink r:id="rId2797" ref="C1635"/>
    <hyperlink r:id="rId2798" ref="K1635"/>
    <hyperlink r:id="rId2799" ref="C1636"/>
    <hyperlink r:id="rId2800" ref="K1636"/>
    <hyperlink r:id="rId2801" ref="C1637"/>
    <hyperlink r:id="rId2802" ref="K1637"/>
    <hyperlink r:id="rId2803" ref="C1638"/>
    <hyperlink r:id="rId2804" ref="K1638"/>
    <hyperlink r:id="rId2805" ref="C1639"/>
    <hyperlink r:id="rId2806" ref="K1639"/>
    <hyperlink r:id="rId2807" ref="C1640"/>
    <hyperlink r:id="rId2808" ref="K1640"/>
    <hyperlink r:id="rId2809" ref="C1641"/>
    <hyperlink r:id="rId2810" ref="K1641"/>
    <hyperlink r:id="rId2811" ref="C1642"/>
    <hyperlink r:id="rId2812" ref="K1642"/>
    <hyperlink r:id="rId2813" ref="C1643"/>
    <hyperlink r:id="rId2814" ref="K1643"/>
    <hyperlink r:id="rId2815" ref="C1644"/>
    <hyperlink r:id="rId2816" ref="K1644"/>
    <hyperlink r:id="rId2817" ref="C1645"/>
    <hyperlink r:id="rId2818" ref="K1645"/>
    <hyperlink r:id="rId2819" ref="C1646"/>
    <hyperlink r:id="rId2820" ref="K1646"/>
    <hyperlink r:id="rId2821" ref="C1647"/>
    <hyperlink r:id="rId2822" ref="K1647"/>
    <hyperlink r:id="rId2823" ref="C1648"/>
    <hyperlink r:id="rId2824" ref="K1648"/>
    <hyperlink r:id="rId2825" ref="C1649"/>
    <hyperlink r:id="rId2826" ref="K1649"/>
    <hyperlink r:id="rId2827" ref="C1650"/>
    <hyperlink r:id="rId2828" ref="K1650"/>
    <hyperlink r:id="rId2829" ref="C1651"/>
    <hyperlink r:id="rId2830" ref="K1651"/>
    <hyperlink r:id="rId2831" ref="C1652"/>
    <hyperlink r:id="rId2832" ref="K1652"/>
    <hyperlink r:id="rId2833" ref="C1653"/>
    <hyperlink r:id="rId2834" ref="K1653"/>
    <hyperlink r:id="rId2835" ref="C1654"/>
    <hyperlink r:id="rId2836" ref="K1654"/>
    <hyperlink r:id="rId2837" ref="C1655"/>
    <hyperlink r:id="rId2838" ref="K1655"/>
    <hyperlink r:id="rId2839" ref="C1656"/>
    <hyperlink r:id="rId2840" ref="K1656"/>
    <hyperlink r:id="rId2841" ref="C1657"/>
    <hyperlink r:id="rId2842" ref="K1657"/>
    <hyperlink r:id="rId2843" ref="C1658"/>
    <hyperlink r:id="rId2844" ref="K1658"/>
    <hyperlink r:id="rId2845" ref="C1659"/>
    <hyperlink r:id="rId2846" ref="K1659"/>
    <hyperlink r:id="rId2847" ref="C1660"/>
    <hyperlink r:id="rId2848" ref="K1660"/>
    <hyperlink r:id="rId2849" ref="C1661"/>
    <hyperlink r:id="rId2850" ref="K1661"/>
    <hyperlink r:id="rId2851" ref="C1662"/>
    <hyperlink r:id="rId2852" ref="K1662"/>
    <hyperlink r:id="rId2853" ref="C1663"/>
    <hyperlink r:id="rId2854" ref="K1663"/>
    <hyperlink r:id="rId2855" ref="C1664"/>
    <hyperlink r:id="rId2856" ref="K1664"/>
    <hyperlink r:id="rId2857" ref="C1665"/>
    <hyperlink r:id="rId2858" ref="K1665"/>
    <hyperlink r:id="rId2859" ref="C1666"/>
    <hyperlink r:id="rId2860" ref="K1666"/>
    <hyperlink r:id="rId2861" ref="C1667"/>
    <hyperlink r:id="rId2862" ref="K1667"/>
    <hyperlink r:id="rId2863" ref="C1668"/>
    <hyperlink r:id="rId2864" ref="K1668"/>
    <hyperlink r:id="rId2865" ref="C1669"/>
    <hyperlink r:id="rId2866" ref="K1669"/>
    <hyperlink r:id="rId2867" ref="C1670"/>
    <hyperlink r:id="rId2868" ref="K1670"/>
    <hyperlink r:id="rId2869" ref="C1671"/>
    <hyperlink r:id="rId2870" ref="K1671"/>
    <hyperlink r:id="rId2871" ref="C1672"/>
    <hyperlink r:id="rId2872" ref="K1672"/>
    <hyperlink r:id="rId2873" ref="C1673"/>
    <hyperlink r:id="rId2874" ref="K1673"/>
    <hyperlink r:id="rId2875" ref="C1674"/>
    <hyperlink r:id="rId2876" ref="K1674"/>
    <hyperlink r:id="rId2877" ref="C1675"/>
    <hyperlink r:id="rId2878" ref="K1675"/>
    <hyperlink r:id="rId2879" ref="C1676"/>
    <hyperlink r:id="rId2880" ref="K1676"/>
    <hyperlink r:id="rId2881" ref="C1677"/>
    <hyperlink r:id="rId2882" ref="K1677"/>
    <hyperlink r:id="rId2883" ref="C1678"/>
    <hyperlink r:id="rId2884" ref="K1678"/>
    <hyperlink r:id="rId2885" ref="C1679"/>
    <hyperlink r:id="rId2886" ref="K1679"/>
    <hyperlink r:id="rId2887" ref="C1680"/>
    <hyperlink r:id="rId2888" ref="K1680"/>
    <hyperlink r:id="rId2889" ref="C1681"/>
    <hyperlink r:id="rId2890" ref="K1681"/>
    <hyperlink r:id="rId2891" ref="C1682"/>
    <hyperlink r:id="rId2892" ref="K1682"/>
    <hyperlink r:id="rId2893" ref="C1683"/>
    <hyperlink r:id="rId2894" ref="K1683"/>
    <hyperlink r:id="rId2895" ref="C1684"/>
    <hyperlink r:id="rId2896" ref="K1684"/>
    <hyperlink r:id="rId2897" ref="C1685"/>
    <hyperlink r:id="rId2898" ref="K1685"/>
    <hyperlink r:id="rId2899" ref="C1686"/>
    <hyperlink r:id="rId2900" ref="K1686"/>
    <hyperlink r:id="rId2901" ref="C1688"/>
    <hyperlink r:id="rId2902" ref="K1688"/>
    <hyperlink r:id="rId2903" ref="C1689"/>
    <hyperlink r:id="rId2904" ref="K1689"/>
    <hyperlink r:id="rId2905" ref="C1690"/>
    <hyperlink r:id="rId2906" ref="K1690"/>
    <hyperlink r:id="rId2907" ref="C1692"/>
    <hyperlink r:id="rId2908" ref="K1692"/>
    <hyperlink r:id="rId2909" ref="C1699"/>
    <hyperlink r:id="rId2910" ref="K1699"/>
    <hyperlink r:id="rId2911" ref="C1701"/>
    <hyperlink r:id="rId2912" ref="K1701"/>
    <hyperlink r:id="rId2913" ref="C1705"/>
    <hyperlink r:id="rId2914" ref="K1705"/>
    <hyperlink r:id="rId2915" ref="C1706"/>
    <hyperlink r:id="rId2916" ref="K1706"/>
    <hyperlink r:id="rId2917" ref="C1707"/>
    <hyperlink r:id="rId2918" ref="K1707"/>
    <hyperlink r:id="rId2919" ref="C1710"/>
    <hyperlink r:id="rId2920" ref="K1710"/>
    <hyperlink r:id="rId2921" ref="C1711"/>
    <hyperlink r:id="rId2922" ref="K1711"/>
    <hyperlink r:id="rId2923" ref="C1712"/>
    <hyperlink r:id="rId2924" ref="K1712"/>
    <hyperlink r:id="rId2925" ref="C1714"/>
    <hyperlink r:id="rId2926" ref="K1714"/>
    <hyperlink r:id="rId2927" ref="C1715"/>
    <hyperlink r:id="rId2928" ref="K1715"/>
    <hyperlink r:id="rId2929" ref="C1716"/>
    <hyperlink r:id="rId2930" ref="K1716"/>
    <hyperlink r:id="rId2931" ref="C1717"/>
    <hyperlink r:id="rId2932" ref="K1717"/>
    <hyperlink r:id="rId2933" ref="C1718"/>
    <hyperlink r:id="rId2934" ref="K1718"/>
    <hyperlink r:id="rId2935" ref="C1719"/>
    <hyperlink r:id="rId2936" ref="K1719"/>
    <hyperlink r:id="rId2937" ref="C1720"/>
    <hyperlink r:id="rId2938" ref="K1720"/>
    <hyperlink r:id="rId2939" ref="C1721"/>
    <hyperlink r:id="rId2940" ref="K1721"/>
    <hyperlink r:id="rId2941" ref="C1722"/>
    <hyperlink r:id="rId2942" ref="K1722"/>
    <hyperlink r:id="rId2943" ref="C1723"/>
    <hyperlink r:id="rId2944" ref="K1723"/>
    <hyperlink r:id="rId2945" ref="C1724"/>
    <hyperlink r:id="rId2946" ref="K1724"/>
    <hyperlink r:id="rId2947" ref="C1725"/>
    <hyperlink r:id="rId2948" ref="K1725"/>
    <hyperlink r:id="rId2949" ref="C1726"/>
    <hyperlink r:id="rId2950" ref="K1726"/>
    <hyperlink r:id="rId2951" ref="C1727"/>
    <hyperlink r:id="rId2952" ref="K1727"/>
    <hyperlink r:id="rId2953" ref="C1728"/>
    <hyperlink r:id="rId2954" ref="K1728"/>
    <hyperlink r:id="rId2955" ref="C1729"/>
    <hyperlink r:id="rId2956" ref="K1729"/>
    <hyperlink r:id="rId2957" ref="C1730"/>
    <hyperlink r:id="rId2958" ref="K1730"/>
    <hyperlink r:id="rId2959" ref="C1731"/>
    <hyperlink r:id="rId2960" ref="K1731"/>
    <hyperlink r:id="rId2961" ref="C1732"/>
    <hyperlink r:id="rId2962" ref="K1732"/>
    <hyperlink r:id="rId2963" ref="C1733"/>
    <hyperlink r:id="rId2964" ref="K1733"/>
    <hyperlink r:id="rId2965" ref="C1734"/>
    <hyperlink r:id="rId2966" ref="K1734"/>
    <hyperlink r:id="rId2967" ref="C1735"/>
    <hyperlink r:id="rId2968" ref="K1735"/>
    <hyperlink r:id="rId2969" ref="C1736"/>
    <hyperlink r:id="rId2970" ref="K1736"/>
    <hyperlink r:id="rId2971" ref="C1737"/>
    <hyperlink r:id="rId2972" ref="K1737"/>
    <hyperlink r:id="rId2973" ref="C1738"/>
    <hyperlink r:id="rId2974" ref="K1738"/>
    <hyperlink r:id="rId2975" ref="C1739"/>
    <hyperlink r:id="rId2976" ref="K1739"/>
    <hyperlink r:id="rId2977" ref="C1740"/>
    <hyperlink r:id="rId2978" ref="K1740"/>
    <hyperlink r:id="rId2979" ref="C1741"/>
    <hyperlink r:id="rId2980" ref="K1741"/>
    <hyperlink r:id="rId2981" ref="C1742"/>
    <hyperlink r:id="rId2982" ref="K1742"/>
    <hyperlink r:id="rId2983" ref="C1743"/>
    <hyperlink r:id="rId2984" ref="K1743"/>
    <hyperlink r:id="rId2985" ref="C1744"/>
    <hyperlink r:id="rId2986" ref="K1744"/>
    <hyperlink r:id="rId2987" ref="C1745"/>
    <hyperlink r:id="rId2988" ref="K1745"/>
    <hyperlink r:id="rId2989" ref="C1746"/>
    <hyperlink r:id="rId2990" ref="K1746"/>
    <hyperlink r:id="rId2991" ref="C1747"/>
    <hyperlink r:id="rId2992" ref="K1747"/>
    <hyperlink r:id="rId2993" ref="C1748"/>
    <hyperlink r:id="rId2994" ref="K1748"/>
    <hyperlink r:id="rId2995" ref="C1749"/>
    <hyperlink r:id="rId2996" ref="K1749"/>
    <hyperlink r:id="rId2997" ref="C1750"/>
    <hyperlink r:id="rId2998" ref="K1750"/>
    <hyperlink r:id="rId2999" ref="C1751"/>
    <hyperlink r:id="rId3000" ref="K1751"/>
    <hyperlink r:id="rId3001" ref="C1752"/>
    <hyperlink r:id="rId3002" ref="K1752"/>
    <hyperlink r:id="rId3003" ref="C1753"/>
    <hyperlink r:id="rId3004" ref="K1753"/>
    <hyperlink r:id="rId3005" ref="C1754"/>
    <hyperlink r:id="rId3006" ref="K1754"/>
    <hyperlink r:id="rId3007" ref="C1755"/>
    <hyperlink r:id="rId3008" ref="K1755"/>
    <hyperlink r:id="rId3009" ref="C1756"/>
    <hyperlink r:id="rId3010" ref="K1756"/>
    <hyperlink r:id="rId3011" ref="C1757"/>
    <hyperlink r:id="rId3012" ref="K1757"/>
    <hyperlink r:id="rId3013" ref="C1758"/>
    <hyperlink r:id="rId3014" ref="K1758"/>
    <hyperlink r:id="rId3015" ref="C1759"/>
    <hyperlink r:id="rId3016" ref="K1759"/>
    <hyperlink r:id="rId3017" ref="C1760"/>
    <hyperlink r:id="rId3018" ref="K1760"/>
    <hyperlink r:id="rId3019" ref="C1761"/>
    <hyperlink r:id="rId3020" ref="K1761"/>
    <hyperlink r:id="rId3021" ref="C1762"/>
    <hyperlink r:id="rId3022" ref="K1762"/>
    <hyperlink r:id="rId3023" ref="C1763"/>
    <hyperlink r:id="rId3024" ref="K1763"/>
    <hyperlink r:id="rId3025" ref="C1764"/>
    <hyperlink r:id="rId3026" ref="K1764"/>
    <hyperlink r:id="rId3027" ref="C1765"/>
    <hyperlink r:id="rId3028" ref="K1765"/>
    <hyperlink r:id="rId3029" ref="C1766"/>
    <hyperlink r:id="rId3030" ref="K1766"/>
    <hyperlink r:id="rId3031" ref="C1767"/>
    <hyperlink r:id="rId3032" ref="K1767"/>
    <hyperlink r:id="rId3033" ref="C1768"/>
    <hyperlink r:id="rId3034" ref="K1768"/>
    <hyperlink r:id="rId3035" ref="C1769"/>
    <hyperlink r:id="rId3036" ref="K1769"/>
    <hyperlink r:id="rId3037" ref="C1770"/>
    <hyperlink r:id="rId3038" ref="K1770"/>
    <hyperlink r:id="rId3039" ref="C1771"/>
    <hyperlink r:id="rId3040" ref="K1771"/>
    <hyperlink r:id="rId3041" ref="C1772"/>
    <hyperlink r:id="rId3042" ref="K1772"/>
    <hyperlink r:id="rId3043" ref="C1773"/>
    <hyperlink r:id="rId3044" ref="K1773"/>
    <hyperlink r:id="rId3045" ref="C1774"/>
    <hyperlink r:id="rId3046" ref="K1774"/>
    <hyperlink r:id="rId3047" ref="C1775"/>
    <hyperlink r:id="rId3048" ref="K1775"/>
    <hyperlink r:id="rId3049" ref="C1776"/>
    <hyperlink r:id="rId3050" ref="K1776"/>
    <hyperlink r:id="rId3051" ref="C1777"/>
    <hyperlink r:id="rId3052" ref="K1777"/>
    <hyperlink r:id="rId3053" ref="C1778"/>
    <hyperlink r:id="rId3054" ref="K1778"/>
    <hyperlink r:id="rId3055" ref="C1779"/>
    <hyperlink r:id="rId3056" ref="K1779"/>
    <hyperlink r:id="rId3057" ref="C1780"/>
    <hyperlink r:id="rId3058" ref="K1780"/>
    <hyperlink r:id="rId3059" ref="C1781"/>
    <hyperlink r:id="rId3060" ref="K1781"/>
    <hyperlink r:id="rId3061" ref="C1782"/>
    <hyperlink r:id="rId3062" ref="K1782"/>
    <hyperlink r:id="rId3063" ref="C1783"/>
    <hyperlink r:id="rId3064" ref="K1783"/>
    <hyperlink r:id="rId3065" ref="C1784"/>
    <hyperlink r:id="rId3066" ref="K1784"/>
    <hyperlink r:id="rId3067" ref="C1785"/>
    <hyperlink r:id="rId3068" ref="K1785"/>
    <hyperlink r:id="rId3069" ref="C1786"/>
    <hyperlink r:id="rId3070" ref="K1786"/>
    <hyperlink r:id="rId3071" ref="C1787"/>
    <hyperlink r:id="rId3072" ref="K1787"/>
    <hyperlink r:id="rId3073" ref="C1788"/>
    <hyperlink r:id="rId3074" ref="K1788"/>
    <hyperlink r:id="rId3075" ref="C1789"/>
    <hyperlink r:id="rId3076" ref="K1789"/>
    <hyperlink r:id="rId3077" ref="C1790"/>
    <hyperlink r:id="rId3078" ref="K1790"/>
    <hyperlink r:id="rId3079" ref="C1791"/>
    <hyperlink r:id="rId3080" ref="K1791"/>
    <hyperlink r:id="rId3081" ref="C1792"/>
    <hyperlink r:id="rId3082" ref="K1792"/>
    <hyperlink r:id="rId3083" ref="C1793"/>
    <hyperlink r:id="rId3084" ref="K1793"/>
    <hyperlink r:id="rId3085" ref="C1796"/>
    <hyperlink r:id="rId3086" ref="K1796"/>
    <hyperlink r:id="rId3087" ref="C1803"/>
    <hyperlink r:id="rId3088" ref="K1803"/>
    <hyperlink r:id="rId3089" ref="C1809"/>
    <hyperlink r:id="rId3090" ref="K1809"/>
    <hyperlink r:id="rId3091" ref="C1810"/>
    <hyperlink r:id="rId3092" ref="K1810"/>
    <hyperlink r:id="rId3093" ref="C1816"/>
    <hyperlink r:id="rId3094" ref="K1816"/>
    <hyperlink r:id="rId3095" ref="C1819"/>
    <hyperlink r:id="rId3096" ref="K1819"/>
    <hyperlink r:id="rId3097" ref="C1820"/>
    <hyperlink r:id="rId3098" ref="K1820"/>
    <hyperlink r:id="rId3099" ref="C1821"/>
    <hyperlink r:id="rId3100" ref="K1821"/>
    <hyperlink r:id="rId3101" ref="C1822"/>
    <hyperlink r:id="rId3102" ref="K1822"/>
    <hyperlink r:id="rId3103" ref="C1823"/>
    <hyperlink r:id="rId3104" ref="K1823"/>
    <hyperlink r:id="rId3105" ref="C1824"/>
    <hyperlink r:id="rId3106" ref="K1824"/>
    <hyperlink r:id="rId3107" ref="C1825"/>
    <hyperlink r:id="rId3108" ref="K1825"/>
    <hyperlink r:id="rId3109" ref="C1826"/>
    <hyperlink r:id="rId3110" ref="K1826"/>
    <hyperlink r:id="rId3111" ref="C1827"/>
    <hyperlink r:id="rId3112" ref="K1827"/>
    <hyperlink r:id="rId3113" ref="C1828"/>
    <hyperlink r:id="rId3114" ref="K1828"/>
    <hyperlink r:id="rId3115" ref="C1829"/>
    <hyperlink r:id="rId3116" ref="K1829"/>
    <hyperlink r:id="rId3117" ref="C1830"/>
    <hyperlink r:id="rId3118" ref="K1830"/>
    <hyperlink r:id="rId3119" ref="C1831"/>
    <hyperlink r:id="rId3120" ref="K1831"/>
    <hyperlink r:id="rId3121" ref="C1832"/>
    <hyperlink r:id="rId3122" ref="K1832"/>
    <hyperlink r:id="rId3123" ref="C1833"/>
    <hyperlink r:id="rId3124" ref="K1833"/>
    <hyperlink r:id="rId3125" ref="C1834"/>
    <hyperlink r:id="rId3126" ref="K1834"/>
    <hyperlink r:id="rId3127" ref="C1835"/>
    <hyperlink r:id="rId3128" ref="K1835"/>
    <hyperlink r:id="rId3129" ref="C1836"/>
    <hyperlink r:id="rId3130" ref="K1836"/>
    <hyperlink r:id="rId3131" ref="C1837"/>
    <hyperlink r:id="rId3132" ref="K1837"/>
    <hyperlink r:id="rId3133" ref="C1838"/>
    <hyperlink r:id="rId3134" ref="K1838"/>
    <hyperlink r:id="rId3135" ref="C1839"/>
    <hyperlink r:id="rId3136" ref="K1839"/>
    <hyperlink r:id="rId3137" ref="C1840"/>
    <hyperlink r:id="rId3138" ref="K1840"/>
    <hyperlink r:id="rId3139" ref="C1841"/>
    <hyperlink r:id="rId3140" ref="K1841"/>
    <hyperlink r:id="rId3141" ref="C1842"/>
    <hyperlink r:id="rId3142" ref="K1842"/>
    <hyperlink r:id="rId3143" ref="C1843"/>
    <hyperlink r:id="rId3144" ref="K1843"/>
    <hyperlink r:id="rId3145" ref="C1844"/>
    <hyperlink r:id="rId3146" ref="K1844"/>
    <hyperlink r:id="rId3147" ref="C1845"/>
    <hyperlink r:id="rId3148" ref="K1845"/>
    <hyperlink r:id="rId3149" ref="C1846"/>
    <hyperlink r:id="rId3150" ref="K1846"/>
    <hyperlink r:id="rId3151" ref="C1847"/>
    <hyperlink r:id="rId3152" ref="K1847"/>
    <hyperlink r:id="rId3153" ref="C1848"/>
    <hyperlink r:id="rId3154" ref="K1848"/>
    <hyperlink r:id="rId3155" ref="C1849"/>
    <hyperlink r:id="rId3156" ref="K1849"/>
    <hyperlink r:id="rId3157" ref="C1850"/>
    <hyperlink r:id="rId3158" ref="K1850"/>
    <hyperlink r:id="rId3159" ref="C1851"/>
    <hyperlink r:id="rId3160" ref="K1851"/>
    <hyperlink r:id="rId3161" ref="C1852"/>
    <hyperlink r:id="rId3162" ref="K1852"/>
    <hyperlink r:id="rId3163" ref="C1853"/>
    <hyperlink r:id="rId3164" ref="K1853"/>
    <hyperlink r:id="rId3165" ref="C1854"/>
    <hyperlink r:id="rId3166" ref="K1854"/>
    <hyperlink r:id="rId3167" ref="C1855"/>
    <hyperlink r:id="rId3168" ref="K1855"/>
    <hyperlink r:id="rId3169" ref="C1856"/>
    <hyperlink r:id="rId3170" ref="K1856"/>
    <hyperlink r:id="rId3171" ref="C1857"/>
    <hyperlink r:id="rId3172" ref="K1857"/>
    <hyperlink r:id="rId3173" ref="C1858"/>
    <hyperlink r:id="rId3174" ref="K1858"/>
    <hyperlink r:id="rId3175" ref="C1859"/>
    <hyperlink r:id="rId3176" ref="K1859"/>
    <hyperlink r:id="rId3177" ref="C1860"/>
    <hyperlink r:id="rId3178" ref="K1860"/>
    <hyperlink r:id="rId3179" ref="C1861"/>
    <hyperlink r:id="rId3180" ref="K1861"/>
    <hyperlink r:id="rId3181" ref="C1862"/>
    <hyperlink r:id="rId3182" ref="K1862"/>
    <hyperlink r:id="rId3183" ref="C1863"/>
    <hyperlink r:id="rId3184" ref="K1863"/>
    <hyperlink r:id="rId3185" ref="C1864"/>
    <hyperlink r:id="rId3186" ref="K1864"/>
    <hyperlink r:id="rId3187" ref="C1865"/>
    <hyperlink r:id="rId3188" ref="K1865"/>
    <hyperlink r:id="rId3189" ref="C1866"/>
    <hyperlink r:id="rId3190" ref="K1866"/>
    <hyperlink r:id="rId3191" ref="C1867"/>
    <hyperlink r:id="rId3192" ref="K1867"/>
    <hyperlink r:id="rId3193" ref="C1868"/>
    <hyperlink r:id="rId3194" ref="K1868"/>
    <hyperlink r:id="rId3195" ref="C1869"/>
    <hyperlink r:id="rId3196" ref="K1869"/>
    <hyperlink r:id="rId3197" ref="C1870"/>
    <hyperlink r:id="rId3198" ref="K1870"/>
    <hyperlink r:id="rId3199" ref="C1871"/>
    <hyperlink r:id="rId3200" ref="K1871"/>
    <hyperlink r:id="rId3201" ref="C1872"/>
    <hyperlink r:id="rId3202" ref="K1872"/>
    <hyperlink r:id="rId3203" ref="C1873"/>
    <hyperlink r:id="rId3204" ref="K1873"/>
    <hyperlink r:id="rId3205" ref="C1874"/>
    <hyperlink r:id="rId3206" ref="K1874"/>
    <hyperlink r:id="rId3207" ref="C1875"/>
    <hyperlink r:id="rId3208" ref="K1875"/>
    <hyperlink r:id="rId3209" ref="C1876"/>
    <hyperlink r:id="rId3210" ref="K1876"/>
    <hyperlink r:id="rId3211" ref="C1877"/>
    <hyperlink r:id="rId3212" ref="K1877"/>
    <hyperlink r:id="rId3213" ref="C1878"/>
    <hyperlink r:id="rId3214" ref="K1878"/>
    <hyperlink r:id="rId3215" ref="C1879"/>
    <hyperlink r:id="rId3216" ref="K1879"/>
    <hyperlink r:id="rId3217" ref="C1880"/>
    <hyperlink r:id="rId3218" ref="K1880"/>
    <hyperlink r:id="rId3219" ref="C1881"/>
    <hyperlink r:id="rId3220" ref="K1881"/>
    <hyperlink r:id="rId3221" ref="C1882"/>
    <hyperlink r:id="rId3222" ref="K1882"/>
    <hyperlink r:id="rId3223" ref="C1883"/>
    <hyperlink r:id="rId3224" ref="K1883"/>
    <hyperlink r:id="rId3225" ref="C1884"/>
    <hyperlink r:id="rId3226" ref="K1884"/>
    <hyperlink r:id="rId3227" ref="C1885"/>
    <hyperlink r:id="rId3228" ref="K1885"/>
    <hyperlink r:id="rId3229" ref="C1886"/>
    <hyperlink r:id="rId3230" ref="K1886"/>
    <hyperlink r:id="rId3231" ref="C1887"/>
    <hyperlink r:id="rId3232" ref="K1887"/>
    <hyperlink r:id="rId3233" ref="C1888"/>
    <hyperlink r:id="rId3234" ref="K1888"/>
    <hyperlink r:id="rId3235" ref="C1889"/>
    <hyperlink r:id="rId3236" ref="K1889"/>
    <hyperlink r:id="rId3237" ref="C1890"/>
    <hyperlink r:id="rId3238" ref="K1890"/>
    <hyperlink r:id="rId3239" ref="C1891"/>
    <hyperlink r:id="rId3240" ref="K1891"/>
    <hyperlink r:id="rId3241" ref="C1892"/>
    <hyperlink r:id="rId3242" ref="K1892"/>
    <hyperlink r:id="rId3243" ref="C1893"/>
    <hyperlink r:id="rId3244" ref="K1893"/>
    <hyperlink r:id="rId3245" ref="C1894"/>
    <hyperlink r:id="rId3246" ref="K1894"/>
    <hyperlink r:id="rId3247" ref="C1895"/>
    <hyperlink r:id="rId3248" ref="K1895"/>
    <hyperlink r:id="rId3249" ref="C1896"/>
    <hyperlink r:id="rId3250" ref="K1896"/>
    <hyperlink r:id="rId3251" ref="C1897"/>
    <hyperlink r:id="rId3252" ref="K1897"/>
    <hyperlink r:id="rId3253" ref="C1898"/>
    <hyperlink r:id="rId3254" ref="K1898"/>
    <hyperlink r:id="rId3255" ref="C1899"/>
    <hyperlink r:id="rId3256" ref="K1899"/>
    <hyperlink r:id="rId3257" ref="C1900"/>
    <hyperlink r:id="rId3258" ref="K1900"/>
    <hyperlink r:id="rId3259" ref="C1901"/>
    <hyperlink r:id="rId3260" ref="K1901"/>
    <hyperlink r:id="rId3261" ref="C1902"/>
    <hyperlink r:id="rId3262" ref="K1902"/>
    <hyperlink r:id="rId3263" ref="C1903"/>
    <hyperlink r:id="rId3264" ref="K1903"/>
    <hyperlink r:id="rId3265" ref="C1904"/>
    <hyperlink r:id="rId3266" ref="K1904"/>
    <hyperlink r:id="rId3267" ref="C1905"/>
    <hyperlink r:id="rId3268" ref="K1905"/>
    <hyperlink r:id="rId3269" ref="C1906"/>
    <hyperlink r:id="rId3270" ref="K1906"/>
    <hyperlink r:id="rId3271" ref="C1907"/>
    <hyperlink r:id="rId3272" ref="K1907"/>
    <hyperlink r:id="rId3273" ref="C1908"/>
    <hyperlink r:id="rId3274" ref="K1908"/>
    <hyperlink r:id="rId3275" ref="C1909"/>
    <hyperlink r:id="rId3276" ref="K1909"/>
    <hyperlink r:id="rId3277" ref="C1910"/>
    <hyperlink r:id="rId3278" ref="K1910"/>
    <hyperlink r:id="rId3279" ref="C1911"/>
    <hyperlink r:id="rId3280" ref="K1911"/>
    <hyperlink r:id="rId3281" ref="C1912"/>
    <hyperlink r:id="rId3282" ref="K1912"/>
    <hyperlink r:id="rId3283" ref="C1913"/>
    <hyperlink r:id="rId3284" ref="K1913"/>
    <hyperlink r:id="rId3285" ref="C1914"/>
    <hyperlink r:id="rId3286" ref="K1914"/>
    <hyperlink r:id="rId3287" ref="C1915"/>
    <hyperlink r:id="rId3288" ref="K1915"/>
    <hyperlink r:id="rId3289" ref="C1916"/>
    <hyperlink r:id="rId3290" ref="K1916"/>
    <hyperlink r:id="rId3291" ref="C1917"/>
    <hyperlink r:id="rId3292" ref="K1917"/>
    <hyperlink r:id="rId3293" ref="C1918"/>
    <hyperlink r:id="rId3294" ref="K1918"/>
    <hyperlink r:id="rId3295" ref="C1919"/>
    <hyperlink r:id="rId3296" ref="K1919"/>
    <hyperlink r:id="rId3297" ref="C1920"/>
    <hyperlink r:id="rId3298" ref="K1920"/>
    <hyperlink r:id="rId3299" ref="C1921"/>
    <hyperlink r:id="rId3300" ref="K1921"/>
    <hyperlink r:id="rId3301" ref="C1922"/>
    <hyperlink r:id="rId3302" ref="K1922"/>
    <hyperlink r:id="rId3303" ref="C1923"/>
    <hyperlink r:id="rId3304" ref="K1923"/>
    <hyperlink r:id="rId3305" ref="C1924"/>
    <hyperlink r:id="rId3306" ref="K1924"/>
  </hyperlinks>
  <drawing r:id="rId3307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00FF00"/>
    <outlinePr summaryBelow="0" summaryRight="0"/>
  </sheetPr>
  <sheetViews>
    <sheetView workbookViewId="0">
      <pane ySplit="4.0" topLeftCell="A5" activePane="bottomLeft" state="frozen"/>
      <selection activeCell="B6" sqref="B6" pane="bottomLeft"/>
    </sheetView>
  </sheetViews>
  <sheetFormatPr customHeight="1" defaultColWidth="12.63" defaultRowHeight="15.75"/>
  <cols>
    <col customWidth="1" min="1" max="1" width="15.88"/>
    <col customWidth="1" min="2" max="12" width="2.88"/>
    <col customWidth="1" min="13" max="37" width="3.5"/>
    <col customWidth="1" hidden="1" min="38" max="38" width="3.5"/>
    <col customWidth="1" min="39" max="44" width="3.5"/>
  </cols>
  <sheetData>
    <row r="1">
      <c r="A1" s="2" t="s">
        <v>722</v>
      </c>
    </row>
    <row r="3">
      <c r="A3" s="91" t="s">
        <v>723</v>
      </c>
      <c r="B3" s="92" t="s">
        <v>724</v>
      </c>
      <c r="C3" s="93" t="s">
        <v>725</v>
      </c>
      <c r="D3" s="93" t="s">
        <v>726</v>
      </c>
      <c r="E3" s="93" t="s">
        <v>727</v>
      </c>
      <c r="F3" s="93" t="s">
        <v>728</v>
      </c>
      <c r="G3" s="94"/>
      <c r="H3" s="95" t="s">
        <v>729</v>
      </c>
      <c r="I3" s="95" t="s">
        <v>730</v>
      </c>
      <c r="J3" s="95" t="s">
        <v>731</v>
      </c>
      <c r="K3" s="95" t="s">
        <v>732</v>
      </c>
      <c r="L3" s="95" t="s">
        <v>733</v>
      </c>
      <c r="M3" s="95" t="s">
        <v>734</v>
      </c>
      <c r="N3" s="95" t="s">
        <v>735</v>
      </c>
      <c r="O3" s="95" t="s">
        <v>736</v>
      </c>
      <c r="P3" s="95" t="s">
        <v>737</v>
      </c>
      <c r="Q3" s="95" t="s">
        <v>738</v>
      </c>
      <c r="R3" s="95" t="s">
        <v>739</v>
      </c>
      <c r="S3" s="95" t="s">
        <v>740</v>
      </c>
      <c r="T3" s="95" t="s">
        <v>741</v>
      </c>
      <c r="U3" s="95" t="s">
        <v>742</v>
      </c>
      <c r="V3" s="95" t="s">
        <v>743</v>
      </c>
      <c r="W3" s="95" t="s">
        <v>744</v>
      </c>
      <c r="X3" s="94" t="s">
        <v>745</v>
      </c>
      <c r="Y3" s="95" t="s">
        <v>746</v>
      </c>
      <c r="Z3" s="95" t="s">
        <v>747</v>
      </c>
      <c r="AA3" s="95" t="s">
        <v>748</v>
      </c>
      <c r="AB3" s="94" t="s">
        <v>749</v>
      </c>
      <c r="AC3" s="94" t="s">
        <v>750</v>
      </c>
      <c r="AD3" s="94" t="s">
        <v>751</v>
      </c>
      <c r="AE3" s="94" t="s">
        <v>752</v>
      </c>
      <c r="AF3" s="94" t="s">
        <v>753</v>
      </c>
      <c r="AG3" s="94" t="s">
        <v>754</v>
      </c>
      <c r="AH3" s="94" t="s">
        <v>755</v>
      </c>
      <c r="AI3" s="94" t="s">
        <v>756</v>
      </c>
      <c r="AJ3" s="94" t="s">
        <v>757</v>
      </c>
      <c r="AK3" s="94" t="s">
        <v>758</v>
      </c>
      <c r="AL3" s="94" t="s">
        <v>759</v>
      </c>
      <c r="AM3" s="94" t="s">
        <v>760</v>
      </c>
      <c r="AN3" s="94" t="s">
        <v>761</v>
      </c>
      <c r="AO3" s="94" t="s">
        <v>762</v>
      </c>
      <c r="AP3" s="94" t="s">
        <v>763</v>
      </c>
      <c r="AQ3" s="94" t="s">
        <v>764</v>
      </c>
      <c r="AR3" s="94" t="s">
        <v>765</v>
      </c>
    </row>
    <row r="4">
      <c r="B4" s="49"/>
      <c r="C4" s="49"/>
      <c r="D4" s="49"/>
      <c r="E4" s="49"/>
      <c r="F4" s="49"/>
      <c r="G4" s="96"/>
      <c r="H4" s="96"/>
      <c r="I4" s="96"/>
      <c r="J4" s="96"/>
      <c r="K4" s="96"/>
      <c r="L4" s="96"/>
      <c r="M4" s="96"/>
      <c r="N4" s="96"/>
    </row>
    <row r="5">
      <c r="A5" s="49" t="str">
        <f>IFERROR(__xludf.DUMMYFUNCTION("(UNIQUE(filter(Worksheet!M:M,Worksheet!M:M&lt;&gt;"""")))"),"5Star")</f>
        <v>5Star</v>
      </c>
      <c r="B5" s="47">
        <f t="shared" ref="B5:B172" si="1">countif(H5:AR5,TRUE)</f>
        <v>22</v>
      </c>
      <c r="C5" s="11" t="b">
        <v>0</v>
      </c>
      <c r="D5" s="11" t="b">
        <v>0</v>
      </c>
      <c r="E5" s="11" t="b">
        <v>0</v>
      </c>
      <c r="F5" s="11" t="b">
        <v>0</v>
      </c>
      <c r="G5" s="96"/>
      <c r="H5" s="96" t="b">
        <f>if(countifs('Berlin, GER'!Q:Q,A5,'Berlin, GER'!I:I,TRUE),TRUE,FALSE)</f>
        <v>1</v>
      </c>
      <c r="I5" s="96" t="b">
        <f>if(countifs('Escondido, USA'!Q:Q,A5,'Escondido, USA'!I:I,TRUE),TRUE,FALSE)</f>
        <v>1</v>
      </c>
      <c r="J5" s="96" t="b">
        <f>if(countifs('Onkaparinga_Hills, AUS'!Q:Q,A5,'Onkaparinga_Hills, AUS'!I:I,TRUE),TRUE,FALSE)</f>
        <v>1</v>
      </c>
      <c r="K5" s="96" t="b">
        <f>if(countifs('Perth, AUS'!Q:Q,A5,'Perth, AUS'!I:I,TRUE),TRUE,FALSE)</f>
        <v>1</v>
      </c>
      <c r="L5" s="96" t="b">
        <f>if(countifs('Raleigh, USA'!Q:Q,A5,'Raleigh, USA'!I:I,TRUE),TRUE,FALSE)</f>
        <v>1</v>
      </c>
      <c r="M5" s="96" t="b">
        <f>if(countifs('Browns Plains, AUS'!Q:Q,A5,'Browns Plains, AUS'!I:I,TRUE),TRUE,FALSE)</f>
        <v>1</v>
      </c>
      <c r="N5" s="96" t="b">
        <f>if(countifs('Brossard, CAN'!Q:Q,A5,'Brossard, CAN'!I:I,TRUE),TRUE,FALSE)</f>
        <v>1</v>
      </c>
      <c r="O5" s="96" t="b">
        <f>if(countifs('Gouda, NL'!Q:Q,$A5,'Gouda, NL'!$I:$I,TRUE),TRUE,FALSE)</f>
        <v>1</v>
      </c>
      <c r="P5" s="47" t="b">
        <f>if(countifs('Plympton, UK'!Q:Q,$A5,'Plympton, UK'!$I:$I,TRUE),TRUE,FALSE)</f>
        <v>1</v>
      </c>
      <c r="Q5" s="47" t="b">
        <f>if(countifs('Glen Oaks, USA'!Q:Q,$A5,'Glen Oaks, USA'!$I:$I,TRUE),TRUE,FALSE)</f>
        <v>1</v>
      </c>
      <c r="R5" s="47" t="b">
        <f>if(countifs('Chemnitz, GER'!Q:Q,$A5,'Chemnitz, GER'!I:I,TRUE),TRUE,FALSE)</f>
        <v>1</v>
      </c>
      <c r="S5" s="47" t="b">
        <f>if(countifs('Vosselaar, BE'!Q:Q,$A5,'Vosselaar, BE'!$I:$I,TRUE),TRUE,FALSE)</f>
        <v>1</v>
      </c>
      <c r="T5" s="47" t="b">
        <f>if(countifs('MHQ, USA'!Q:Q,$A5,'MHQ, USA'!$I:$I,TRUE),TRUE,FALSE)</f>
        <v>1</v>
      </c>
      <c r="U5" s="47" t="b">
        <f>if(countifs('Morayfield, AUS'!Q:Q,$A5,'Morayfield, AUS'!$I:$I,TRUE),TRUE,FALSE)</f>
        <v>1</v>
      </c>
      <c r="V5" s="11" t="b">
        <f>if(countifs('Arnhem, NL'!Q:Q,$A5,'Arnhem, NL'!$I:$I,TRUE),TRUE,FALSE)</f>
        <v>0</v>
      </c>
      <c r="W5" s="47" t="b">
        <f>if(countifs('Gotenborg, SW'!Q:Q,$A5,'Gotenborg, SW'!$I:$I,TRUE),TRUE,FALSE)</f>
        <v>1</v>
      </c>
      <c r="X5" s="47" t="b">
        <f>if(countifs('Shepparton, AUS'!Q:Q,$A5,'Shepparton, AUS'!$I:$I,TRUE),TRUE,FALSE)</f>
        <v>1</v>
      </c>
      <c r="Y5" s="47" t="b">
        <f>if(countifs('Hoofddorp, NL'!Q:Q,$A5,'Hoofddorp, NL'!$I:$I,TRUE),TRUE,FALSE)</f>
        <v>1</v>
      </c>
      <c r="Z5" s="47" t="b">
        <f>if(countifs('Bedford, UK'!Q:Q,$A5,'Bedford, UK'!$I:$I,TRUE),TRUE,FALSE)</f>
        <v>1</v>
      </c>
      <c r="AA5" s="47" t="b">
        <f>IF(COUNTIFS('Desert Lodge, USA'!Q:Q,$A5,'Desert Lodge, USA'!I:I,TRUE),TRUE,FALSE)</f>
        <v>1</v>
      </c>
      <c r="AB5" s="47" t="b">
        <f>if(countifs('Dapto, AUS'!Q:Q,$A5,'Dapto, AUS'!$I:$I,TRUE),TRUE,FALSE)</f>
        <v>1</v>
      </c>
      <c r="AC5" s="47" t="b">
        <f>if(countifs('New Westminster, CAN'!Q:Q,$A5,'New Westminster, CAN'!$I:$I,TRUE),TRUE,FALSE)</f>
        <v>0</v>
      </c>
      <c r="AD5" s="47" t="b">
        <f>if(countifs('Georgetown, CAN'!Q:Q,$A5,'Georgetown, CAN'!$I:$I,TRUE),TRUE,FALSE)</f>
        <v>1</v>
      </c>
      <c r="AE5" s="47" t="b">
        <f>if(countifs('Kingswood, UK'!Q:Q,$A5,'Kingswood, UK'!$I:$I,TRUE),TRUE,FALSE)</f>
        <v>0</v>
      </c>
      <c r="AF5" s="47" t="b">
        <f>if(countifs('Hagerstown, USA'!Q:Q,$A5,'Hagerstown, USA'!$I:$I,TRUE),TRUE,FALSE)</f>
        <v>0</v>
      </c>
      <c r="AG5" s="47" t="b">
        <f>if(countifs('Felsogalla, HU'!Q:Q,$A5,'Felsogalla, HU'!$I:$I,TRUE),TRUE,FALSE)</f>
        <v>0</v>
      </c>
      <c r="AH5" s="47" t="b">
        <f>if(countifs('Norlane, AUS'!Q:Q,$A5,'Norlane, AUS'!$I:$I,TRUE),TRUE,FALSE)</f>
        <v>0</v>
      </c>
      <c r="AI5" s="47" t="b">
        <f>if(countifs('Meitingen, GER'!Q:Q,$A5,'Meitingen, GER'!$I:$I,TRUE),TRUE,FALSE)</f>
        <v>0</v>
      </c>
      <c r="AJ5" s="47" t="b">
        <f>if(countifs('Groningen, NL'!Q:Q,$A5,'Groningen, NL'!$I:$I,TRUE),TRUE,FALSE)</f>
        <v>1</v>
      </c>
      <c r="AK5" s="47" t="b">
        <f>if(countifs('Linköping, SW'!Q:Q,$A5,'Linköping, SW'!$I:$I,TRUE),TRUE,FALSE)</f>
        <v>0</v>
      </c>
      <c r="AL5" s="47" t="b">
        <f>if(countifs('Austin, USA'!Q:Q,$A5,'Austin, USA'!$I:$I,TRUE),TRUE,FALSE)</f>
        <v>0</v>
      </c>
      <c r="AM5" s="47" t="b">
        <f>if(countifs('Thringstone, UK'!Q:Q,$A5,'Thringstone, UK'!$I:$I,TRUE),TRUE,FALSE)</f>
        <v>0</v>
      </c>
      <c r="AN5" s="47" t="b">
        <f>if(countifs('Andover, UK'!Q:Q,$A5,'Andover, UK'!$I:$I,TRUE),TRUE,FALSE)</f>
        <v>0</v>
      </c>
      <c r="AO5" s="47" t="b">
        <f>if(countifs('Ospel, NL'!Q:Q,$A5,'Ospel, NL'!$I:$I,TRUE),TRUE,FALSE)</f>
        <v>0</v>
      </c>
      <c r="AP5" s="47" t="b">
        <f>if(countifs('Wonthaggi, AUS'!Q:Q,$A5,'Wonthaggi, AUS'!$I:$I,TRUE),TRUE,FALSE)</f>
        <v>0</v>
      </c>
      <c r="AQ5" s="47" t="b">
        <f>if(countifs('Falling_Waters, USA'!$Q:$Q,$A5,'Falling_Waters, USA'!$I:$I,TRUE),TRUE,FALSE)</f>
        <v>0</v>
      </c>
      <c r="AR5" s="47" t="b">
        <f>if(countifs('Kelmscott, AUS'!Q:Q,$A5,'Kelmscott, AUS'!$I:$I,TRUE),TRUE,FALSE)</f>
        <v>0</v>
      </c>
    </row>
    <row r="6">
      <c r="A6" s="47" t="str">
        <f>IFERROR(__xludf.DUMMYFUNCTION("""COMPUTED_VALUE"""),"FromTheTardis")</f>
        <v>FromTheTardis</v>
      </c>
      <c r="B6" s="47">
        <f t="shared" si="1"/>
        <v>14</v>
      </c>
      <c r="C6" s="47" t="b">
        <v>0</v>
      </c>
      <c r="D6" s="47" t="b">
        <v>0</v>
      </c>
      <c r="E6" s="47" t="b">
        <v>0</v>
      </c>
      <c r="F6" s="47" t="b">
        <v>0</v>
      </c>
      <c r="G6" s="96"/>
      <c r="H6" s="96" t="b">
        <f>if(countifs('Berlin, GER'!Q:Q,A6,'Berlin, GER'!I:I,TRUE),TRUE,FALSE)</f>
        <v>1</v>
      </c>
      <c r="I6" s="96" t="b">
        <f>if(countifs('Escondido, USA'!Q:Q,A6,'Escondido, USA'!I:I,TRUE),TRUE,FALSE)</f>
        <v>1</v>
      </c>
      <c r="J6" s="96" t="b">
        <f>if(countifs('Onkaparinga_Hills, AUS'!Q:Q,A6,'Onkaparinga_Hills, AUS'!I:I,TRUE),TRUE,FALSE)</f>
        <v>1</v>
      </c>
      <c r="K6" s="96" t="b">
        <f>if(countifs('Perth, AUS'!Q:Q,A6,'Perth, AUS'!I:I,TRUE),TRUE,FALSE)</f>
        <v>1</v>
      </c>
      <c r="L6" s="96" t="b">
        <f>if(countifs('Raleigh, USA'!Q:Q,A6,'Raleigh, USA'!I:I,TRUE),TRUE,FALSE)</f>
        <v>1</v>
      </c>
      <c r="M6" s="96" t="b">
        <f>if(countifs('Browns Plains, AUS'!Q:Q,A6,'Browns Plains, AUS'!I:I,TRUE),TRUE,FALSE)</f>
        <v>1</v>
      </c>
      <c r="N6" s="96" t="b">
        <f>if(countifs('Brossard, CAN'!Q:Q,A6,'Brossard, CAN'!I:I,TRUE),TRUE,FALSE)</f>
        <v>1</v>
      </c>
      <c r="O6" s="96" t="b">
        <f>if(countifs('Gouda, NL'!Q:Q,$A6,'Gouda, NL'!$I:$I,TRUE),TRUE,FALSE)</f>
        <v>1</v>
      </c>
      <c r="P6" s="47" t="b">
        <f>if(countifs('Plympton, UK'!Q:Q,$A6,'Plympton, UK'!$I:$I,TRUE),TRUE,FALSE)</f>
        <v>1</v>
      </c>
      <c r="Q6" s="47" t="b">
        <f>if(countifs('Glen Oaks, USA'!Q:Q,$A6,'Glen Oaks, USA'!$I:$I,TRUE),TRUE,FALSE)</f>
        <v>1</v>
      </c>
      <c r="R6" s="47" t="b">
        <f>if(countifs('Chemnitz, GER'!Q:Q,$A6,'Chemnitz, GER'!I:I,TRUE),TRUE,FALSE)</f>
        <v>1</v>
      </c>
      <c r="S6" s="47" t="b">
        <f>if(countifs('Vosselaar, BE'!Q:Q,$A6,'Vosselaar, BE'!$I:$I,TRUE),TRUE,FALSE)</f>
        <v>1</v>
      </c>
      <c r="T6" s="47" t="b">
        <f>if(countifs('MHQ, USA'!Q:Q,$A6,'MHQ, USA'!$I:$I,TRUE),TRUE,FALSE)</f>
        <v>1</v>
      </c>
      <c r="U6" s="47" t="b">
        <f>if(countifs('Morayfield, AUS'!Q:Q,$A6,'Morayfield, AUS'!$I:$I,TRUE),TRUE,FALSE)</f>
        <v>1</v>
      </c>
      <c r="V6" s="11" t="b">
        <f>if(countifs('Arnhem, NL'!Q:Q,$A6,'Arnhem, NL'!$I:$I,TRUE),TRUE,FALSE)</f>
        <v>0</v>
      </c>
      <c r="W6" s="47" t="b">
        <f>if(countifs('Gotenborg, SW'!Q:Q,$A6,'Gotenborg, SW'!$I:$I,TRUE),TRUE,FALSE)</f>
        <v>0</v>
      </c>
      <c r="X6" s="47" t="b">
        <f>if(countifs('Shepparton, AUS'!Q:Q,$A6,'Shepparton, AUS'!$I:$I,TRUE),TRUE,FALSE)</f>
        <v>0</v>
      </c>
      <c r="Y6" s="47" t="b">
        <f>if(countifs('Hoofddorp, NL'!Q:Q,$A6,'Hoofddorp, NL'!$I:$I,TRUE),TRUE,FALSE)</f>
        <v>0</v>
      </c>
      <c r="Z6" s="47" t="b">
        <f>if(countifs('Bedford, UK'!Q:Q,$A6,'Bedford, UK'!$I:$I,TRUE),TRUE,FALSE)</f>
        <v>0</v>
      </c>
      <c r="AA6" s="47" t="b">
        <f>IF(COUNTIFS('Desert Lodge, USA'!Q:Q,$A6,'Desert Lodge, USA'!I:I,TRUE),TRUE,FALSE)</f>
        <v>0</v>
      </c>
      <c r="AB6" s="47" t="b">
        <f>if(countifs('Dapto, AUS'!Q:Q,$A6,'Dapto, AUS'!$I:$I,TRUE),TRUE,FALSE)</f>
        <v>0</v>
      </c>
      <c r="AC6" s="47" t="b">
        <f>if(countifs('New Westminster, CAN'!Q:Q,$A6,'New Westminster, CAN'!$I:$I,TRUE),TRUE,FALSE)</f>
        <v>0</v>
      </c>
      <c r="AD6" s="47" t="b">
        <f>if(countifs('Georgetown, CAN'!Q:Q,$A6,'Georgetown, CAN'!$I:$I,TRUE),TRUE,FALSE)</f>
        <v>0</v>
      </c>
      <c r="AE6" s="47" t="b">
        <f>if(countifs('Kingswood, UK'!Q:Q,$A6,'Kingswood, UK'!$I:$I,TRUE),TRUE,FALSE)</f>
        <v>0</v>
      </c>
      <c r="AF6" s="47" t="b">
        <f>if(countifs('Hagerstown, USA'!Q:Q,$A6,'Hagerstown, USA'!$I:$I,TRUE),TRUE,FALSE)</f>
        <v>0</v>
      </c>
      <c r="AG6" s="47" t="b">
        <f>if(countifs('Felsogalla, HU'!Q:Q,$A6,'Felsogalla, HU'!$I:$I,TRUE),TRUE,FALSE)</f>
        <v>0</v>
      </c>
      <c r="AH6" s="47" t="b">
        <f>if(countifs('Norlane, AUS'!Q:Q,$A6,'Norlane, AUS'!$I:$I,TRUE),TRUE,FALSE)</f>
        <v>0</v>
      </c>
      <c r="AI6" s="47" t="b">
        <f>if(countifs('Meitingen, GER'!Q:Q,$A6,'Meitingen, GER'!$I:$I,TRUE),TRUE,FALSE)</f>
        <v>0</v>
      </c>
      <c r="AJ6" s="47" t="b">
        <f>if(countifs('Groningen, NL'!Q:Q,$A6,'Groningen, NL'!$I:$I,TRUE),TRUE,FALSE)</f>
        <v>0</v>
      </c>
      <c r="AK6" s="47" t="b">
        <f>if(countifs('Linköping, SW'!Q:Q,$A6,'Linköping, SW'!$I:$I,TRUE),TRUE,FALSE)</f>
        <v>0</v>
      </c>
      <c r="AL6" s="47" t="b">
        <f>if(countifs('Austin, USA'!Q:Q,$A6,'Austin, USA'!$I:$I,TRUE),TRUE,FALSE)</f>
        <v>0</v>
      </c>
      <c r="AM6" s="47" t="b">
        <f>if(countifs('Thringstone, UK'!Q:Q,$A6,'Thringstone, UK'!$I:$I,TRUE),TRUE,FALSE)</f>
        <v>0</v>
      </c>
      <c r="AN6" s="47" t="b">
        <f>if(countifs('Andover, UK'!Q:Q,$A6,'Andover, UK'!$I:$I,TRUE),TRUE,FALSE)</f>
        <v>0</v>
      </c>
      <c r="AO6" s="47" t="b">
        <f>if(countifs('Ospel, NL'!Q:Q,$A6,'Ospel, NL'!$I:$I,TRUE),TRUE,FALSE)</f>
        <v>0</v>
      </c>
      <c r="AP6" s="47" t="b">
        <f>if(countifs('Wonthaggi, AUS'!Q:Q,$A6,'Wonthaggi, AUS'!$I:$I,TRUE),TRUE,FALSE)</f>
        <v>0</v>
      </c>
      <c r="AQ6" s="47" t="b">
        <f>if(countifs('Falling_Waters, USA'!$Q:$Q,$A6,'Falling_Waters, USA'!$I:$I,TRUE),TRUE,FALSE)</f>
        <v>0</v>
      </c>
      <c r="AR6" s="47" t="b">
        <f>if(countifs('Kelmscott, AUS'!Q:Q,$A6,'Kelmscott, AUS'!$I:$I,TRUE),TRUE,FALSE)</f>
        <v>0</v>
      </c>
    </row>
    <row r="7">
      <c r="A7" s="47" t="str">
        <f>IFERROR(__xludf.DUMMYFUNCTION("""COMPUTED_VALUE"""),"DHitz")</f>
        <v>DHitz</v>
      </c>
      <c r="B7" s="47">
        <f t="shared" si="1"/>
        <v>5</v>
      </c>
      <c r="C7" s="47" t="b">
        <v>0</v>
      </c>
      <c r="D7" s="47" t="b">
        <v>0</v>
      </c>
      <c r="E7" s="47" t="b">
        <v>0</v>
      </c>
      <c r="F7" s="47" t="b">
        <v>0</v>
      </c>
      <c r="G7" s="96"/>
      <c r="H7" s="96" t="b">
        <f>if(countifs('Berlin, GER'!Q:Q,A7,'Berlin, GER'!I:I,TRUE),TRUE,FALSE)</f>
        <v>1</v>
      </c>
      <c r="I7" s="96" t="b">
        <f>if(countifs('Escondido, USA'!Q:Q,A7,'Escondido, USA'!I:I,TRUE),TRUE,FALSE)</f>
        <v>1</v>
      </c>
      <c r="J7" s="96" t="b">
        <f>if(countifs('Onkaparinga_Hills, AUS'!Q:Q,A7,'Onkaparinga_Hills, AUS'!I:I,TRUE),TRUE,FALSE)</f>
        <v>1</v>
      </c>
      <c r="K7" s="96" t="b">
        <f>if(countifs('Perth, AUS'!Q:Q,A7,'Perth, AUS'!I:I,TRUE),TRUE,FALSE)</f>
        <v>1</v>
      </c>
      <c r="L7" s="96" t="b">
        <f>if(countifs('Raleigh, USA'!Q:Q,A7,'Raleigh, USA'!I:I,TRUE),TRUE,FALSE)</f>
        <v>1</v>
      </c>
      <c r="M7" s="96" t="b">
        <f>if(countifs('Browns Plains, AUS'!Q:Q,A7,'Browns Plains, AUS'!I:I,TRUE),TRUE,FALSE)</f>
        <v>0</v>
      </c>
      <c r="N7" s="96" t="b">
        <f>if(countifs('Brossard, CAN'!Q:Q,A7,'Brossard, CAN'!I:I,TRUE),TRUE,FALSE)</f>
        <v>0</v>
      </c>
      <c r="O7" s="96" t="b">
        <f>if(countifs('Gouda, NL'!Q:Q,$A7,'Gouda, NL'!$I:$I,TRUE),TRUE,FALSE)</f>
        <v>0</v>
      </c>
      <c r="P7" s="47" t="b">
        <f>if(countifs('Plympton, UK'!Q:Q,$A7,'Plympton, UK'!$I:$I,TRUE),TRUE,FALSE)</f>
        <v>0</v>
      </c>
      <c r="Q7" s="47" t="b">
        <f>if(countifs('Glen Oaks, USA'!Q:Q,$A7,'Glen Oaks, USA'!$I:$I,TRUE),TRUE,FALSE)</f>
        <v>0</v>
      </c>
      <c r="R7" s="47" t="b">
        <f>if(countifs('Chemnitz, GER'!Q:Q,$A7,'Chemnitz, GER'!I:I,TRUE),TRUE,FALSE)</f>
        <v>0</v>
      </c>
      <c r="S7" s="47" t="b">
        <f>if(countifs('Vosselaar, BE'!Q:Q,$A7,'Vosselaar, BE'!$I:$I,TRUE),TRUE,FALSE)</f>
        <v>0</v>
      </c>
      <c r="T7" s="47" t="b">
        <f>if(countifs('MHQ, USA'!Q:Q,$A7,'MHQ, USA'!$I:$I,TRUE),TRUE,FALSE)</f>
        <v>0</v>
      </c>
      <c r="U7" s="47" t="b">
        <f>if(countifs('Morayfield, AUS'!Q:Q,$A7,'Morayfield, AUS'!$I:$I,TRUE),TRUE,FALSE)</f>
        <v>0</v>
      </c>
      <c r="V7" s="11" t="b">
        <f>if(countifs('Arnhem, NL'!Q:Q,$A7,'Arnhem, NL'!$I:$I,TRUE),TRUE,FALSE)</f>
        <v>0</v>
      </c>
      <c r="W7" s="47" t="b">
        <f>if(countifs('Gotenborg, SW'!Q:Q,$A7,'Gotenborg, SW'!$I:$I,TRUE),TRUE,FALSE)</f>
        <v>0</v>
      </c>
      <c r="X7" s="47" t="b">
        <f>if(countifs('Shepparton, AUS'!Q:Q,$A7,'Shepparton, AUS'!$I:$I,TRUE),TRUE,FALSE)</f>
        <v>0</v>
      </c>
      <c r="Y7" s="47" t="b">
        <f>if(countifs('Hoofddorp, NL'!Q:Q,$A7,'Hoofddorp, NL'!$I:$I,TRUE),TRUE,FALSE)</f>
        <v>0</v>
      </c>
      <c r="Z7" s="47" t="b">
        <f>if(countifs('Bedford, UK'!Q:Q,$A7,'Bedford, UK'!$I:$I,TRUE),TRUE,FALSE)</f>
        <v>0</v>
      </c>
      <c r="AA7" s="47" t="b">
        <f>IF(COUNTIFS('Desert Lodge, USA'!Q:Q,$A7,'Desert Lodge, USA'!I:I,TRUE),TRUE,FALSE)</f>
        <v>0</v>
      </c>
      <c r="AB7" s="47" t="b">
        <f>if(countifs('Dapto, AUS'!Q:Q,$A7,'Dapto, AUS'!$I:$I,TRUE),TRUE,FALSE)</f>
        <v>0</v>
      </c>
      <c r="AC7" s="47" t="b">
        <f>if(countifs('New Westminster, CAN'!Q:Q,$A7,'New Westminster, CAN'!$I:$I,TRUE),TRUE,FALSE)</f>
        <v>0</v>
      </c>
      <c r="AD7" s="47" t="b">
        <f>if(countifs('Georgetown, CAN'!Q:Q,$A7,'Georgetown, CAN'!$I:$I,TRUE),TRUE,FALSE)</f>
        <v>0</v>
      </c>
      <c r="AE7" s="47" t="b">
        <f>if(countifs('Kingswood, UK'!Q:Q,$A7,'Kingswood, UK'!$I:$I,TRUE),TRUE,FALSE)</f>
        <v>0</v>
      </c>
      <c r="AF7" s="47" t="b">
        <f>if(countifs('Hagerstown, USA'!Q:Q,$A7,'Hagerstown, USA'!$I:$I,TRUE),TRUE,FALSE)</f>
        <v>0</v>
      </c>
      <c r="AG7" s="47" t="b">
        <f>if(countifs('Felsogalla, HU'!Q:Q,$A7,'Felsogalla, HU'!$I:$I,TRUE),TRUE,FALSE)</f>
        <v>0</v>
      </c>
      <c r="AH7" s="47" t="b">
        <f>if(countifs('Norlane, AUS'!Q:Q,$A7,'Norlane, AUS'!$I:$I,TRUE),TRUE,FALSE)</f>
        <v>0</v>
      </c>
      <c r="AI7" s="47" t="b">
        <f>if(countifs('Meitingen, GER'!Q:Q,$A7,'Meitingen, GER'!$I:$I,TRUE),TRUE,FALSE)</f>
        <v>0</v>
      </c>
      <c r="AJ7" s="47" t="b">
        <f>if(countifs('Groningen, NL'!Q:Q,$A7,'Groningen, NL'!$I:$I,TRUE),TRUE,FALSE)</f>
        <v>0</v>
      </c>
      <c r="AK7" s="47" t="b">
        <f>if(countifs('Linköping, SW'!Q:Q,$A7,'Linköping, SW'!$I:$I,TRUE),TRUE,FALSE)</f>
        <v>0</v>
      </c>
      <c r="AL7" s="47" t="b">
        <f>if(countifs('Austin, USA'!Q:Q,$A7,'Austin, USA'!$I:$I,TRUE),TRUE,FALSE)</f>
        <v>0</v>
      </c>
      <c r="AM7" s="47" t="b">
        <f>if(countifs('Thringstone, UK'!Q:Q,$A7,'Thringstone, UK'!$I:$I,TRUE),TRUE,FALSE)</f>
        <v>0</v>
      </c>
      <c r="AN7" s="47" t="b">
        <f>if(countifs('Andover, UK'!Q:Q,$A7,'Andover, UK'!$I:$I,TRUE),TRUE,FALSE)</f>
        <v>0</v>
      </c>
      <c r="AO7" s="47" t="b">
        <f>if(countifs('Ospel, NL'!Q:Q,$A7,'Ospel, NL'!$I:$I,TRUE),TRUE,FALSE)</f>
        <v>0</v>
      </c>
      <c r="AP7" s="47" t="b">
        <f>if(countifs('Wonthaggi, AUS'!Q:Q,$A7,'Wonthaggi, AUS'!$I:$I,TRUE),TRUE,FALSE)</f>
        <v>0</v>
      </c>
      <c r="AQ7" s="47" t="b">
        <f>if(countifs('Falling_Waters, USA'!$Q:$Q,$A7,'Falling_Waters, USA'!$I:$I,TRUE),TRUE,FALSE)</f>
        <v>0</v>
      </c>
      <c r="AR7" s="47" t="b">
        <f>if(countifs('Kelmscott, AUS'!Q:Q,$A7,'Kelmscott, AUS'!$I:$I,TRUE),TRUE,FALSE)</f>
        <v>0</v>
      </c>
    </row>
    <row r="8">
      <c r="A8" s="47" t="str">
        <f>IFERROR(__xludf.DUMMYFUNCTION("""COMPUTED_VALUE"""),"fsafranek")</f>
        <v>fsafranek</v>
      </c>
      <c r="B8" s="47">
        <f t="shared" si="1"/>
        <v>36</v>
      </c>
      <c r="C8" s="47" t="b">
        <v>0</v>
      </c>
      <c r="D8" s="47" t="b">
        <v>0</v>
      </c>
      <c r="E8" s="47" t="b">
        <v>0</v>
      </c>
      <c r="F8" s="47" t="b">
        <v>0</v>
      </c>
      <c r="G8" s="96"/>
      <c r="H8" s="96" t="b">
        <f>if(countifs('Berlin, GER'!Q:Q,A8,'Berlin, GER'!I:I,TRUE),TRUE,FALSE)</f>
        <v>1</v>
      </c>
      <c r="I8" s="96" t="b">
        <f>if(countifs('Escondido, USA'!Q:Q,A8,'Escondido, USA'!I:I,TRUE),TRUE,FALSE)</f>
        <v>1</v>
      </c>
      <c r="J8" s="96" t="b">
        <f>if(countifs('Onkaparinga_Hills, AUS'!Q:Q,A8,'Onkaparinga_Hills, AUS'!I:I,TRUE),TRUE,FALSE)</f>
        <v>1</v>
      </c>
      <c r="K8" s="96" t="b">
        <f>if(countifs('Perth, AUS'!Q:Q,A8,'Perth, AUS'!I:I,TRUE),TRUE,FALSE)</f>
        <v>1</v>
      </c>
      <c r="L8" s="96" t="b">
        <f>if(countifs('Raleigh, USA'!Q:Q,A8,'Raleigh, USA'!I:I,TRUE),TRUE,FALSE)</f>
        <v>1</v>
      </c>
      <c r="M8" s="96" t="b">
        <f>if(countifs('Browns Plains, AUS'!Q:Q,A8,'Browns Plains, AUS'!I:I,TRUE),TRUE,FALSE)</f>
        <v>1</v>
      </c>
      <c r="N8" s="96" t="b">
        <f>if(countifs('Brossard, CAN'!Q:Q,A8,'Brossard, CAN'!I:I,TRUE),TRUE,FALSE)</f>
        <v>1</v>
      </c>
      <c r="O8" s="96" t="b">
        <f>if(countifs('Gouda, NL'!Q:Q,$A8,'Gouda, NL'!$I:$I,TRUE),TRUE,FALSE)</f>
        <v>1</v>
      </c>
      <c r="P8" s="47" t="b">
        <f>if(countifs('Plympton, UK'!Q:Q,$A8,'Plympton, UK'!$I:$I,TRUE),TRUE,FALSE)</f>
        <v>1</v>
      </c>
      <c r="Q8" s="47" t="b">
        <f>if(countifs('Glen Oaks, USA'!Q:Q,$A8,'Glen Oaks, USA'!$I:$I,TRUE),TRUE,FALSE)</f>
        <v>1</v>
      </c>
      <c r="R8" s="47" t="b">
        <f>if(countifs('Chemnitz, GER'!Q:Q,$A8,'Chemnitz, GER'!I:I,TRUE),TRUE,FALSE)</f>
        <v>1</v>
      </c>
      <c r="S8" s="47" t="b">
        <f>if(countifs('Vosselaar, BE'!Q:Q,$A8,'Vosselaar, BE'!$I:$I,TRUE),TRUE,FALSE)</f>
        <v>1</v>
      </c>
      <c r="T8" s="47" t="b">
        <f>if(countifs('MHQ, USA'!Q:Q,$A8,'MHQ, USA'!$I:$I,TRUE),TRUE,FALSE)</f>
        <v>1</v>
      </c>
      <c r="U8" s="47" t="b">
        <f>if(countifs('Morayfield, AUS'!Q:Q,$A8,'Morayfield, AUS'!$I:$I,TRUE),TRUE,FALSE)</f>
        <v>1</v>
      </c>
      <c r="V8" s="11" t="b">
        <f>if(countifs('Arnhem, NL'!Q:Q,$A8,'Arnhem, NL'!$I:$I,TRUE),TRUE,FALSE)</f>
        <v>1</v>
      </c>
      <c r="W8" s="47" t="b">
        <f>if(countifs('Gotenborg, SW'!Q:Q,$A8,'Gotenborg, SW'!$I:$I,TRUE),TRUE,FALSE)</f>
        <v>1</v>
      </c>
      <c r="X8" s="47" t="b">
        <f>if(countifs('Shepparton, AUS'!Q:Q,$A8,'Shepparton, AUS'!$I:$I,TRUE),TRUE,FALSE)</f>
        <v>1</v>
      </c>
      <c r="Y8" s="47" t="b">
        <f>if(countifs('Hoofddorp, NL'!Q:Q,$A8,'Hoofddorp, NL'!$I:$I,TRUE),TRUE,FALSE)</f>
        <v>1</v>
      </c>
      <c r="Z8" s="47" t="b">
        <f>if(countifs('Bedford, UK'!Q:Q,$A8,'Bedford, UK'!$I:$I,TRUE),TRUE,FALSE)</f>
        <v>1</v>
      </c>
      <c r="AA8" s="47" t="b">
        <f>IF(COUNTIFS('Desert Lodge, USA'!Q:Q,$A8,'Desert Lodge, USA'!I:I,TRUE),TRUE,FALSE)</f>
        <v>1</v>
      </c>
      <c r="AB8" s="47" t="b">
        <f>if(countifs('Dapto, AUS'!Q:Q,$A8,'Dapto, AUS'!$I:$I,TRUE),TRUE,FALSE)</f>
        <v>1</v>
      </c>
      <c r="AC8" s="47" t="b">
        <f>if(countifs('New Westminster, CAN'!Q:Q,$A8,'New Westminster, CAN'!$I:$I,TRUE),TRUE,FALSE)</f>
        <v>1</v>
      </c>
      <c r="AD8" s="47" t="b">
        <f>if(countifs('Georgetown, CAN'!Q:Q,$A8,'Georgetown, CAN'!$I:$I,TRUE),TRUE,FALSE)</f>
        <v>1</v>
      </c>
      <c r="AE8" s="47" t="b">
        <f>if(countifs('Kingswood, UK'!Q:Q,$A8,'Kingswood, UK'!$I:$I,TRUE),TRUE,FALSE)</f>
        <v>1</v>
      </c>
      <c r="AF8" s="47" t="b">
        <f>if(countifs('Hagerstown, USA'!Q:Q,$A8,'Hagerstown, USA'!$I:$I,TRUE),TRUE,FALSE)</f>
        <v>1</v>
      </c>
      <c r="AG8" s="47" t="b">
        <f>if(countifs('Felsogalla, HU'!Q:Q,$A8,'Felsogalla, HU'!$I:$I,TRUE),TRUE,FALSE)</f>
        <v>1</v>
      </c>
      <c r="AH8" s="47" t="b">
        <f>if(countifs('Norlane, AUS'!Q:Q,$A8,'Norlane, AUS'!$I:$I,TRUE),TRUE,FALSE)</f>
        <v>1</v>
      </c>
      <c r="AI8" s="47" t="b">
        <f>if(countifs('Meitingen, GER'!Q:Q,$A8,'Meitingen, GER'!$I:$I,TRUE),TRUE,FALSE)</f>
        <v>1</v>
      </c>
      <c r="AJ8" s="47" t="b">
        <f>if(countifs('Groningen, NL'!Q:Q,$A8,'Groningen, NL'!$I:$I,TRUE),TRUE,FALSE)</f>
        <v>1</v>
      </c>
      <c r="AK8" s="47" t="b">
        <f>if(countifs('Linköping, SW'!Q:Q,$A8,'Linköping, SW'!$I:$I,TRUE),TRUE,FALSE)</f>
        <v>1</v>
      </c>
      <c r="AL8" s="47" t="b">
        <f>if(countifs('Austin, USA'!Q:Q,$A8,'Austin, USA'!$I:$I,TRUE),TRUE,FALSE)</f>
        <v>0</v>
      </c>
      <c r="AM8" s="47" t="b">
        <f>if(countifs('Thringstone, UK'!Q:Q,$A8,'Thringstone, UK'!$I:$I,TRUE),TRUE,FALSE)</f>
        <v>1</v>
      </c>
      <c r="AN8" s="47" t="b">
        <f>if(countifs('Andover, UK'!Q:Q,$A8,'Andover, UK'!$I:$I,TRUE),TRUE,FALSE)</f>
        <v>1</v>
      </c>
      <c r="AO8" s="47" t="b">
        <f>if(countifs('Ospel, NL'!Q:Q,$A8,'Ospel, NL'!$I:$I,TRUE),TRUE,FALSE)</f>
        <v>1</v>
      </c>
      <c r="AP8" s="47" t="b">
        <f>if(countifs('Wonthaggi, AUS'!Q:Q,$A8,'Wonthaggi, AUS'!$I:$I,TRUE),TRUE,FALSE)</f>
        <v>1</v>
      </c>
      <c r="AQ8" s="47" t="b">
        <f>if(countifs('Falling_Waters, USA'!$Q:$Q,$A8,'Falling_Waters, USA'!$I:$I,TRUE),TRUE,FALSE)</f>
        <v>1</v>
      </c>
      <c r="AR8" s="47" t="b">
        <f>if(countifs('Kelmscott, AUS'!Q:Q,$A8,'Kelmscott, AUS'!$I:$I,TRUE),TRUE,FALSE)</f>
        <v>1</v>
      </c>
    </row>
    <row r="9">
      <c r="A9" s="47" t="str">
        <f>IFERROR(__xludf.DUMMYFUNCTION("""COMPUTED_VALUE"""),"Wangotango")</f>
        <v>Wangotango</v>
      </c>
      <c r="B9" s="47">
        <f t="shared" si="1"/>
        <v>22</v>
      </c>
      <c r="C9" s="47" t="b">
        <v>0</v>
      </c>
      <c r="D9" s="47" t="b">
        <v>0</v>
      </c>
      <c r="E9" s="47" t="b">
        <v>0</v>
      </c>
      <c r="F9" s="47" t="b">
        <v>0</v>
      </c>
      <c r="G9" s="96"/>
      <c r="H9" s="96" t="b">
        <f>if(countifs('Berlin, GER'!Q:Q,A9,'Berlin, GER'!I:I,TRUE),TRUE,FALSE)</f>
        <v>1</v>
      </c>
      <c r="I9" s="96" t="b">
        <f>if(countifs('Escondido, USA'!Q:Q,A9,'Escondido, USA'!I:I,TRUE),TRUE,FALSE)</f>
        <v>1</v>
      </c>
      <c r="J9" s="96" t="b">
        <f>if(countifs('Onkaparinga_Hills, AUS'!Q:Q,A9,'Onkaparinga_Hills, AUS'!I:I,TRUE),TRUE,FALSE)</f>
        <v>1</v>
      </c>
      <c r="K9" s="96" t="b">
        <f>if(countifs('Perth, AUS'!Q:Q,A9,'Perth, AUS'!I:I,TRUE),TRUE,FALSE)</f>
        <v>1</v>
      </c>
      <c r="L9" s="96" t="b">
        <f>if(countifs('Raleigh, USA'!Q:Q,A9,'Raleigh, USA'!I:I,TRUE),TRUE,FALSE)</f>
        <v>1</v>
      </c>
      <c r="M9" s="96" t="b">
        <f>if(countifs('Browns Plains, AUS'!Q:Q,A9,'Browns Plains, AUS'!I:I,TRUE),TRUE,FALSE)</f>
        <v>1</v>
      </c>
      <c r="N9" s="96" t="b">
        <f>if(countifs('Brossard, CAN'!Q:Q,A9,'Brossard, CAN'!I:I,TRUE),TRUE,FALSE)</f>
        <v>0</v>
      </c>
      <c r="O9" s="96" t="b">
        <f>if(countifs('Gouda, NL'!Q:Q,$A9,'Gouda, NL'!$I:$I,TRUE),TRUE,FALSE)</f>
        <v>1</v>
      </c>
      <c r="P9" s="47" t="b">
        <f>if(countifs('Plympton, UK'!Q:Q,$A9,'Plympton, UK'!$I:$I,TRUE),TRUE,FALSE)</f>
        <v>1</v>
      </c>
      <c r="Q9" s="47" t="b">
        <f>if(countifs('Glen Oaks, USA'!Q:Q,$A9,'Glen Oaks, USA'!$I:$I,TRUE),TRUE,FALSE)</f>
        <v>1</v>
      </c>
      <c r="R9" s="47" t="b">
        <f>if(countifs('Chemnitz, GER'!Q:Q,$A9,'Chemnitz, GER'!I:I,TRUE),TRUE,FALSE)</f>
        <v>1</v>
      </c>
      <c r="S9" s="47" t="b">
        <f>if(countifs('Vosselaar, BE'!Q:Q,$A9,'Vosselaar, BE'!$I:$I,TRUE),TRUE,FALSE)</f>
        <v>1</v>
      </c>
      <c r="T9" s="47" t="b">
        <f>if(countifs('MHQ, USA'!Q:Q,$A9,'MHQ, USA'!$I:$I,TRUE),TRUE,FALSE)</f>
        <v>0</v>
      </c>
      <c r="U9" s="47" t="b">
        <f>if(countifs('Morayfield, AUS'!Q:Q,$A9,'Morayfield, AUS'!$I:$I,TRUE),TRUE,FALSE)</f>
        <v>1</v>
      </c>
      <c r="V9" s="11" t="b">
        <f>if(countifs('Arnhem, NL'!Q:Q,$A9,'Arnhem, NL'!$I:$I,TRUE),TRUE,FALSE)</f>
        <v>0</v>
      </c>
      <c r="W9" s="47" t="b">
        <f>if(countifs('Gotenborg, SW'!Q:Q,$A9,'Gotenborg, SW'!$I:$I,TRUE),TRUE,FALSE)</f>
        <v>1</v>
      </c>
      <c r="X9" s="47" t="b">
        <f>if(countifs('Shepparton, AUS'!Q:Q,$A9,'Shepparton, AUS'!$I:$I,TRUE),TRUE,FALSE)</f>
        <v>1</v>
      </c>
      <c r="Y9" s="47" t="b">
        <f>if(countifs('Hoofddorp, NL'!Q:Q,$A9,'Hoofddorp, NL'!$I:$I,TRUE),TRUE,FALSE)</f>
        <v>1</v>
      </c>
      <c r="Z9" s="47" t="b">
        <f>if(countifs('Bedford, UK'!Q:Q,$A9,'Bedford, UK'!$I:$I,TRUE),TRUE,FALSE)</f>
        <v>1</v>
      </c>
      <c r="AA9" s="47" t="b">
        <f>IF(COUNTIFS('Desert Lodge, USA'!Q:Q,$A9,'Desert Lodge, USA'!I:I,TRUE),TRUE,FALSE)</f>
        <v>1</v>
      </c>
      <c r="AB9" s="47" t="b">
        <f>if(countifs('Dapto, AUS'!Q:Q,$A9,'Dapto, AUS'!$I:$I,TRUE),TRUE,FALSE)</f>
        <v>1</v>
      </c>
      <c r="AC9" s="47" t="b">
        <f>if(countifs('New Westminster, CAN'!Q:Q,$A9,'New Westminster, CAN'!$I:$I,TRUE),TRUE,FALSE)</f>
        <v>0</v>
      </c>
      <c r="AD9" s="47" t="b">
        <f>if(countifs('Georgetown, CAN'!Q:Q,$A9,'Georgetown, CAN'!$I:$I,TRUE),TRUE,FALSE)</f>
        <v>0</v>
      </c>
      <c r="AE9" s="47" t="b">
        <f>if(countifs('Kingswood, UK'!Q:Q,$A9,'Kingswood, UK'!$I:$I,TRUE),TRUE,FALSE)</f>
        <v>0</v>
      </c>
      <c r="AF9" s="47" t="b">
        <f>if(countifs('Hagerstown, USA'!Q:Q,$A9,'Hagerstown, USA'!$I:$I,TRUE),TRUE,FALSE)</f>
        <v>1</v>
      </c>
      <c r="AG9" s="47" t="b">
        <f>if(countifs('Felsogalla, HU'!Q:Q,$A9,'Felsogalla, HU'!$I:$I,TRUE),TRUE,FALSE)</f>
        <v>0</v>
      </c>
      <c r="AH9" s="47" t="b">
        <f>if(countifs('Norlane, AUS'!Q:Q,$A9,'Norlane, AUS'!$I:$I,TRUE),TRUE,FALSE)</f>
        <v>0</v>
      </c>
      <c r="AI9" s="47" t="b">
        <f>if(countifs('Meitingen, GER'!Q:Q,$A9,'Meitingen, GER'!$I:$I,TRUE),TRUE,FALSE)</f>
        <v>0</v>
      </c>
      <c r="AJ9" s="47" t="b">
        <f>if(countifs('Groningen, NL'!Q:Q,$A9,'Groningen, NL'!$I:$I,TRUE),TRUE,FALSE)</f>
        <v>0</v>
      </c>
      <c r="AK9" s="47" t="b">
        <f>if(countifs('Linköping, SW'!Q:Q,$A9,'Linköping, SW'!$I:$I,TRUE),TRUE,FALSE)</f>
        <v>0</v>
      </c>
      <c r="AL9" s="47" t="b">
        <f>if(countifs('Austin, USA'!Q:Q,$A9,'Austin, USA'!$I:$I,TRUE),TRUE,FALSE)</f>
        <v>0</v>
      </c>
      <c r="AM9" s="47" t="b">
        <f>if(countifs('Thringstone, UK'!Q:Q,$A9,'Thringstone, UK'!$I:$I,TRUE),TRUE,FALSE)</f>
        <v>0</v>
      </c>
      <c r="AN9" s="47" t="b">
        <f>if(countifs('Andover, UK'!Q:Q,$A9,'Andover, UK'!$I:$I,TRUE),TRUE,FALSE)</f>
        <v>1</v>
      </c>
      <c r="AO9" s="47" t="b">
        <f>if(countifs('Ospel, NL'!Q:Q,$A9,'Ospel, NL'!$I:$I,TRUE),TRUE,FALSE)</f>
        <v>0</v>
      </c>
      <c r="AP9" s="47" t="b">
        <f>if(countifs('Wonthaggi, AUS'!Q:Q,$A9,'Wonthaggi, AUS'!$I:$I,TRUE),TRUE,FALSE)</f>
        <v>1</v>
      </c>
      <c r="AQ9" s="47" t="b">
        <f>if(countifs('Falling_Waters, USA'!$Q:$Q,$A9,'Falling_Waters, USA'!$I:$I,TRUE),TRUE,FALSE)</f>
        <v>1</v>
      </c>
      <c r="AR9" s="47" t="b">
        <f>if(countifs('Kelmscott, AUS'!Q:Q,$A9,'Kelmscott, AUS'!$I:$I,TRUE),TRUE,FALSE)</f>
        <v>0</v>
      </c>
    </row>
    <row r="10">
      <c r="A10" s="47" t="str">
        <f>IFERROR(__xludf.DUMMYFUNCTION("""COMPUTED_VALUE"""),"Lanyasummer")</f>
        <v>Lanyasummer</v>
      </c>
      <c r="B10" s="47">
        <f t="shared" si="1"/>
        <v>14</v>
      </c>
      <c r="C10" s="47" t="b">
        <v>0</v>
      </c>
      <c r="D10" s="47" t="b">
        <v>0</v>
      </c>
      <c r="E10" s="47" t="b">
        <v>0</v>
      </c>
      <c r="F10" s="47" t="b">
        <v>0</v>
      </c>
      <c r="G10" s="96"/>
      <c r="H10" s="96" t="b">
        <f>if(countifs('Berlin, GER'!Q:Q,A10,'Berlin, GER'!I:I,TRUE),TRUE,FALSE)</f>
        <v>1</v>
      </c>
      <c r="I10" s="96" t="b">
        <f>if(countifs('Escondido, USA'!Q:Q,A10,'Escondido, USA'!I:I,TRUE),TRUE,FALSE)</f>
        <v>1</v>
      </c>
      <c r="J10" s="96" t="b">
        <f>if(countifs('Onkaparinga_Hills, AUS'!Q:Q,A10,'Onkaparinga_Hills, AUS'!I:I,TRUE),TRUE,FALSE)</f>
        <v>1</v>
      </c>
      <c r="K10" s="96" t="b">
        <f>if(countifs('Perth, AUS'!Q:Q,A10,'Perth, AUS'!I:I,TRUE),TRUE,FALSE)</f>
        <v>1</v>
      </c>
      <c r="L10" s="96" t="b">
        <f>if(countifs('Raleigh, USA'!Q:Q,A10,'Raleigh, USA'!I:I,TRUE),TRUE,FALSE)</f>
        <v>1</v>
      </c>
      <c r="M10" s="96" t="b">
        <f>if(countifs('Browns Plains, AUS'!Q:Q,A10,'Browns Plains, AUS'!I:I,TRUE),TRUE,FALSE)</f>
        <v>1</v>
      </c>
      <c r="N10" s="96" t="b">
        <f>if(countifs('Brossard, CAN'!Q:Q,A10,'Brossard, CAN'!I:I,TRUE),TRUE,FALSE)</f>
        <v>1</v>
      </c>
      <c r="O10" s="96" t="b">
        <f>if(countifs('Gouda, NL'!Q:Q,$A10,'Gouda, NL'!$I:$I,TRUE),TRUE,FALSE)</f>
        <v>1</v>
      </c>
      <c r="P10" s="47" t="b">
        <f>if(countifs('Plympton, UK'!Q:Q,$A10,'Plympton, UK'!$I:$I,TRUE),TRUE,FALSE)</f>
        <v>1</v>
      </c>
      <c r="Q10" s="47" t="b">
        <f>if(countifs('Glen Oaks, USA'!Q:Q,$A10,'Glen Oaks, USA'!$I:$I,TRUE),TRUE,FALSE)</f>
        <v>1</v>
      </c>
      <c r="R10" s="47" t="b">
        <f>if(countifs('Chemnitz, GER'!Q:Q,$A10,'Chemnitz, GER'!I:I,TRUE),TRUE,FALSE)</f>
        <v>1</v>
      </c>
      <c r="S10" s="47" t="b">
        <f>if(countifs('Vosselaar, BE'!Q:Q,$A10,'Vosselaar, BE'!$I:$I,TRUE),TRUE,FALSE)</f>
        <v>1</v>
      </c>
      <c r="T10" s="47" t="b">
        <f>if(countifs('MHQ, USA'!Q:Q,$A10,'MHQ, USA'!$I:$I,TRUE),TRUE,FALSE)</f>
        <v>1</v>
      </c>
      <c r="U10" s="47" t="b">
        <f>if(countifs('Morayfield, AUS'!Q:Q,$A10,'Morayfield, AUS'!$I:$I,TRUE),TRUE,FALSE)</f>
        <v>1</v>
      </c>
      <c r="V10" s="11" t="b">
        <f>if(countifs('Arnhem, NL'!Q:Q,$A10,'Arnhem, NL'!$I:$I,TRUE),TRUE,FALSE)</f>
        <v>0</v>
      </c>
      <c r="W10" s="47" t="b">
        <f>if(countifs('Gotenborg, SW'!Q:Q,$A10,'Gotenborg, SW'!$I:$I,TRUE),TRUE,FALSE)</f>
        <v>0</v>
      </c>
      <c r="X10" s="47" t="b">
        <f>if(countifs('Shepparton, AUS'!Q:Q,$A10,'Shepparton, AUS'!$I:$I,TRUE),TRUE,FALSE)</f>
        <v>0</v>
      </c>
      <c r="Y10" s="47" t="b">
        <f>if(countifs('Hoofddorp, NL'!Q:Q,$A10,'Hoofddorp, NL'!$I:$I,TRUE),TRUE,FALSE)</f>
        <v>0</v>
      </c>
      <c r="Z10" s="47" t="b">
        <f>if(countifs('Bedford, UK'!Q:Q,$A10,'Bedford, UK'!$I:$I,TRUE),TRUE,FALSE)</f>
        <v>0</v>
      </c>
      <c r="AA10" s="47" t="b">
        <f>IF(COUNTIFS('Desert Lodge, USA'!Q:Q,$A10,'Desert Lodge, USA'!I:I,TRUE),TRUE,FALSE)</f>
        <v>0</v>
      </c>
      <c r="AB10" s="47" t="b">
        <f>if(countifs('Dapto, AUS'!Q:Q,$A10,'Dapto, AUS'!$I:$I,TRUE),TRUE,FALSE)</f>
        <v>0</v>
      </c>
      <c r="AC10" s="47" t="b">
        <f>if(countifs('New Westminster, CAN'!Q:Q,$A10,'New Westminster, CAN'!$I:$I,TRUE),TRUE,FALSE)</f>
        <v>0</v>
      </c>
      <c r="AD10" s="47" t="b">
        <f>if(countifs('Georgetown, CAN'!Q:Q,$A10,'Georgetown, CAN'!$I:$I,TRUE),TRUE,FALSE)</f>
        <v>0</v>
      </c>
      <c r="AE10" s="47" t="b">
        <f>if(countifs('Kingswood, UK'!Q:Q,$A10,'Kingswood, UK'!$I:$I,TRUE),TRUE,FALSE)</f>
        <v>0</v>
      </c>
      <c r="AF10" s="47" t="b">
        <f>if(countifs('Hagerstown, USA'!Q:Q,$A10,'Hagerstown, USA'!$I:$I,TRUE),TRUE,FALSE)</f>
        <v>0</v>
      </c>
      <c r="AG10" s="47" t="b">
        <f>if(countifs('Felsogalla, HU'!Q:Q,$A10,'Felsogalla, HU'!$I:$I,TRUE),TRUE,FALSE)</f>
        <v>0</v>
      </c>
      <c r="AH10" s="47" t="b">
        <f>if(countifs('Norlane, AUS'!Q:Q,$A10,'Norlane, AUS'!$I:$I,TRUE),TRUE,FALSE)</f>
        <v>0</v>
      </c>
      <c r="AI10" s="47" t="b">
        <f>if(countifs('Meitingen, GER'!Q:Q,$A10,'Meitingen, GER'!$I:$I,TRUE),TRUE,FALSE)</f>
        <v>0</v>
      </c>
      <c r="AJ10" s="47" t="b">
        <f>if(countifs('Groningen, NL'!Q:Q,$A10,'Groningen, NL'!$I:$I,TRUE),TRUE,FALSE)</f>
        <v>0</v>
      </c>
      <c r="AK10" s="47" t="b">
        <f>if(countifs('Linköping, SW'!Q:Q,$A10,'Linköping, SW'!$I:$I,TRUE),TRUE,FALSE)</f>
        <v>0</v>
      </c>
      <c r="AL10" s="47" t="b">
        <f>if(countifs('Austin, USA'!Q:Q,$A10,'Austin, USA'!$I:$I,TRUE),TRUE,FALSE)</f>
        <v>0</v>
      </c>
      <c r="AM10" s="47" t="b">
        <f>if(countifs('Thringstone, UK'!Q:Q,$A10,'Thringstone, UK'!$I:$I,TRUE),TRUE,FALSE)</f>
        <v>0</v>
      </c>
      <c r="AN10" s="47" t="b">
        <f>if(countifs('Andover, UK'!Q:Q,$A10,'Andover, UK'!$I:$I,TRUE),TRUE,FALSE)</f>
        <v>0</v>
      </c>
      <c r="AO10" s="47" t="b">
        <f>if(countifs('Ospel, NL'!Q:Q,$A10,'Ospel, NL'!$I:$I,TRUE),TRUE,FALSE)</f>
        <v>0</v>
      </c>
      <c r="AP10" s="47" t="b">
        <f>if(countifs('Wonthaggi, AUS'!Q:Q,$A10,'Wonthaggi, AUS'!$I:$I,TRUE),TRUE,FALSE)</f>
        <v>0</v>
      </c>
      <c r="AQ10" s="47" t="b">
        <f>if(countifs('Falling_Waters, USA'!$Q:$Q,$A10,'Falling_Waters, USA'!$I:$I,TRUE),TRUE,FALSE)</f>
        <v>0</v>
      </c>
      <c r="AR10" s="47" t="b">
        <f>if(countifs('Kelmscott, AUS'!Q:Q,$A10,'Kelmscott, AUS'!$I:$I,TRUE),TRUE,FALSE)</f>
        <v>0</v>
      </c>
    </row>
    <row r="11">
      <c r="A11" s="47" t="str">
        <f>IFERROR(__xludf.DUMMYFUNCTION("""COMPUTED_VALUE"""),"J1Huisman")</f>
        <v>J1Huisman</v>
      </c>
      <c r="B11" s="47">
        <f t="shared" si="1"/>
        <v>35</v>
      </c>
      <c r="C11" s="47" t="b">
        <v>0</v>
      </c>
      <c r="D11" s="47" t="b">
        <v>0</v>
      </c>
      <c r="E11" s="47" t="b">
        <v>0</v>
      </c>
      <c r="F11" s="47" t="b">
        <v>0</v>
      </c>
      <c r="G11" s="96"/>
      <c r="H11" s="96" t="b">
        <f>if(countifs('Berlin, GER'!Q:Q,A11,'Berlin, GER'!I:I,TRUE),TRUE,FALSE)</f>
        <v>1</v>
      </c>
      <c r="I11" s="96" t="b">
        <f>if(countifs('Escondido, USA'!Q:Q,A11,'Escondido, USA'!I:I,TRUE),TRUE,FALSE)</f>
        <v>1</v>
      </c>
      <c r="J11" s="96" t="b">
        <f>if(countifs('Onkaparinga_Hills, AUS'!Q:Q,A11,'Onkaparinga_Hills, AUS'!I:I,TRUE),TRUE,FALSE)</f>
        <v>1</v>
      </c>
      <c r="K11" s="96" t="b">
        <f>if(countifs('Perth, AUS'!Q:Q,A11,'Perth, AUS'!I:I,TRUE),TRUE,FALSE)</f>
        <v>1</v>
      </c>
      <c r="L11" s="96" t="b">
        <f>if(countifs('Raleigh, USA'!Q:Q,A11,'Raleigh, USA'!I:I,TRUE),TRUE,FALSE)</f>
        <v>1</v>
      </c>
      <c r="M11" s="96" t="b">
        <f>if(countifs('Browns Plains, AUS'!Q:Q,A11,'Browns Plains, AUS'!I:I,TRUE),TRUE,FALSE)</f>
        <v>1</v>
      </c>
      <c r="N11" s="96" t="b">
        <f>if(countifs('Brossard, CAN'!Q:Q,A11,'Brossard, CAN'!I:I,TRUE),TRUE,FALSE)</f>
        <v>1</v>
      </c>
      <c r="O11" s="96" t="b">
        <f>if(countifs('Gouda, NL'!Q:Q,$A11,'Gouda, NL'!$I:$I,TRUE),TRUE,FALSE)</f>
        <v>1</v>
      </c>
      <c r="P11" s="47" t="b">
        <f>if(countifs('Plympton, UK'!Q:Q,$A11,'Plympton, UK'!$I:$I,TRUE),TRUE,FALSE)</f>
        <v>1</v>
      </c>
      <c r="Q11" s="47" t="b">
        <f>if(countifs('Glen Oaks, USA'!Q:Q,$A11,'Glen Oaks, USA'!$I:$I,TRUE),TRUE,FALSE)</f>
        <v>1</v>
      </c>
      <c r="R11" s="47" t="b">
        <f>if(countifs('Chemnitz, GER'!Q:Q,$A11,'Chemnitz, GER'!I:I,TRUE),TRUE,FALSE)</f>
        <v>1</v>
      </c>
      <c r="S11" s="47" t="b">
        <f>if(countifs('Vosselaar, BE'!Q:Q,$A11,'Vosselaar, BE'!$I:$I,TRUE),TRUE,FALSE)</f>
        <v>1</v>
      </c>
      <c r="T11" s="47" t="b">
        <f>if(countifs('MHQ, USA'!Q:Q,$A11,'MHQ, USA'!$I:$I,TRUE),TRUE,FALSE)</f>
        <v>1</v>
      </c>
      <c r="U11" s="47" t="b">
        <f>if(countifs('Morayfield, AUS'!Q:Q,$A11,'Morayfield, AUS'!$I:$I,TRUE),TRUE,FALSE)</f>
        <v>1</v>
      </c>
      <c r="V11" s="11" t="b">
        <f>if(countifs('Arnhem, NL'!Q:Q,$A11,'Arnhem, NL'!$I:$I,TRUE),TRUE,FALSE)</f>
        <v>1</v>
      </c>
      <c r="W11" s="47" t="b">
        <f>if(countifs('Gotenborg, SW'!Q:Q,$A11,'Gotenborg, SW'!$I:$I,TRUE),TRUE,FALSE)</f>
        <v>1</v>
      </c>
      <c r="X11" s="47" t="b">
        <f>if(countifs('Shepparton, AUS'!Q:Q,$A11,'Shepparton, AUS'!$I:$I,TRUE),TRUE,FALSE)</f>
        <v>1</v>
      </c>
      <c r="Y11" s="47" t="b">
        <f>if(countifs('Hoofddorp, NL'!Q:Q,$A11,'Hoofddorp, NL'!$I:$I,TRUE),TRUE,FALSE)</f>
        <v>1</v>
      </c>
      <c r="Z11" s="47" t="b">
        <f>if(countifs('Bedford, UK'!Q:Q,$A11,'Bedford, UK'!$I:$I,TRUE),TRUE,FALSE)</f>
        <v>1</v>
      </c>
      <c r="AA11" s="47" t="b">
        <f>IF(COUNTIFS('Desert Lodge, USA'!Q:Q,$A11,'Desert Lodge, USA'!I:I,TRUE),TRUE,FALSE)</f>
        <v>1</v>
      </c>
      <c r="AB11" s="47" t="b">
        <f>if(countifs('Dapto, AUS'!Q:Q,$A11,'Dapto, AUS'!$I:$I,TRUE),TRUE,FALSE)</f>
        <v>1</v>
      </c>
      <c r="AC11" s="47" t="b">
        <f>if(countifs('New Westminster, CAN'!Q:Q,$A11,'New Westminster, CAN'!$I:$I,TRUE),TRUE,FALSE)</f>
        <v>1</v>
      </c>
      <c r="AD11" s="47" t="b">
        <f>if(countifs('Georgetown, CAN'!Q:Q,$A11,'Georgetown, CAN'!$I:$I,TRUE),TRUE,FALSE)</f>
        <v>1</v>
      </c>
      <c r="AE11" s="47" t="b">
        <f>if(countifs('Kingswood, UK'!Q:Q,$A11,'Kingswood, UK'!$I:$I,TRUE),TRUE,FALSE)</f>
        <v>1</v>
      </c>
      <c r="AF11" s="47" t="b">
        <f>if(countifs('Hagerstown, USA'!Q:Q,$A11,'Hagerstown, USA'!$I:$I,TRUE),TRUE,FALSE)</f>
        <v>1</v>
      </c>
      <c r="AG11" s="47" t="b">
        <f>if(countifs('Felsogalla, HU'!Q:Q,$A11,'Felsogalla, HU'!$I:$I,TRUE),TRUE,FALSE)</f>
        <v>1</v>
      </c>
      <c r="AH11" s="47" t="b">
        <f>if(countifs('Norlane, AUS'!Q:Q,$A11,'Norlane, AUS'!$I:$I,TRUE),TRUE,FALSE)</f>
        <v>1</v>
      </c>
      <c r="AI11" s="47" t="b">
        <f>if(countifs('Meitingen, GER'!Q:Q,$A11,'Meitingen, GER'!$I:$I,TRUE),TRUE,FALSE)</f>
        <v>1</v>
      </c>
      <c r="AJ11" s="47" t="b">
        <f>if(countifs('Groningen, NL'!Q:Q,$A11,'Groningen, NL'!$I:$I,TRUE),TRUE,FALSE)</f>
        <v>1</v>
      </c>
      <c r="AK11" s="47" t="b">
        <f>if(countifs('Linköping, SW'!Q:Q,$A11,'Linköping, SW'!$I:$I,TRUE),TRUE,FALSE)</f>
        <v>1</v>
      </c>
      <c r="AL11" s="47" t="b">
        <f>if(countifs('Austin, USA'!Q:Q,$A11,'Austin, USA'!$I:$I,TRUE),TRUE,FALSE)</f>
        <v>0</v>
      </c>
      <c r="AM11" s="47" t="b">
        <f>if(countifs('Thringstone, UK'!Q:Q,$A11,'Thringstone, UK'!$I:$I,TRUE),TRUE,FALSE)</f>
        <v>1</v>
      </c>
      <c r="AN11" s="47" t="b">
        <f>if(countifs('Andover, UK'!Q:Q,$A11,'Andover, UK'!$I:$I,TRUE),TRUE,FALSE)</f>
        <v>1</v>
      </c>
      <c r="AO11" s="47" t="b">
        <f>if(countifs('Ospel, NL'!Q:Q,$A11,'Ospel, NL'!$I:$I,TRUE),TRUE,FALSE)</f>
        <v>1</v>
      </c>
      <c r="AP11" s="47" t="b">
        <f>if(countifs('Wonthaggi, AUS'!Q:Q,$A11,'Wonthaggi, AUS'!$I:$I,TRUE),TRUE,FALSE)</f>
        <v>1</v>
      </c>
      <c r="AQ11" s="47" t="b">
        <f>if(countifs('Falling_Waters, USA'!$Q:$Q,$A11,'Falling_Waters, USA'!$I:$I,TRUE),TRUE,FALSE)</f>
        <v>0</v>
      </c>
      <c r="AR11" s="47" t="b">
        <f>if(countifs('Kelmscott, AUS'!Q:Q,$A11,'Kelmscott, AUS'!$I:$I,TRUE),TRUE,FALSE)</f>
        <v>1</v>
      </c>
    </row>
    <row r="12">
      <c r="A12" s="47" t="str">
        <f>IFERROR(__xludf.DUMMYFUNCTION("""COMPUTED_VALUE"""),"Dazzle007")</f>
        <v>Dazzle007</v>
      </c>
      <c r="B12" s="47">
        <f t="shared" si="1"/>
        <v>2</v>
      </c>
      <c r="C12" s="47" t="b">
        <v>0</v>
      </c>
      <c r="D12" s="47" t="b">
        <v>0</v>
      </c>
      <c r="E12" s="47" t="b">
        <v>0</v>
      </c>
      <c r="F12" s="47" t="b">
        <v>0</v>
      </c>
      <c r="G12" s="96"/>
      <c r="H12" s="96" t="b">
        <f>if(countifs('Berlin, GER'!Q:Q,A12,'Berlin, GER'!I:I,TRUE),TRUE,FALSE)</f>
        <v>1</v>
      </c>
      <c r="I12" s="96" t="b">
        <f>if(countifs('Escondido, USA'!Q:Q,A12,'Escondido, USA'!I:I,TRUE),TRUE,FALSE)</f>
        <v>0</v>
      </c>
      <c r="J12" s="96" t="b">
        <f>if(countifs('Onkaparinga_Hills, AUS'!Q:Q,A12,'Onkaparinga_Hills, AUS'!I:I,TRUE),TRUE,FALSE)</f>
        <v>0</v>
      </c>
      <c r="K12" s="96" t="b">
        <f>if(countifs('Perth, AUS'!Q:Q,A12,'Perth, AUS'!I:I,TRUE),TRUE,FALSE)</f>
        <v>0</v>
      </c>
      <c r="L12" s="96" t="b">
        <f>if(countifs('Raleigh, USA'!Q:Q,A12,'Raleigh, USA'!I:I,TRUE),TRUE,FALSE)</f>
        <v>0</v>
      </c>
      <c r="M12" s="96" t="b">
        <f>if(countifs('Browns Plains, AUS'!Q:Q,A12,'Browns Plains, AUS'!I:I,TRUE),TRUE,FALSE)</f>
        <v>0</v>
      </c>
      <c r="N12" s="96" t="b">
        <f>if(countifs('Brossard, CAN'!Q:Q,A12,'Brossard, CAN'!I:I,TRUE),TRUE,FALSE)</f>
        <v>1</v>
      </c>
      <c r="O12" s="96" t="b">
        <f>if(countifs('Gouda, NL'!Q:Q,$A12,'Gouda, NL'!$I:$I,TRUE),TRUE,FALSE)</f>
        <v>0</v>
      </c>
      <c r="P12" s="47" t="b">
        <f>if(countifs('Plympton, UK'!Q:Q,$A12,'Plympton, UK'!$I:$I,TRUE),TRUE,FALSE)</f>
        <v>0</v>
      </c>
      <c r="Q12" s="47" t="b">
        <f>if(countifs('Glen Oaks, USA'!Q:Q,$A12,'Glen Oaks, USA'!$I:$I,TRUE),TRUE,FALSE)</f>
        <v>0</v>
      </c>
      <c r="R12" s="47" t="b">
        <f>if(countifs('Chemnitz, GER'!Q:Q,$A12,'Chemnitz, GER'!I:I,TRUE),TRUE,FALSE)</f>
        <v>0</v>
      </c>
      <c r="S12" s="47" t="b">
        <f>if(countifs('Vosselaar, BE'!Q:Q,$A12,'Vosselaar, BE'!$I:$I,TRUE),TRUE,FALSE)</f>
        <v>0</v>
      </c>
      <c r="T12" s="47" t="b">
        <f>if(countifs('MHQ, USA'!Q:Q,$A12,'MHQ, USA'!$I:$I,TRUE),TRUE,FALSE)</f>
        <v>0</v>
      </c>
      <c r="U12" s="47" t="b">
        <f>if(countifs('Morayfield, AUS'!Q:Q,$A12,'Morayfield, AUS'!$I:$I,TRUE),TRUE,FALSE)</f>
        <v>0</v>
      </c>
      <c r="V12" s="11" t="b">
        <f>if(countifs('Arnhem, NL'!Q:Q,$A12,'Arnhem, NL'!$I:$I,TRUE),TRUE,FALSE)</f>
        <v>0</v>
      </c>
      <c r="W12" s="47" t="b">
        <f>if(countifs('Gotenborg, SW'!Q:Q,$A12,'Gotenborg, SW'!$I:$I,TRUE),TRUE,FALSE)</f>
        <v>0</v>
      </c>
      <c r="X12" s="47" t="b">
        <f>if(countifs('Shepparton, AUS'!Q:Q,$A12,'Shepparton, AUS'!$I:$I,TRUE),TRUE,FALSE)</f>
        <v>0</v>
      </c>
      <c r="Y12" s="47" t="b">
        <f>if(countifs('Hoofddorp, NL'!Q:Q,$A12,'Hoofddorp, NL'!$I:$I,TRUE),TRUE,FALSE)</f>
        <v>0</v>
      </c>
      <c r="Z12" s="47" t="b">
        <f>if(countifs('Bedford, UK'!Q:Q,$A12,'Bedford, UK'!$I:$I,TRUE),TRUE,FALSE)</f>
        <v>0</v>
      </c>
      <c r="AA12" s="47" t="b">
        <f>IF(COUNTIFS('Desert Lodge, USA'!Q:Q,$A12,'Desert Lodge, USA'!I:I,TRUE),TRUE,FALSE)</f>
        <v>0</v>
      </c>
      <c r="AB12" s="47" t="b">
        <f>if(countifs('Dapto, AUS'!Q:Q,$A12,'Dapto, AUS'!$I:$I,TRUE),TRUE,FALSE)</f>
        <v>0</v>
      </c>
      <c r="AC12" s="47" t="b">
        <f>if(countifs('New Westminster, CAN'!Q:Q,$A12,'New Westminster, CAN'!$I:$I,TRUE),TRUE,FALSE)</f>
        <v>0</v>
      </c>
      <c r="AD12" s="47" t="b">
        <f>if(countifs('Georgetown, CAN'!Q:Q,$A12,'Georgetown, CAN'!$I:$I,TRUE),TRUE,FALSE)</f>
        <v>0</v>
      </c>
      <c r="AE12" s="47" t="b">
        <f>if(countifs('Kingswood, UK'!Q:Q,$A12,'Kingswood, UK'!$I:$I,TRUE),TRUE,FALSE)</f>
        <v>0</v>
      </c>
      <c r="AF12" s="47" t="b">
        <f>if(countifs('Hagerstown, USA'!Q:Q,$A12,'Hagerstown, USA'!$I:$I,TRUE),TRUE,FALSE)</f>
        <v>0</v>
      </c>
      <c r="AG12" s="47" t="b">
        <f>if(countifs('Felsogalla, HU'!Q:Q,$A12,'Felsogalla, HU'!$I:$I,TRUE),TRUE,FALSE)</f>
        <v>0</v>
      </c>
      <c r="AH12" s="47" t="b">
        <f>if(countifs('Norlane, AUS'!Q:Q,$A12,'Norlane, AUS'!$I:$I,TRUE),TRUE,FALSE)</f>
        <v>0</v>
      </c>
      <c r="AI12" s="47" t="b">
        <f>if(countifs('Meitingen, GER'!Q:Q,$A12,'Meitingen, GER'!$I:$I,TRUE),TRUE,FALSE)</f>
        <v>0</v>
      </c>
      <c r="AJ12" s="47" t="b">
        <f>if(countifs('Groningen, NL'!Q:Q,$A12,'Groningen, NL'!$I:$I,TRUE),TRUE,FALSE)</f>
        <v>0</v>
      </c>
      <c r="AK12" s="47" t="b">
        <f>if(countifs('Linköping, SW'!Q:Q,$A12,'Linköping, SW'!$I:$I,TRUE),TRUE,FALSE)</f>
        <v>0</v>
      </c>
      <c r="AL12" s="47" t="b">
        <f>if(countifs('Austin, USA'!Q:Q,$A12,'Austin, USA'!$I:$I,TRUE),TRUE,FALSE)</f>
        <v>0</v>
      </c>
      <c r="AM12" s="47" t="b">
        <f>if(countifs('Thringstone, UK'!Q:Q,$A12,'Thringstone, UK'!$I:$I,TRUE),TRUE,FALSE)</f>
        <v>0</v>
      </c>
      <c r="AN12" s="47" t="b">
        <f>if(countifs('Andover, UK'!Q:Q,$A12,'Andover, UK'!$I:$I,TRUE),TRUE,FALSE)</f>
        <v>0</v>
      </c>
      <c r="AO12" s="47" t="b">
        <f>if(countifs('Ospel, NL'!Q:Q,$A12,'Ospel, NL'!$I:$I,TRUE),TRUE,FALSE)</f>
        <v>0</v>
      </c>
      <c r="AP12" s="47" t="b">
        <f>if(countifs('Wonthaggi, AUS'!Q:Q,$A12,'Wonthaggi, AUS'!$I:$I,TRUE),TRUE,FALSE)</f>
        <v>0</v>
      </c>
      <c r="AQ12" s="47" t="b">
        <f>if(countifs('Falling_Waters, USA'!$Q:$Q,$A12,'Falling_Waters, USA'!$I:$I,TRUE),TRUE,FALSE)</f>
        <v>0</v>
      </c>
      <c r="AR12" s="47" t="b">
        <f>if(countifs('Kelmscott, AUS'!Q:Q,$A12,'Kelmscott, AUS'!$I:$I,TRUE),TRUE,FALSE)</f>
        <v>0</v>
      </c>
    </row>
    <row r="13">
      <c r="A13" s="47" t="str">
        <f>IFERROR(__xludf.DUMMYFUNCTION("""COMPUTED_VALUE"""),"lison55")</f>
        <v>lison55</v>
      </c>
      <c r="B13" s="47">
        <f t="shared" si="1"/>
        <v>31</v>
      </c>
      <c r="C13" s="47" t="b">
        <v>0</v>
      </c>
      <c r="D13" s="47" t="b">
        <v>0</v>
      </c>
      <c r="E13" s="47" t="b">
        <v>0</v>
      </c>
      <c r="F13" s="47" t="b">
        <v>0</v>
      </c>
      <c r="G13" s="96"/>
      <c r="H13" s="96" t="b">
        <f>if(countifs('Berlin, GER'!Q:Q,A13,'Berlin, GER'!I:I,TRUE),TRUE,FALSE)</f>
        <v>1</v>
      </c>
      <c r="I13" s="96" t="b">
        <f>if(countifs('Escondido, USA'!Q:Q,A13,'Escondido, USA'!I:I,TRUE),TRUE,FALSE)</f>
        <v>1</v>
      </c>
      <c r="J13" s="96" t="b">
        <f>if(countifs('Onkaparinga_Hills, AUS'!Q:Q,A13,'Onkaparinga_Hills, AUS'!I:I,TRUE),TRUE,FALSE)</f>
        <v>1</v>
      </c>
      <c r="K13" s="96" t="b">
        <f>if(countifs('Perth, AUS'!Q:Q,A13,'Perth, AUS'!I:I,TRUE),TRUE,FALSE)</f>
        <v>1</v>
      </c>
      <c r="L13" s="96" t="b">
        <f>if(countifs('Raleigh, USA'!Q:Q,A13,'Raleigh, USA'!I:I,TRUE),TRUE,FALSE)</f>
        <v>1</v>
      </c>
      <c r="M13" s="96" t="b">
        <f>if(countifs('Browns Plains, AUS'!Q:Q,A13,'Browns Plains, AUS'!I:I,TRUE),TRUE,FALSE)</f>
        <v>1</v>
      </c>
      <c r="N13" s="96" t="b">
        <f>if(countifs('Brossard, CAN'!Q:Q,A13,'Brossard, CAN'!I:I,TRUE),TRUE,FALSE)</f>
        <v>1</v>
      </c>
      <c r="O13" s="96" t="b">
        <f>if(countifs('Gouda, NL'!Q:Q,$A13,'Gouda, NL'!$I:$I,TRUE),TRUE,FALSE)</f>
        <v>1</v>
      </c>
      <c r="P13" s="47" t="b">
        <f>if(countifs('Plympton, UK'!Q:Q,$A13,'Plympton, UK'!$I:$I,TRUE),TRUE,FALSE)</f>
        <v>1</v>
      </c>
      <c r="Q13" s="47" t="b">
        <f>if(countifs('Glen Oaks, USA'!Q:Q,$A13,'Glen Oaks, USA'!$I:$I,TRUE),TRUE,FALSE)</f>
        <v>1</v>
      </c>
      <c r="R13" s="47" t="b">
        <f>if(countifs('Chemnitz, GER'!Q:Q,$A13,'Chemnitz, GER'!I:I,TRUE),TRUE,FALSE)</f>
        <v>1</v>
      </c>
      <c r="S13" s="47" t="b">
        <f>if(countifs('Vosselaar, BE'!Q:Q,$A13,'Vosselaar, BE'!$I:$I,TRUE),TRUE,FALSE)</f>
        <v>1</v>
      </c>
      <c r="T13" s="47" t="b">
        <f>if(countifs('MHQ, USA'!Q:Q,$A13,'MHQ, USA'!$I:$I,TRUE),TRUE,FALSE)</f>
        <v>1</v>
      </c>
      <c r="U13" s="47" t="b">
        <f>if(countifs('Morayfield, AUS'!Q:Q,$A13,'Morayfield, AUS'!$I:$I,TRUE),TRUE,FALSE)</f>
        <v>1</v>
      </c>
      <c r="V13" s="11" t="b">
        <f>if(countifs('Arnhem, NL'!Q:Q,$A13,'Arnhem, NL'!$I:$I,TRUE),TRUE,FALSE)</f>
        <v>0</v>
      </c>
      <c r="W13" s="47" t="b">
        <f>if(countifs('Gotenborg, SW'!Q:Q,$A13,'Gotenborg, SW'!$I:$I,TRUE),TRUE,FALSE)</f>
        <v>1</v>
      </c>
      <c r="X13" s="47" t="b">
        <f>if(countifs('Shepparton, AUS'!Q:Q,$A13,'Shepparton, AUS'!$I:$I,TRUE),TRUE,FALSE)</f>
        <v>1</v>
      </c>
      <c r="Y13" s="47" t="b">
        <f>if(countifs('Hoofddorp, NL'!Q:Q,$A13,'Hoofddorp, NL'!$I:$I,TRUE),TRUE,FALSE)</f>
        <v>1</v>
      </c>
      <c r="Z13" s="47" t="b">
        <f>if(countifs('Bedford, UK'!Q:Q,$A13,'Bedford, UK'!$I:$I,TRUE),TRUE,FALSE)</f>
        <v>1</v>
      </c>
      <c r="AA13" s="47" t="b">
        <f>IF(COUNTIFS('Desert Lodge, USA'!Q:Q,$A13,'Desert Lodge, USA'!I:I,TRUE),TRUE,FALSE)</f>
        <v>1</v>
      </c>
      <c r="AB13" s="47" t="b">
        <f>if(countifs('Dapto, AUS'!Q:Q,$A13,'Dapto, AUS'!$I:$I,TRUE),TRUE,FALSE)</f>
        <v>1</v>
      </c>
      <c r="AC13" s="47" t="b">
        <f>if(countifs('New Westminster, CAN'!Q:Q,$A13,'New Westminster, CAN'!$I:$I,TRUE),TRUE,FALSE)</f>
        <v>1</v>
      </c>
      <c r="AD13" s="47" t="b">
        <f>if(countifs('Georgetown, CAN'!Q:Q,$A13,'Georgetown, CAN'!$I:$I,TRUE),TRUE,FALSE)</f>
        <v>1</v>
      </c>
      <c r="AE13" s="47" t="b">
        <f>if(countifs('Kingswood, UK'!Q:Q,$A13,'Kingswood, UK'!$I:$I,TRUE),TRUE,FALSE)</f>
        <v>1</v>
      </c>
      <c r="AF13" s="47" t="b">
        <f>if(countifs('Hagerstown, USA'!Q:Q,$A13,'Hagerstown, USA'!$I:$I,TRUE),TRUE,FALSE)</f>
        <v>1</v>
      </c>
      <c r="AG13" s="47" t="b">
        <f>if(countifs('Felsogalla, HU'!Q:Q,$A13,'Felsogalla, HU'!$I:$I,TRUE),TRUE,FALSE)</f>
        <v>1</v>
      </c>
      <c r="AH13" s="47" t="b">
        <f>if(countifs('Norlane, AUS'!Q:Q,$A13,'Norlane, AUS'!$I:$I,TRUE),TRUE,FALSE)</f>
        <v>1</v>
      </c>
      <c r="AI13" s="47" t="b">
        <f>if(countifs('Meitingen, GER'!Q:Q,$A13,'Meitingen, GER'!$I:$I,TRUE),TRUE,FALSE)</f>
        <v>1</v>
      </c>
      <c r="AJ13" s="47" t="b">
        <f>if(countifs('Groningen, NL'!Q:Q,$A13,'Groningen, NL'!$I:$I,TRUE),TRUE,FALSE)</f>
        <v>1</v>
      </c>
      <c r="AK13" s="47" t="b">
        <f>if(countifs('Linköping, SW'!Q:Q,$A13,'Linköping, SW'!$I:$I,TRUE),TRUE,FALSE)</f>
        <v>1</v>
      </c>
      <c r="AL13" s="47" t="b">
        <f>if(countifs('Austin, USA'!Q:Q,$A13,'Austin, USA'!$I:$I,TRUE),TRUE,FALSE)</f>
        <v>0</v>
      </c>
      <c r="AM13" s="47" t="b">
        <f>if(countifs('Thringstone, UK'!Q:Q,$A13,'Thringstone, UK'!$I:$I,TRUE),TRUE,FALSE)</f>
        <v>0</v>
      </c>
      <c r="AN13" s="47" t="b">
        <f>if(countifs('Andover, UK'!Q:Q,$A13,'Andover, UK'!$I:$I,TRUE),TRUE,FALSE)</f>
        <v>0</v>
      </c>
      <c r="AO13" s="47" t="b">
        <f>if(countifs('Ospel, NL'!Q:Q,$A13,'Ospel, NL'!$I:$I,TRUE),TRUE,FALSE)</f>
        <v>1</v>
      </c>
      <c r="AP13" s="47" t="b">
        <f>if(countifs('Wonthaggi, AUS'!Q:Q,$A13,'Wonthaggi, AUS'!$I:$I,TRUE),TRUE,FALSE)</f>
        <v>0</v>
      </c>
      <c r="AQ13" s="47" t="b">
        <f>if(countifs('Falling_Waters, USA'!$Q:$Q,$A13,'Falling_Waters, USA'!$I:$I,TRUE),TRUE,FALSE)</f>
        <v>1</v>
      </c>
      <c r="AR13" s="47" t="b">
        <f>if(countifs('Kelmscott, AUS'!Q:Q,$A13,'Kelmscott, AUS'!$I:$I,TRUE),TRUE,FALSE)</f>
        <v>0</v>
      </c>
    </row>
    <row r="14">
      <c r="A14" s="47" t="str">
        <f>IFERROR(__xludf.DUMMYFUNCTION("""COMPUTED_VALUE"""),"Pinkeltje")</f>
        <v>Pinkeltje</v>
      </c>
      <c r="B14" s="47">
        <f t="shared" si="1"/>
        <v>20</v>
      </c>
      <c r="C14" s="47" t="b">
        <v>0</v>
      </c>
      <c r="D14" s="47" t="b">
        <v>0</v>
      </c>
      <c r="E14" s="47" t="b">
        <v>0</v>
      </c>
      <c r="F14" s="47" t="b">
        <v>0</v>
      </c>
      <c r="G14" s="96"/>
      <c r="H14" s="96" t="b">
        <f>if(countifs('Berlin, GER'!Q:Q,A14,'Berlin, GER'!I:I,TRUE),TRUE,FALSE)</f>
        <v>1</v>
      </c>
      <c r="I14" s="96" t="b">
        <f>if(countifs('Escondido, USA'!Q:Q,A14,'Escondido, USA'!I:I,TRUE),TRUE,FALSE)</f>
        <v>1</v>
      </c>
      <c r="J14" s="96" t="b">
        <f>if(countifs('Onkaparinga_Hills, AUS'!Q:Q,A14,'Onkaparinga_Hills, AUS'!I:I,TRUE),TRUE,FALSE)</f>
        <v>1</v>
      </c>
      <c r="K14" s="96" t="b">
        <f>if(countifs('Perth, AUS'!Q:Q,A14,'Perth, AUS'!I:I,TRUE),TRUE,FALSE)</f>
        <v>1</v>
      </c>
      <c r="L14" s="96" t="b">
        <f>if(countifs('Raleigh, USA'!Q:Q,A14,'Raleigh, USA'!I:I,TRUE),TRUE,FALSE)</f>
        <v>1</v>
      </c>
      <c r="M14" s="96" t="b">
        <f>if(countifs('Browns Plains, AUS'!Q:Q,A14,'Browns Plains, AUS'!I:I,TRUE),TRUE,FALSE)</f>
        <v>1</v>
      </c>
      <c r="N14" s="96" t="b">
        <f>if(countifs('Brossard, CAN'!Q:Q,A14,'Brossard, CAN'!I:I,TRUE),TRUE,FALSE)</f>
        <v>1</v>
      </c>
      <c r="O14" s="96" t="b">
        <f>if(countifs('Gouda, NL'!Q:Q,$A14,'Gouda, NL'!$I:$I,TRUE),TRUE,FALSE)</f>
        <v>1</v>
      </c>
      <c r="P14" s="47" t="b">
        <f>if(countifs('Plympton, UK'!Q:Q,$A14,'Plympton, UK'!$I:$I,TRUE),TRUE,FALSE)</f>
        <v>1</v>
      </c>
      <c r="Q14" s="47" t="b">
        <f>if(countifs('Glen Oaks, USA'!Q:Q,$A14,'Glen Oaks, USA'!$I:$I,TRUE),TRUE,FALSE)</f>
        <v>1</v>
      </c>
      <c r="R14" s="47" t="b">
        <f>if(countifs('Chemnitz, GER'!Q:Q,$A14,'Chemnitz, GER'!I:I,TRUE),TRUE,FALSE)</f>
        <v>1</v>
      </c>
      <c r="S14" s="47" t="b">
        <f>if(countifs('Vosselaar, BE'!Q:Q,$A14,'Vosselaar, BE'!$I:$I,TRUE),TRUE,FALSE)</f>
        <v>1</v>
      </c>
      <c r="T14" s="47" t="b">
        <f>if(countifs('MHQ, USA'!Q:Q,$A14,'MHQ, USA'!$I:$I,TRUE),TRUE,FALSE)</f>
        <v>1</v>
      </c>
      <c r="U14" s="47" t="b">
        <f>if(countifs('Morayfield, AUS'!Q:Q,$A14,'Morayfield, AUS'!$I:$I,TRUE),TRUE,FALSE)</f>
        <v>1</v>
      </c>
      <c r="V14" s="11" t="b">
        <f>if(countifs('Arnhem, NL'!Q:Q,$A14,'Arnhem, NL'!$I:$I,TRUE),TRUE,FALSE)</f>
        <v>1</v>
      </c>
      <c r="W14" s="47" t="b">
        <f>if(countifs('Gotenborg, SW'!Q:Q,$A14,'Gotenborg, SW'!$I:$I,TRUE),TRUE,FALSE)</f>
        <v>1</v>
      </c>
      <c r="X14" s="47" t="b">
        <f>if(countifs('Shepparton, AUS'!Q:Q,$A14,'Shepparton, AUS'!$I:$I,TRUE),TRUE,FALSE)</f>
        <v>0</v>
      </c>
      <c r="Y14" s="47" t="b">
        <f>if(countifs('Hoofddorp, NL'!Q:Q,$A14,'Hoofddorp, NL'!$I:$I,TRUE),TRUE,FALSE)</f>
        <v>0</v>
      </c>
      <c r="Z14" s="47" t="b">
        <f>if(countifs('Bedford, UK'!Q:Q,$A14,'Bedford, UK'!$I:$I,TRUE),TRUE,FALSE)</f>
        <v>1</v>
      </c>
      <c r="AA14" s="47" t="b">
        <f>IF(COUNTIFS('Desert Lodge, USA'!Q:Q,$A14,'Desert Lodge, USA'!I:I,TRUE),TRUE,FALSE)</f>
        <v>1</v>
      </c>
      <c r="AB14" s="47" t="b">
        <f>if(countifs('Dapto, AUS'!Q:Q,$A14,'Dapto, AUS'!$I:$I,TRUE),TRUE,FALSE)</f>
        <v>1</v>
      </c>
      <c r="AC14" s="47" t="b">
        <f>if(countifs('New Westminster, CAN'!Q:Q,$A14,'New Westminster, CAN'!$I:$I,TRUE),TRUE,FALSE)</f>
        <v>1</v>
      </c>
      <c r="AD14" s="47" t="b">
        <f>if(countifs('Georgetown, CAN'!Q:Q,$A14,'Georgetown, CAN'!$I:$I,TRUE),TRUE,FALSE)</f>
        <v>0</v>
      </c>
      <c r="AE14" s="47" t="b">
        <f>if(countifs('Kingswood, UK'!Q:Q,$A14,'Kingswood, UK'!$I:$I,TRUE),TRUE,FALSE)</f>
        <v>0</v>
      </c>
      <c r="AF14" s="47" t="b">
        <f>if(countifs('Hagerstown, USA'!Q:Q,$A14,'Hagerstown, USA'!$I:$I,TRUE),TRUE,FALSE)</f>
        <v>0</v>
      </c>
      <c r="AG14" s="47" t="b">
        <f>if(countifs('Felsogalla, HU'!Q:Q,$A14,'Felsogalla, HU'!$I:$I,TRUE),TRUE,FALSE)</f>
        <v>0</v>
      </c>
      <c r="AH14" s="47" t="b">
        <f>if(countifs('Norlane, AUS'!Q:Q,$A14,'Norlane, AUS'!$I:$I,TRUE),TRUE,FALSE)</f>
        <v>0</v>
      </c>
      <c r="AI14" s="47" t="b">
        <f>if(countifs('Meitingen, GER'!Q:Q,$A14,'Meitingen, GER'!$I:$I,TRUE),TRUE,FALSE)</f>
        <v>0</v>
      </c>
      <c r="AJ14" s="47" t="b">
        <f>if(countifs('Groningen, NL'!Q:Q,$A14,'Groningen, NL'!$I:$I,TRUE),TRUE,FALSE)</f>
        <v>0</v>
      </c>
      <c r="AK14" s="47" t="b">
        <f>if(countifs('Linköping, SW'!Q:Q,$A14,'Linköping, SW'!$I:$I,TRUE),TRUE,FALSE)</f>
        <v>0</v>
      </c>
      <c r="AL14" s="47" t="b">
        <f>if(countifs('Austin, USA'!Q:Q,$A14,'Austin, USA'!$I:$I,TRUE),TRUE,FALSE)</f>
        <v>0</v>
      </c>
      <c r="AM14" s="47" t="b">
        <f>if(countifs('Thringstone, UK'!Q:Q,$A14,'Thringstone, UK'!$I:$I,TRUE),TRUE,FALSE)</f>
        <v>0</v>
      </c>
      <c r="AN14" s="47" t="b">
        <f>if(countifs('Andover, UK'!Q:Q,$A14,'Andover, UK'!$I:$I,TRUE),TRUE,FALSE)</f>
        <v>0</v>
      </c>
      <c r="AO14" s="47" t="b">
        <f>if(countifs('Ospel, NL'!Q:Q,$A14,'Ospel, NL'!$I:$I,TRUE),TRUE,FALSE)</f>
        <v>0</v>
      </c>
      <c r="AP14" s="47" t="b">
        <f>if(countifs('Wonthaggi, AUS'!Q:Q,$A14,'Wonthaggi, AUS'!$I:$I,TRUE),TRUE,FALSE)</f>
        <v>0</v>
      </c>
      <c r="AQ14" s="47" t="b">
        <f>if(countifs('Falling_Waters, USA'!$Q:$Q,$A14,'Falling_Waters, USA'!$I:$I,TRUE),TRUE,FALSE)</f>
        <v>0</v>
      </c>
      <c r="AR14" s="47" t="b">
        <f>if(countifs('Kelmscott, AUS'!Q:Q,$A14,'Kelmscott, AUS'!$I:$I,TRUE),TRUE,FALSE)</f>
        <v>0</v>
      </c>
    </row>
    <row r="15">
      <c r="A15" s="47" t="str">
        <f>IFERROR(__xludf.DUMMYFUNCTION("""COMPUTED_VALUE"""),"Bambinacattiva")</f>
        <v>Bambinacattiva</v>
      </c>
      <c r="B15" s="47">
        <f t="shared" si="1"/>
        <v>7</v>
      </c>
      <c r="C15" s="47" t="b">
        <v>0</v>
      </c>
      <c r="D15" s="47" t="b">
        <v>0</v>
      </c>
      <c r="E15" s="47" t="b">
        <v>0</v>
      </c>
      <c r="F15" s="47" t="b">
        <v>0</v>
      </c>
      <c r="G15" s="96"/>
      <c r="H15" s="96" t="b">
        <f>if(countifs('Berlin, GER'!Q:Q,A15,'Berlin, GER'!I:I,TRUE),TRUE,FALSE)</f>
        <v>1</v>
      </c>
      <c r="I15" s="96" t="b">
        <f>if(countifs('Escondido, USA'!Q:Q,A15,'Escondido, USA'!I:I,TRUE),TRUE,FALSE)</f>
        <v>1</v>
      </c>
      <c r="J15" s="96" t="b">
        <f>if(countifs('Onkaparinga_Hills, AUS'!Q:Q,A15,'Onkaparinga_Hills, AUS'!I:I,TRUE),TRUE,FALSE)</f>
        <v>1</v>
      </c>
      <c r="K15" s="96" t="b">
        <f>if(countifs('Perth, AUS'!Q:Q,A15,'Perth, AUS'!I:I,TRUE),TRUE,FALSE)</f>
        <v>1</v>
      </c>
      <c r="L15" s="96" t="b">
        <f>if(countifs('Raleigh, USA'!Q:Q,A15,'Raleigh, USA'!I:I,TRUE),TRUE,FALSE)</f>
        <v>1</v>
      </c>
      <c r="M15" s="96" t="b">
        <f>if(countifs('Browns Plains, AUS'!Q:Q,A15,'Browns Plains, AUS'!I:I,TRUE),TRUE,FALSE)</f>
        <v>1</v>
      </c>
      <c r="N15" s="96" t="b">
        <f>if(countifs('Brossard, CAN'!Q:Q,A15,'Brossard, CAN'!I:I,TRUE),TRUE,FALSE)</f>
        <v>0</v>
      </c>
      <c r="O15" s="96" t="b">
        <f>if(countifs('Gouda, NL'!Q:Q,$A15,'Gouda, NL'!$I:$I,TRUE),TRUE,FALSE)</f>
        <v>1</v>
      </c>
      <c r="P15" s="47" t="b">
        <f>if(countifs('Plympton, UK'!Q:Q,$A15,'Plympton, UK'!$I:$I,TRUE),TRUE,FALSE)</f>
        <v>0</v>
      </c>
      <c r="Q15" s="47" t="b">
        <f>if(countifs('Glen Oaks, USA'!Q:Q,$A15,'Glen Oaks, USA'!$I:$I,TRUE),TRUE,FALSE)</f>
        <v>0</v>
      </c>
      <c r="R15" s="47" t="b">
        <f>if(countifs('Chemnitz, GER'!Q:Q,$A15,'Chemnitz, GER'!I:I,TRUE),TRUE,FALSE)</f>
        <v>0</v>
      </c>
      <c r="S15" s="47" t="b">
        <f>if(countifs('Vosselaar, BE'!Q:Q,$A15,'Vosselaar, BE'!$I:$I,TRUE),TRUE,FALSE)</f>
        <v>0</v>
      </c>
      <c r="T15" s="47" t="b">
        <f>if(countifs('MHQ, USA'!Q:Q,$A15,'MHQ, USA'!$I:$I,TRUE),TRUE,FALSE)</f>
        <v>0</v>
      </c>
      <c r="U15" s="47" t="b">
        <f>if(countifs('Morayfield, AUS'!Q:Q,$A15,'Morayfield, AUS'!$I:$I,TRUE),TRUE,FALSE)</f>
        <v>0</v>
      </c>
      <c r="V15" s="11" t="b">
        <f>if(countifs('Arnhem, NL'!Q:Q,$A15,'Arnhem, NL'!$I:$I,TRUE),TRUE,FALSE)</f>
        <v>0</v>
      </c>
      <c r="W15" s="47" t="b">
        <f>if(countifs('Gotenborg, SW'!Q:Q,$A15,'Gotenborg, SW'!$I:$I,TRUE),TRUE,FALSE)</f>
        <v>0</v>
      </c>
      <c r="X15" s="47" t="b">
        <f>if(countifs('Shepparton, AUS'!Q:Q,$A15,'Shepparton, AUS'!$I:$I,TRUE),TRUE,FALSE)</f>
        <v>0</v>
      </c>
      <c r="Y15" s="47" t="b">
        <f>if(countifs('Hoofddorp, NL'!Q:Q,$A15,'Hoofddorp, NL'!$I:$I,TRUE),TRUE,FALSE)</f>
        <v>0</v>
      </c>
      <c r="Z15" s="47" t="b">
        <f>if(countifs('Bedford, UK'!Q:Q,$A15,'Bedford, UK'!$I:$I,TRUE),TRUE,FALSE)</f>
        <v>0</v>
      </c>
      <c r="AA15" s="47" t="b">
        <f>IF(COUNTIFS('Desert Lodge, USA'!Q:Q,$A15,'Desert Lodge, USA'!I:I,TRUE),TRUE,FALSE)</f>
        <v>0</v>
      </c>
      <c r="AB15" s="47" t="b">
        <f>if(countifs('Dapto, AUS'!Q:Q,$A15,'Dapto, AUS'!$I:$I,TRUE),TRUE,FALSE)</f>
        <v>0</v>
      </c>
      <c r="AC15" s="47" t="b">
        <f>if(countifs('New Westminster, CAN'!Q:Q,$A15,'New Westminster, CAN'!$I:$I,TRUE),TRUE,FALSE)</f>
        <v>0</v>
      </c>
      <c r="AD15" s="47" t="b">
        <f>if(countifs('Georgetown, CAN'!Q:Q,$A15,'Georgetown, CAN'!$I:$I,TRUE),TRUE,FALSE)</f>
        <v>0</v>
      </c>
      <c r="AE15" s="47" t="b">
        <f>if(countifs('Kingswood, UK'!Q:Q,$A15,'Kingswood, UK'!$I:$I,TRUE),TRUE,FALSE)</f>
        <v>0</v>
      </c>
      <c r="AF15" s="47" t="b">
        <f>if(countifs('Hagerstown, USA'!Q:Q,$A15,'Hagerstown, USA'!$I:$I,TRUE),TRUE,FALSE)</f>
        <v>0</v>
      </c>
      <c r="AG15" s="47" t="b">
        <f>if(countifs('Felsogalla, HU'!Q:Q,$A15,'Felsogalla, HU'!$I:$I,TRUE),TRUE,FALSE)</f>
        <v>0</v>
      </c>
      <c r="AH15" s="47" t="b">
        <f>if(countifs('Norlane, AUS'!Q:Q,$A15,'Norlane, AUS'!$I:$I,TRUE),TRUE,FALSE)</f>
        <v>0</v>
      </c>
      <c r="AI15" s="47" t="b">
        <f>if(countifs('Meitingen, GER'!Q:Q,$A15,'Meitingen, GER'!$I:$I,TRUE),TRUE,FALSE)</f>
        <v>0</v>
      </c>
      <c r="AJ15" s="47" t="b">
        <f>if(countifs('Groningen, NL'!Q:Q,$A15,'Groningen, NL'!$I:$I,TRUE),TRUE,FALSE)</f>
        <v>0</v>
      </c>
      <c r="AK15" s="47" t="b">
        <f>if(countifs('Linköping, SW'!Q:Q,$A15,'Linköping, SW'!$I:$I,TRUE),TRUE,FALSE)</f>
        <v>0</v>
      </c>
      <c r="AL15" s="47" t="b">
        <f>if(countifs('Austin, USA'!Q:Q,$A15,'Austin, USA'!$I:$I,TRUE),TRUE,FALSE)</f>
        <v>0</v>
      </c>
      <c r="AM15" s="47" t="b">
        <f>if(countifs('Thringstone, UK'!Q:Q,$A15,'Thringstone, UK'!$I:$I,TRUE),TRUE,FALSE)</f>
        <v>0</v>
      </c>
      <c r="AN15" s="47" t="b">
        <f>if(countifs('Andover, UK'!Q:Q,$A15,'Andover, UK'!$I:$I,TRUE),TRUE,FALSE)</f>
        <v>0</v>
      </c>
      <c r="AO15" s="47" t="b">
        <f>if(countifs('Ospel, NL'!Q:Q,$A15,'Ospel, NL'!$I:$I,TRUE),TRUE,FALSE)</f>
        <v>0</v>
      </c>
      <c r="AP15" s="47" t="b">
        <f>if(countifs('Wonthaggi, AUS'!Q:Q,$A15,'Wonthaggi, AUS'!$I:$I,TRUE),TRUE,FALSE)</f>
        <v>0</v>
      </c>
      <c r="AQ15" s="47" t="b">
        <f>if(countifs('Falling_Waters, USA'!$Q:$Q,$A15,'Falling_Waters, USA'!$I:$I,TRUE),TRUE,FALSE)</f>
        <v>0</v>
      </c>
      <c r="AR15" s="47" t="b">
        <f>if(countifs('Kelmscott, AUS'!Q:Q,$A15,'Kelmscott, AUS'!$I:$I,TRUE),TRUE,FALSE)</f>
        <v>0</v>
      </c>
    </row>
    <row r="16">
      <c r="A16" s="47" t="str">
        <f>IFERROR(__xludf.DUMMYFUNCTION("""COMPUTED_VALUE"""),"sverlaan")</f>
        <v>sverlaan</v>
      </c>
      <c r="B16" s="47">
        <f t="shared" si="1"/>
        <v>36</v>
      </c>
      <c r="C16" s="47" t="b">
        <v>0</v>
      </c>
      <c r="D16" s="47" t="b">
        <v>0</v>
      </c>
      <c r="E16" s="47" t="b">
        <v>0</v>
      </c>
      <c r="F16" s="47" t="b">
        <v>0</v>
      </c>
      <c r="G16" s="96"/>
      <c r="H16" s="96" t="b">
        <f>if(countifs('Berlin, GER'!Q:Q,A16,'Berlin, GER'!I:I,TRUE),TRUE,FALSE)</f>
        <v>1</v>
      </c>
      <c r="I16" s="96" t="b">
        <f>if(countifs('Escondido, USA'!Q:Q,A16,'Escondido, USA'!I:I,TRUE),TRUE,FALSE)</f>
        <v>1</v>
      </c>
      <c r="J16" s="96" t="b">
        <f>if(countifs('Onkaparinga_Hills, AUS'!Q:Q,A16,'Onkaparinga_Hills, AUS'!I:I,TRUE),TRUE,FALSE)</f>
        <v>1</v>
      </c>
      <c r="K16" s="96" t="b">
        <f>if(countifs('Perth, AUS'!Q:Q,A16,'Perth, AUS'!I:I,TRUE),TRUE,FALSE)</f>
        <v>1</v>
      </c>
      <c r="L16" s="96" t="b">
        <f>if(countifs('Raleigh, USA'!Q:Q,A16,'Raleigh, USA'!I:I,TRUE),TRUE,FALSE)</f>
        <v>1</v>
      </c>
      <c r="M16" s="96" t="b">
        <f>if(countifs('Browns Plains, AUS'!Q:Q,A16,'Browns Plains, AUS'!I:I,TRUE),TRUE,FALSE)</f>
        <v>1</v>
      </c>
      <c r="N16" s="96" t="b">
        <f>if(countifs('Brossard, CAN'!Q:Q,A16,'Brossard, CAN'!I:I,TRUE),TRUE,FALSE)</f>
        <v>1</v>
      </c>
      <c r="O16" s="96" t="b">
        <f>if(countifs('Gouda, NL'!Q:Q,$A16,'Gouda, NL'!$I:$I,TRUE),TRUE,FALSE)</f>
        <v>1</v>
      </c>
      <c r="P16" s="47" t="b">
        <f>if(countifs('Plympton, UK'!Q:Q,$A16,'Plympton, UK'!$I:$I,TRUE),TRUE,FALSE)</f>
        <v>1</v>
      </c>
      <c r="Q16" s="47" t="b">
        <f>if(countifs('Glen Oaks, USA'!Q:Q,$A16,'Glen Oaks, USA'!$I:$I,TRUE),TRUE,FALSE)</f>
        <v>1</v>
      </c>
      <c r="R16" s="47" t="b">
        <f>if(countifs('Chemnitz, GER'!Q:Q,$A16,'Chemnitz, GER'!I:I,TRUE),TRUE,FALSE)</f>
        <v>1</v>
      </c>
      <c r="S16" s="47" t="b">
        <f>if(countifs('Vosselaar, BE'!Q:Q,$A16,'Vosselaar, BE'!$I:$I,TRUE),TRUE,FALSE)</f>
        <v>1</v>
      </c>
      <c r="T16" s="47" t="b">
        <f>if(countifs('MHQ, USA'!Q:Q,$A16,'MHQ, USA'!$I:$I,TRUE),TRUE,FALSE)</f>
        <v>1</v>
      </c>
      <c r="U16" s="47" t="b">
        <f>if(countifs('Morayfield, AUS'!Q:Q,$A16,'Morayfield, AUS'!$I:$I,TRUE),TRUE,FALSE)</f>
        <v>1</v>
      </c>
      <c r="V16" s="11" t="b">
        <f>if(countifs('Arnhem, NL'!Q:Q,$A16,'Arnhem, NL'!$I:$I,TRUE),TRUE,FALSE)</f>
        <v>1</v>
      </c>
      <c r="W16" s="47" t="b">
        <f>if(countifs('Gotenborg, SW'!Q:Q,$A16,'Gotenborg, SW'!$I:$I,TRUE),TRUE,FALSE)</f>
        <v>1</v>
      </c>
      <c r="X16" s="47" t="b">
        <f>if(countifs('Shepparton, AUS'!Q:Q,$A16,'Shepparton, AUS'!$I:$I,TRUE),TRUE,FALSE)</f>
        <v>1</v>
      </c>
      <c r="Y16" s="47" t="b">
        <f>if(countifs('Hoofddorp, NL'!Q:Q,$A16,'Hoofddorp, NL'!$I:$I,TRUE),TRUE,FALSE)</f>
        <v>1</v>
      </c>
      <c r="Z16" s="47" t="b">
        <f>if(countifs('Bedford, UK'!Q:Q,$A16,'Bedford, UK'!$I:$I,TRUE),TRUE,FALSE)</f>
        <v>1</v>
      </c>
      <c r="AA16" s="47" t="b">
        <f>IF(COUNTIFS('Desert Lodge, USA'!Q:Q,$A16,'Desert Lodge, USA'!I:I,TRUE),TRUE,FALSE)</f>
        <v>1</v>
      </c>
      <c r="AB16" s="47" t="b">
        <f>if(countifs('Dapto, AUS'!Q:Q,$A16,'Dapto, AUS'!$I:$I,TRUE),TRUE,FALSE)</f>
        <v>1</v>
      </c>
      <c r="AC16" s="47" t="b">
        <f>if(countifs('New Westminster, CAN'!Q:Q,$A16,'New Westminster, CAN'!$I:$I,TRUE),TRUE,FALSE)</f>
        <v>1</v>
      </c>
      <c r="AD16" s="47" t="b">
        <f>if(countifs('Georgetown, CAN'!Q:Q,$A16,'Georgetown, CAN'!$I:$I,TRUE),TRUE,FALSE)</f>
        <v>1</v>
      </c>
      <c r="AE16" s="47" t="b">
        <f>if(countifs('Kingswood, UK'!Q:Q,$A16,'Kingswood, UK'!$I:$I,TRUE),TRUE,FALSE)</f>
        <v>1</v>
      </c>
      <c r="AF16" s="47" t="b">
        <f>if(countifs('Hagerstown, USA'!Q:Q,$A16,'Hagerstown, USA'!$I:$I,TRUE),TRUE,FALSE)</f>
        <v>1</v>
      </c>
      <c r="AG16" s="47" t="b">
        <f>if(countifs('Felsogalla, HU'!Q:Q,$A16,'Felsogalla, HU'!$I:$I,TRUE),TRUE,FALSE)</f>
        <v>1</v>
      </c>
      <c r="AH16" s="47" t="b">
        <f>if(countifs('Norlane, AUS'!Q:Q,$A16,'Norlane, AUS'!$I:$I,TRUE),TRUE,FALSE)</f>
        <v>1</v>
      </c>
      <c r="AI16" s="47" t="b">
        <f>if(countifs('Meitingen, GER'!Q:Q,$A16,'Meitingen, GER'!$I:$I,TRUE),TRUE,FALSE)</f>
        <v>1</v>
      </c>
      <c r="AJ16" s="47" t="b">
        <f>if(countifs('Groningen, NL'!Q:Q,$A16,'Groningen, NL'!$I:$I,TRUE),TRUE,FALSE)</f>
        <v>1</v>
      </c>
      <c r="AK16" s="47" t="b">
        <f>if(countifs('Linköping, SW'!Q:Q,$A16,'Linköping, SW'!$I:$I,TRUE),TRUE,FALSE)</f>
        <v>1</v>
      </c>
      <c r="AL16" s="47" t="b">
        <f>if(countifs('Austin, USA'!Q:Q,$A16,'Austin, USA'!$I:$I,TRUE),TRUE,FALSE)</f>
        <v>0</v>
      </c>
      <c r="AM16" s="47" t="b">
        <f>if(countifs('Thringstone, UK'!Q:Q,$A16,'Thringstone, UK'!$I:$I,TRUE),TRUE,FALSE)</f>
        <v>1</v>
      </c>
      <c r="AN16" s="47" t="b">
        <f>if(countifs('Andover, UK'!Q:Q,$A16,'Andover, UK'!$I:$I,TRUE),TRUE,FALSE)</f>
        <v>1</v>
      </c>
      <c r="AO16" s="47" t="b">
        <f>if(countifs('Ospel, NL'!Q:Q,$A16,'Ospel, NL'!$I:$I,TRUE),TRUE,FALSE)</f>
        <v>1</v>
      </c>
      <c r="AP16" s="47" t="b">
        <f>if(countifs('Wonthaggi, AUS'!Q:Q,$A16,'Wonthaggi, AUS'!$I:$I,TRUE),TRUE,FALSE)</f>
        <v>1</v>
      </c>
      <c r="AQ16" s="47" t="b">
        <f>if(countifs('Falling_Waters, USA'!$Q:$Q,$A16,'Falling_Waters, USA'!$I:$I,TRUE),TRUE,FALSE)</f>
        <v>1</v>
      </c>
      <c r="AR16" s="47" t="b">
        <f>if(countifs('Kelmscott, AUS'!Q:Q,$A16,'Kelmscott, AUS'!$I:$I,TRUE),TRUE,FALSE)</f>
        <v>1</v>
      </c>
    </row>
    <row r="17">
      <c r="A17" s="47" t="str">
        <f>IFERROR(__xludf.DUMMYFUNCTION("""COMPUTED_VALUE"""),"EmileP68")</f>
        <v>EmileP68</v>
      </c>
      <c r="B17" s="47">
        <f t="shared" si="1"/>
        <v>35</v>
      </c>
      <c r="C17" s="47" t="b">
        <v>0</v>
      </c>
      <c r="D17" s="47" t="b">
        <v>0</v>
      </c>
      <c r="E17" s="47" t="b">
        <v>0</v>
      </c>
      <c r="F17" s="47" t="b">
        <v>0</v>
      </c>
      <c r="G17" s="96"/>
      <c r="H17" s="96" t="b">
        <f>if(countifs('Berlin, GER'!Q:Q,A17,'Berlin, GER'!I:I,TRUE),TRUE,FALSE)</f>
        <v>1</v>
      </c>
      <c r="I17" s="96" t="b">
        <f>if(countifs('Escondido, USA'!Q:Q,A17,'Escondido, USA'!I:I,TRUE),TRUE,FALSE)</f>
        <v>1</v>
      </c>
      <c r="J17" s="96" t="b">
        <f>if(countifs('Onkaparinga_Hills, AUS'!Q:Q,A17,'Onkaparinga_Hills, AUS'!I:I,TRUE),TRUE,FALSE)</f>
        <v>1</v>
      </c>
      <c r="K17" s="96" t="b">
        <f>if(countifs('Perth, AUS'!Q:Q,A17,'Perth, AUS'!I:I,TRUE),TRUE,FALSE)</f>
        <v>1</v>
      </c>
      <c r="L17" s="96" t="b">
        <f>if(countifs('Raleigh, USA'!Q:Q,A17,'Raleigh, USA'!I:I,TRUE),TRUE,FALSE)</f>
        <v>1</v>
      </c>
      <c r="M17" s="96" t="b">
        <f>if(countifs('Browns Plains, AUS'!Q:Q,A17,'Browns Plains, AUS'!I:I,TRUE),TRUE,FALSE)</f>
        <v>1</v>
      </c>
      <c r="N17" s="96" t="b">
        <f>if(countifs('Brossard, CAN'!Q:Q,A17,'Brossard, CAN'!I:I,TRUE),TRUE,FALSE)</f>
        <v>1</v>
      </c>
      <c r="O17" s="96" t="b">
        <f>if(countifs('Gouda, NL'!Q:Q,$A17,'Gouda, NL'!$I:$I,TRUE),TRUE,FALSE)</f>
        <v>1</v>
      </c>
      <c r="P17" s="47" t="b">
        <f>if(countifs('Plympton, UK'!Q:Q,$A17,'Plympton, UK'!$I:$I,TRUE),TRUE,FALSE)</f>
        <v>1</v>
      </c>
      <c r="Q17" s="47" t="b">
        <f>if(countifs('Glen Oaks, USA'!Q:Q,$A17,'Glen Oaks, USA'!$I:$I,TRUE),TRUE,FALSE)</f>
        <v>0</v>
      </c>
      <c r="R17" s="47" t="b">
        <f>if(countifs('Chemnitz, GER'!Q:Q,$A17,'Chemnitz, GER'!I:I,TRUE),TRUE,FALSE)</f>
        <v>1</v>
      </c>
      <c r="S17" s="47" t="b">
        <f>if(countifs('Vosselaar, BE'!Q:Q,$A17,'Vosselaar, BE'!$I:$I,TRUE),TRUE,FALSE)</f>
        <v>1</v>
      </c>
      <c r="T17" s="47" t="b">
        <f>if(countifs('MHQ, USA'!Q:Q,$A17,'MHQ, USA'!$I:$I,TRUE),TRUE,FALSE)</f>
        <v>1</v>
      </c>
      <c r="U17" s="47" t="b">
        <f>if(countifs('Morayfield, AUS'!Q:Q,$A17,'Morayfield, AUS'!$I:$I,TRUE),TRUE,FALSE)</f>
        <v>1</v>
      </c>
      <c r="V17" s="11" t="b">
        <f>if(countifs('Arnhem, NL'!Q:Q,$A17,'Arnhem, NL'!$I:$I,TRUE),TRUE,FALSE)</f>
        <v>1</v>
      </c>
      <c r="W17" s="47" t="b">
        <f>if(countifs('Gotenborg, SW'!Q:Q,$A17,'Gotenborg, SW'!$I:$I,TRUE),TRUE,FALSE)</f>
        <v>1</v>
      </c>
      <c r="X17" s="47" t="b">
        <f>if(countifs('Shepparton, AUS'!Q:Q,$A17,'Shepparton, AUS'!$I:$I,TRUE),TRUE,FALSE)</f>
        <v>1</v>
      </c>
      <c r="Y17" s="47" t="b">
        <f>if(countifs('Hoofddorp, NL'!Q:Q,$A17,'Hoofddorp, NL'!$I:$I,TRUE),TRUE,FALSE)</f>
        <v>1</v>
      </c>
      <c r="Z17" s="47" t="b">
        <f>if(countifs('Bedford, UK'!Q:Q,$A17,'Bedford, UK'!$I:$I,TRUE),TRUE,FALSE)</f>
        <v>1</v>
      </c>
      <c r="AA17" s="47" t="b">
        <f>IF(COUNTIFS('Desert Lodge, USA'!Q:Q,$A17,'Desert Lodge, USA'!I:I,TRUE),TRUE,FALSE)</f>
        <v>1</v>
      </c>
      <c r="AB17" s="47" t="b">
        <f>if(countifs('Dapto, AUS'!Q:Q,$A17,'Dapto, AUS'!$I:$I,TRUE),TRUE,FALSE)</f>
        <v>1</v>
      </c>
      <c r="AC17" s="47" t="b">
        <f>if(countifs('New Westminster, CAN'!Q:Q,$A17,'New Westminster, CAN'!$I:$I,TRUE),TRUE,FALSE)</f>
        <v>1</v>
      </c>
      <c r="AD17" s="47" t="b">
        <f>if(countifs('Georgetown, CAN'!Q:Q,$A17,'Georgetown, CAN'!$I:$I,TRUE),TRUE,FALSE)</f>
        <v>1</v>
      </c>
      <c r="AE17" s="47" t="b">
        <f>if(countifs('Kingswood, UK'!Q:Q,$A17,'Kingswood, UK'!$I:$I,TRUE),TRUE,FALSE)</f>
        <v>1</v>
      </c>
      <c r="AF17" s="47" t="b">
        <f>if(countifs('Hagerstown, USA'!Q:Q,$A17,'Hagerstown, USA'!$I:$I,TRUE),TRUE,FALSE)</f>
        <v>1</v>
      </c>
      <c r="AG17" s="47" t="b">
        <f>if(countifs('Felsogalla, HU'!Q:Q,$A17,'Felsogalla, HU'!$I:$I,TRUE),TRUE,FALSE)</f>
        <v>1</v>
      </c>
      <c r="AH17" s="47" t="b">
        <f>if(countifs('Norlane, AUS'!Q:Q,$A17,'Norlane, AUS'!$I:$I,TRUE),TRUE,FALSE)</f>
        <v>1</v>
      </c>
      <c r="AI17" s="47" t="b">
        <f>if(countifs('Meitingen, GER'!Q:Q,$A17,'Meitingen, GER'!$I:$I,TRUE),TRUE,FALSE)</f>
        <v>1</v>
      </c>
      <c r="AJ17" s="47" t="b">
        <f>if(countifs('Groningen, NL'!Q:Q,$A17,'Groningen, NL'!$I:$I,TRUE),TRUE,FALSE)</f>
        <v>1</v>
      </c>
      <c r="AK17" s="47" t="b">
        <f>if(countifs('Linköping, SW'!Q:Q,$A17,'Linköping, SW'!$I:$I,TRUE),TRUE,FALSE)</f>
        <v>1</v>
      </c>
      <c r="AL17" s="47" t="b">
        <f>if(countifs('Austin, USA'!Q:Q,$A17,'Austin, USA'!$I:$I,TRUE),TRUE,FALSE)</f>
        <v>0</v>
      </c>
      <c r="AM17" s="47" t="b">
        <f>if(countifs('Thringstone, UK'!Q:Q,$A17,'Thringstone, UK'!$I:$I,TRUE),TRUE,FALSE)</f>
        <v>1</v>
      </c>
      <c r="AN17" s="47" t="b">
        <f>if(countifs('Andover, UK'!Q:Q,$A17,'Andover, UK'!$I:$I,TRUE),TRUE,FALSE)</f>
        <v>1</v>
      </c>
      <c r="AO17" s="47" t="b">
        <f>if(countifs('Ospel, NL'!Q:Q,$A17,'Ospel, NL'!$I:$I,TRUE),TRUE,FALSE)</f>
        <v>1</v>
      </c>
      <c r="AP17" s="47" t="b">
        <f>if(countifs('Wonthaggi, AUS'!Q:Q,$A17,'Wonthaggi, AUS'!$I:$I,TRUE),TRUE,FALSE)</f>
        <v>1</v>
      </c>
      <c r="AQ17" s="47" t="b">
        <f>if(countifs('Falling_Waters, USA'!$Q:$Q,$A17,'Falling_Waters, USA'!$I:$I,TRUE),TRUE,FALSE)</f>
        <v>1</v>
      </c>
      <c r="AR17" s="47" t="b">
        <f>if(countifs('Kelmscott, AUS'!Q:Q,$A17,'Kelmscott, AUS'!$I:$I,TRUE),TRUE,FALSE)</f>
        <v>1</v>
      </c>
    </row>
    <row r="18">
      <c r="A18" s="47" t="str">
        <f>IFERROR(__xludf.DUMMYFUNCTION("""COMPUTED_VALUE"""),"PawPatrolThomas")</f>
        <v>PawPatrolThomas</v>
      </c>
      <c r="B18" s="47">
        <f t="shared" si="1"/>
        <v>36</v>
      </c>
      <c r="C18" s="47" t="b">
        <v>0</v>
      </c>
      <c r="D18" s="47" t="b">
        <v>0</v>
      </c>
      <c r="E18" s="47" t="b">
        <v>0</v>
      </c>
      <c r="F18" s="47" t="b">
        <v>0</v>
      </c>
      <c r="G18" s="96"/>
      <c r="H18" s="96" t="b">
        <f>if(countifs('Berlin, GER'!Q:Q,A18,'Berlin, GER'!I:I,TRUE),TRUE,FALSE)</f>
        <v>1</v>
      </c>
      <c r="I18" s="96" t="b">
        <f>if(countifs('Escondido, USA'!Q:Q,A18,'Escondido, USA'!I:I,TRUE),TRUE,FALSE)</f>
        <v>1</v>
      </c>
      <c r="J18" s="96" t="b">
        <f>if(countifs('Onkaparinga_Hills, AUS'!Q:Q,A18,'Onkaparinga_Hills, AUS'!I:I,TRUE),TRUE,FALSE)</f>
        <v>1</v>
      </c>
      <c r="K18" s="96" t="b">
        <f>if(countifs('Perth, AUS'!Q:Q,A18,'Perth, AUS'!I:I,TRUE),TRUE,FALSE)</f>
        <v>1</v>
      </c>
      <c r="L18" s="96" t="b">
        <f>if(countifs('Raleigh, USA'!Q:Q,A18,'Raleigh, USA'!I:I,TRUE),TRUE,FALSE)</f>
        <v>1</v>
      </c>
      <c r="M18" s="96" t="b">
        <f>if(countifs('Browns Plains, AUS'!Q:Q,A18,'Browns Plains, AUS'!I:I,TRUE),TRUE,FALSE)</f>
        <v>1</v>
      </c>
      <c r="N18" s="96" t="b">
        <f>if(countifs('Brossard, CAN'!Q:Q,A18,'Brossard, CAN'!I:I,TRUE),TRUE,FALSE)</f>
        <v>1</v>
      </c>
      <c r="O18" s="96" t="b">
        <f>if(countifs('Gouda, NL'!Q:Q,$A18,'Gouda, NL'!$I:$I,TRUE),TRUE,FALSE)</f>
        <v>1</v>
      </c>
      <c r="P18" s="47" t="b">
        <f>if(countifs('Plympton, UK'!Q:Q,$A18,'Plympton, UK'!$I:$I,TRUE),TRUE,FALSE)</f>
        <v>1</v>
      </c>
      <c r="Q18" s="47" t="b">
        <f>if(countifs('Glen Oaks, USA'!Q:Q,$A18,'Glen Oaks, USA'!$I:$I,TRUE),TRUE,FALSE)</f>
        <v>1</v>
      </c>
      <c r="R18" s="47" t="b">
        <f>if(countifs('Chemnitz, GER'!Q:Q,$A18,'Chemnitz, GER'!I:I,TRUE),TRUE,FALSE)</f>
        <v>1</v>
      </c>
      <c r="S18" s="47" t="b">
        <f>if(countifs('Vosselaar, BE'!Q:Q,$A18,'Vosselaar, BE'!$I:$I,TRUE),TRUE,FALSE)</f>
        <v>1</v>
      </c>
      <c r="T18" s="47" t="b">
        <f>if(countifs('MHQ, USA'!Q:Q,$A18,'MHQ, USA'!$I:$I,TRUE),TRUE,FALSE)</f>
        <v>1</v>
      </c>
      <c r="U18" s="47" t="b">
        <f>if(countifs('Morayfield, AUS'!Q:Q,$A18,'Morayfield, AUS'!$I:$I,TRUE),TRUE,FALSE)</f>
        <v>1</v>
      </c>
      <c r="V18" s="11" t="b">
        <f>if(countifs('Arnhem, NL'!Q:Q,$A18,'Arnhem, NL'!$I:$I,TRUE),TRUE,FALSE)</f>
        <v>1</v>
      </c>
      <c r="W18" s="47" t="b">
        <f>if(countifs('Gotenborg, SW'!Q:Q,$A18,'Gotenborg, SW'!$I:$I,TRUE),TRUE,FALSE)</f>
        <v>1</v>
      </c>
      <c r="X18" s="47" t="b">
        <f>if(countifs('Shepparton, AUS'!Q:Q,$A18,'Shepparton, AUS'!$I:$I,TRUE),TRUE,FALSE)</f>
        <v>1</v>
      </c>
      <c r="Y18" s="47" t="b">
        <f>if(countifs('Hoofddorp, NL'!Q:Q,$A18,'Hoofddorp, NL'!$I:$I,TRUE),TRUE,FALSE)</f>
        <v>1</v>
      </c>
      <c r="Z18" s="47" t="b">
        <f>if(countifs('Bedford, UK'!Q:Q,$A18,'Bedford, UK'!$I:$I,TRUE),TRUE,FALSE)</f>
        <v>1</v>
      </c>
      <c r="AA18" s="47" t="b">
        <f>IF(COUNTIFS('Desert Lodge, USA'!Q:Q,$A18,'Desert Lodge, USA'!I:I,TRUE),TRUE,FALSE)</f>
        <v>1</v>
      </c>
      <c r="AB18" s="47" t="b">
        <f>if(countifs('Dapto, AUS'!Q:Q,$A18,'Dapto, AUS'!$I:$I,TRUE),TRUE,FALSE)</f>
        <v>1</v>
      </c>
      <c r="AC18" s="47" t="b">
        <f>if(countifs('New Westminster, CAN'!Q:Q,$A18,'New Westminster, CAN'!$I:$I,TRUE),TRUE,FALSE)</f>
        <v>1</v>
      </c>
      <c r="AD18" s="47" t="b">
        <f>if(countifs('Georgetown, CAN'!Q:Q,$A18,'Georgetown, CAN'!$I:$I,TRUE),TRUE,FALSE)</f>
        <v>1</v>
      </c>
      <c r="AE18" s="47" t="b">
        <f>if(countifs('Kingswood, UK'!Q:Q,$A18,'Kingswood, UK'!$I:$I,TRUE),TRUE,FALSE)</f>
        <v>1</v>
      </c>
      <c r="AF18" s="47" t="b">
        <f>if(countifs('Hagerstown, USA'!Q:Q,$A18,'Hagerstown, USA'!$I:$I,TRUE),TRUE,FALSE)</f>
        <v>1</v>
      </c>
      <c r="AG18" s="47" t="b">
        <f>if(countifs('Felsogalla, HU'!Q:Q,$A18,'Felsogalla, HU'!$I:$I,TRUE),TRUE,FALSE)</f>
        <v>1</v>
      </c>
      <c r="AH18" s="47" t="b">
        <f>if(countifs('Norlane, AUS'!Q:Q,$A18,'Norlane, AUS'!$I:$I,TRUE),TRUE,FALSE)</f>
        <v>1</v>
      </c>
      <c r="AI18" s="47" t="b">
        <f>if(countifs('Meitingen, GER'!Q:Q,$A18,'Meitingen, GER'!$I:$I,TRUE),TRUE,FALSE)</f>
        <v>1</v>
      </c>
      <c r="AJ18" s="47" t="b">
        <f>if(countifs('Groningen, NL'!Q:Q,$A18,'Groningen, NL'!$I:$I,TRUE),TRUE,FALSE)</f>
        <v>1</v>
      </c>
      <c r="AK18" s="47" t="b">
        <f>if(countifs('Linköping, SW'!Q:Q,$A18,'Linköping, SW'!$I:$I,TRUE),TRUE,FALSE)</f>
        <v>1</v>
      </c>
      <c r="AL18" s="47" t="b">
        <f>if(countifs('Austin, USA'!Q:Q,$A18,'Austin, USA'!$I:$I,TRUE),TRUE,FALSE)</f>
        <v>0</v>
      </c>
      <c r="AM18" s="47" t="b">
        <f>if(countifs('Thringstone, UK'!Q:Q,$A18,'Thringstone, UK'!$I:$I,TRUE),TRUE,FALSE)</f>
        <v>1</v>
      </c>
      <c r="AN18" s="47" t="b">
        <f>if(countifs('Andover, UK'!Q:Q,$A18,'Andover, UK'!$I:$I,TRUE),TRUE,FALSE)</f>
        <v>1</v>
      </c>
      <c r="AO18" s="47" t="b">
        <f>if(countifs('Ospel, NL'!Q:Q,$A18,'Ospel, NL'!$I:$I,TRUE),TRUE,FALSE)</f>
        <v>1</v>
      </c>
      <c r="AP18" s="47" t="b">
        <f>if(countifs('Wonthaggi, AUS'!Q:Q,$A18,'Wonthaggi, AUS'!$I:$I,TRUE),TRUE,FALSE)</f>
        <v>1</v>
      </c>
      <c r="AQ18" s="47" t="b">
        <f>if(countifs('Falling_Waters, USA'!$Q:$Q,$A18,'Falling_Waters, USA'!$I:$I,TRUE),TRUE,FALSE)</f>
        <v>1</v>
      </c>
      <c r="AR18" s="47" t="b">
        <f>if(countifs('Kelmscott, AUS'!Q:Q,$A18,'Kelmscott, AUS'!$I:$I,TRUE),TRUE,FALSE)</f>
        <v>1</v>
      </c>
    </row>
    <row r="19">
      <c r="A19" s="47" t="str">
        <f>IFERROR(__xludf.DUMMYFUNCTION("""COMPUTED_VALUE"""),"WiseOldWizard")</f>
        <v>WiseOldWizard</v>
      </c>
      <c r="B19" s="47">
        <f t="shared" si="1"/>
        <v>15</v>
      </c>
      <c r="C19" s="47" t="b">
        <v>0</v>
      </c>
      <c r="D19" s="47" t="b">
        <v>0</v>
      </c>
      <c r="E19" s="47" t="b">
        <v>0</v>
      </c>
      <c r="F19" s="47" t="b">
        <v>0</v>
      </c>
      <c r="G19" s="96"/>
      <c r="H19" s="96" t="b">
        <f>if(countifs('Berlin, GER'!Q:Q,A19,'Berlin, GER'!I:I,TRUE),TRUE,FALSE)</f>
        <v>1</v>
      </c>
      <c r="I19" s="96" t="b">
        <f>if(countifs('Escondido, USA'!Q:Q,A19,'Escondido, USA'!I:I,TRUE),TRUE,FALSE)</f>
        <v>1</v>
      </c>
      <c r="J19" s="96" t="b">
        <f>if(countifs('Onkaparinga_Hills, AUS'!Q:Q,A19,'Onkaparinga_Hills, AUS'!I:I,TRUE),TRUE,FALSE)</f>
        <v>1</v>
      </c>
      <c r="K19" s="96" t="b">
        <f>if(countifs('Perth, AUS'!Q:Q,A19,'Perth, AUS'!I:I,TRUE),TRUE,FALSE)</f>
        <v>1</v>
      </c>
      <c r="L19" s="96" t="b">
        <f>if(countifs('Raleigh, USA'!Q:Q,A19,'Raleigh, USA'!I:I,TRUE),TRUE,FALSE)</f>
        <v>1</v>
      </c>
      <c r="M19" s="96" t="b">
        <f>if(countifs('Browns Plains, AUS'!Q:Q,A19,'Browns Plains, AUS'!I:I,TRUE),TRUE,FALSE)</f>
        <v>1</v>
      </c>
      <c r="N19" s="96" t="b">
        <f>if(countifs('Brossard, CAN'!Q:Q,A19,'Brossard, CAN'!I:I,TRUE),TRUE,FALSE)</f>
        <v>1</v>
      </c>
      <c r="O19" s="96" t="b">
        <f>if(countifs('Gouda, NL'!Q:Q,$A19,'Gouda, NL'!$I:$I,TRUE),TRUE,FALSE)</f>
        <v>1</v>
      </c>
      <c r="P19" s="47" t="b">
        <f>if(countifs('Plympton, UK'!Q:Q,$A19,'Plympton, UK'!$I:$I,TRUE),TRUE,FALSE)</f>
        <v>1</v>
      </c>
      <c r="Q19" s="47" t="b">
        <f>if(countifs('Glen Oaks, USA'!Q:Q,$A19,'Glen Oaks, USA'!$I:$I,TRUE),TRUE,FALSE)</f>
        <v>1</v>
      </c>
      <c r="R19" s="47" t="b">
        <f>if(countifs('Chemnitz, GER'!Q:Q,$A19,'Chemnitz, GER'!I:I,TRUE),TRUE,FALSE)</f>
        <v>1</v>
      </c>
      <c r="S19" s="47" t="b">
        <f>if(countifs('Vosselaar, BE'!Q:Q,$A19,'Vosselaar, BE'!$I:$I,TRUE),TRUE,FALSE)</f>
        <v>1</v>
      </c>
      <c r="T19" s="47" t="b">
        <f>if(countifs('MHQ, USA'!Q:Q,$A19,'MHQ, USA'!$I:$I,TRUE),TRUE,FALSE)</f>
        <v>1</v>
      </c>
      <c r="U19" s="47" t="b">
        <f>if(countifs('Morayfield, AUS'!Q:Q,$A19,'Morayfield, AUS'!$I:$I,TRUE),TRUE,FALSE)</f>
        <v>1</v>
      </c>
      <c r="V19" s="11" t="b">
        <f>if(countifs('Arnhem, NL'!Q:Q,$A19,'Arnhem, NL'!$I:$I,TRUE),TRUE,FALSE)</f>
        <v>0</v>
      </c>
      <c r="W19" s="47" t="b">
        <f>if(countifs('Gotenborg, SW'!Q:Q,$A19,'Gotenborg, SW'!$I:$I,TRUE),TRUE,FALSE)</f>
        <v>0</v>
      </c>
      <c r="X19" s="47" t="b">
        <f>if(countifs('Shepparton, AUS'!Q:Q,$A19,'Shepparton, AUS'!$I:$I,TRUE),TRUE,FALSE)</f>
        <v>1</v>
      </c>
      <c r="Y19" s="47" t="b">
        <f>if(countifs('Hoofddorp, NL'!Q:Q,$A19,'Hoofddorp, NL'!$I:$I,TRUE),TRUE,FALSE)</f>
        <v>0</v>
      </c>
      <c r="Z19" s="47" t="b">
        <f>if(countifs('Bedford, UK'!Q:Q,$A19,'Bedford, UK'!$I:$I,TRUE),TRUE,FALSE)</f>
        <v>0</v>
      </c>
      <c r="AA19" s="47" t="b">
        <f>IF(COUNTIFS('Desert Lodge, USA'!Q:Q,$A19,'Desert Lodge, USA'!I:I,TRUE),TRUE,FALSE)</f>
        <v>0</v>
      </c>
      <c r="AB19" s="47" t="b">
        <f>if(countifs('Dapto, AUS'!Q:Q,$A19,'Dapto, AUS'!$I:$I,TRUE),TRUE,FALSE)</f>
        <v>0</v>
      </c>
      <c r="AC19" s="47" t="b">
        <f>if(countifs('New Westminster, CAN'!Q:Q,$A19,'New Westminster, CAN'!$I:$I,TRUE),TRUE,FALSE)</f>
        <v>0</v>
      </c>
      <c r="AD19" s="47" t="b">
        <f>if(countifs('Georgetown, CAN'!Q:Q,$A19,'Georgetown, CAN'!$I:$I,TRUE),TRUE,FALSE)</f>
        <v>0</v>
      </c>
      <c r="AE19" s="47" t="b">
        <f>if(countifs('Kingswood, UK'!Q:Q,$A19,'Kingswood, UK'!$I:$I,TRUE),TRUE,FALSE)</f>
        <v>0</v>
      </c>
      <c r="AF19" s="47" t="b">
        <f>if(countifs('Hagerstown, USA'!Q:Q,$A19,'Hagerstown, USA'!$I:$I,TRUE),TRUE,FALSE)</f>
        <v>0</v>
      </c>
      <c r="AG19" s="47" t="b">
        <f>if(countifs('Felsogalla, HU'!Q:Q,$A19,'Felsogalla, HU'!$I:$I,TRUE),TRUE,FALSE)</f>
        <v>0</v>
      </c>
      <c r="AH19" s="47" t="b">
        <f>if(countifs('Norlane, AUS'!Q:Q,$A19,'Norlane, AUS'!$I:$I,TRUE),TRUE,FALSE)</f>
        <v>0</v>
      </c>
      <c r="AI19" s="47" t="b">
        <f>if(countifs('Meitingen, GER'!Q:Q,$A19,'Meitingen, GER'!$I:$I,TRUE),TRUE,FALSE)</f>
        <v>0</v>
      </c>
      <c r="AJ19" s="47" t="b">
        <f>if(countifs('Groningen, NL'!Q:Q,$A19,'Groningen, NL'!$I:$I,TRUE),TRUE,FALSE)</f>
        <v>0</v>
      </c>
      <c r="AK19" s="47" t="b">
        <f>if(countifs('Linköping, SW'!Q:Q,$A19,'Linköping, SW'!$I:$I,TRUE),TRUE,FALSE)</f>
        <v>0</v>
      </c>
      <c r="AL19" s="47" t="b">
        <f>if(countifs('Austin, USA'!Q:Q,$A19,'Austin, USA'!$I:$I,TRUE),TRUE,FALSE)</f>
        <v>0</v>
      </c>
      <c r="AM19" s="47" t="b">
        <f>if(countifs('Thringstone, UK'!Q:Q,$A19,'Thringstone, UK'!$I:$I,TRUE),TRUE,FALSE)</f>
        <v>0</v>
      </c>
      <c r="AN19" s="47" t="b">
        <f>if(countifs('Andover, UK'!Q:Q,$A19,'Andover, UK'!$I:$I,TRUE),TRUE,FALSE)</f>
        <v>0</v>
      </c>
      <c r="AO19" s="47" t="b">
        <f>if(countifs('Ospel, NL'!Q:Q,$A19,'Ospel, NL'!$I:$I,TRUE),TRUE,FALSE)</f>
        <v>0</v>
      </c>
      <c r="AP19" s="47" t="b">
        <f>if(countifs('Wonthaggi, AUS'!Q:Q,$A19,'Wonthaggi, AUS'!$I:$I,TRUE),TRUE,FALSE)</f>
        <v>0</v>
      </c>
      <c r="AQ19" s="47" t="b">
        <f>if(countifs('Falling_Waters, USA'!$Q:$Q,$A19,'Falling_Waters, USA'!$I:$I,TRUE),TRUE,FALSE)</f>
        <v>0</v>
      </c>
      <c r="AR19" s="47" t="b">
        <f>if(countifs('Kelmscott, AUS'!Q:Q,$A19,'Kelmscott, AUS'!$I:$I,TRUE),TRUE,FALSE)</f>
        <v>0</v>
      </c>
    </row>
    <row r="20">
      <c r="A20" s="47" t="str">
        <f>IFERROR(__xludf.DUMMYFUNCTION("""COMPUTED_VALUE"""),"hoekraam")</f>
        <v>hoekraam</v>
      </c>
      <c r="B20" s="47">
        <f t="shared" si="1"/>
        <v>6</v>
      </c>
      <c r="C20" s="47" t="b">
        <v>0</v>
      </c>
      <c r="D20" s="47" t="b">
        <v>0</v>
      </c>
      <c r="E20" s="47" t="b">
        <v>0</v>
      </c>
      <c r="F20" s="47" t="b">
        <v>0</v>
      </c>
      <c r="G20" s="96"/>
      <c r="H20" s="96" t="b">
        <f>if(countifs('Berlin, GER'!Q:Q,A20,'Berlin, GER'!I:I,TRUE),TRUE,FALSE)</f>
        <v>1</v>
      </c>
      <c r="I20" s="96" t="b">
        <f>if(countifs('Escondido, USA'!Q:Q,A20,'Escondido, USA'!I:I,TRUE),TRUE,FALSE)</f>
        <v>1</v>
      </c>
      <c r="J20" s="96" t="b">
        <f>if(countifs('Onkaparinga_Hills, AUS'!Q:Q,A20,'Onkaparinga_Hills, AUS'!I:I,TRUE),TRUE,FALSE)</f>
        <v>1</v>
      </c>
      <c r="K20" s="96" t="b">
        <f>if(countifs('Perth, AUS'!Q:Q,A20,'Perth, AUS'!I:I,TRUE),TRUE,FALSE)</f>
        <v>1</v>
      </c>
      <c r="L20" s="96" t="b">
        <f>if(countifs('Raleigh, USA'!Q:Q,A20,'Raleigh, USA'!I:I,TRUE),TRUE,FALSE)</f>
        <v>1</v>
      </c>
      <c r="M20" s="96" t="b">
        <f>if(countifs('Browns Plains, AUS'!Q:Q,A20,'Browns Plains, AUS'!I:I,TRUE),TRUE,FALSE)</f>
        <v>0</v>
      </c>
      <c r="N20" s="96" t="b">
        <f>if(countifs('Brossard, CAN'!Q:Q,A20,'Brossard, CAN'!I:I,TRUE),TRUE,FALSE)</f>
        <v>0</v>
      </c>
      <c r="O20" s="96" t="b">
        <f>if(countifs('Gouda, NL'!Q:Q,$A20,'Gouda, NL'!$I:$I,TRUE),TRUE,FALSE)</f>
        <v>1</v>
      </c>
      <c r="P20" s="47" t="b">
        <f>if(countifs('Plympton, UK'!Q:Q,$A20,'Plympton, UK'!$I:$I,TRUE),TRUE,FALSE)</f>
        <v>0</v>
      </c>
      <c r="Q20" s="47" t="b">
        <f>if(countifs('Glen Oaks, USA'!Q:Q,$A20,'Glen Oaks, USA'!$I:$I,TRUE),TRUE,FALSE)</f>
        <v>0</v>
      </c>
      <c r="R20" s="47" t="b">
        <f>if(countifs('Chemnitz, GER'!Q:Q,$A20,'Chemnitz, GER'!I:I,TRUE),TRUE,FALSE)</f>
        <v>0</v>
      </c>
      <c r="S20" s="47" t="b">
        <f>if(countifs('Vosselaar, BE'!Q:Q,$A20,'Vosselaar, BE'!$I:$I,TRUE),TRUE,FALSE)</f>
        <v>0</v>
      </c>
      <c r="T20" s="47" t="b">
        <f>if(countifs('MHQ, USA'!Q:Q,$A20,'MHQ, USA'!$I:$I,TRUE),TRUE,FALSE)</f>
        <v>0</v>
      </c>
      <c r="U20" s="47" t="b">
        <f>if(countifs('Morayfield, AUS'!Q:Q,$A20,'Morayfield, AUS'!$I:$I,TRUE),TRUE,FALSE)</f>
        <v>0</v>
      </c>
      <c r="V20" s="11" t="b">
        <f>if(countifs('Arnhem, NL'!Q:Q,$A20,'Arnhem, NL'!$I:$I,TRUE),TRUE,FALSE)</f>
        <v>0</v>
      </c>
      <c r="W20" s="47" t="b">
        <f>if(countifs('Gotenborg, SW'!Q:Q,$A20,'Gotenborg, SW'!$I:$I,TRUE),TRUE,FALSE)</f>
        <v>0</v>
      </c>
      <c r="X20" s="47" t="b">
        <f>if(countifs('Shepparton, AUS'!Q:Q,$A20,'Shepparton, AUS'!$I:$I,TRUE),TRUE,FALSE)</f>
        <v>0</v>
      </c>
      <c r="Y20" s="47" t="b">
        <f>if(countifs('Hoofddorp, NL'!Q:Q,$A20,'Hoofddorp, NL'!$I:$I,TRUE),TRUE,FALSE)</f>
        <v>0</v>
      </c>
      <c r="Z20" s="47" t="b">
        <f>if(countifs('Bedford, UK'!Q:Q,$A20,'Bedford, UK'!$I:$I,TRUE),TRUE,FALSE)</f>
        <v>0</v>
      </c>
      <c r="AA20" s="47" t="b">
        <f>IF(COUNTIFS('Desert Lodge, USA'!Q:Q,$A20,'Desert Lodge, USA'!I:I,TRUE),TRUE,FALSE)</f>
        <v>0</v>
      </c>
      <c r="AB20" s="47" t="b">
        <f>if(countifs('Dapto, AUS'!Q:Q,$A20,'Dapto, AUS'!$I:$I,TRUE),TRUE,FALSE)</f>
        <v>0</v>
      </c>
      <c r="AC20" s="47" t="b">
        <f>if(countifs('New Westminster, CAN'!Q:Q,$A20,'New Westminster, CAN'!$I:$I,TRUE),TRUE,FALSE)</f>
        <v>0</v>
      </c>
      <c r="AD20" s="47" t="b">
        <f>if(countifs('Georgetown, CAN'!Q:Q,$A20,'Georgetown, CAN'!$I:$I,TRUE),TRUE,FALSE)</f>
        <v>0</v>
      </c>
      <c r="AE20" s="47" t="b">
        <f>if(countifs('Kingswood, UK'!Q:Q,$A20,'Kingswood, UK'!$I:$I,TRUE),TRUE,FALSE)</f>
        <v>0</v>
      </c>
      <c r="AF20" s="47" t="b">
        <f>if(countifs('Hagerstown, USA'!Q:Q,$A20,'Hagerstown, USA'!$I:$I,TRUE),TRUE,FALSE)</f>
        <v>0</v>
      </c>
      <c r="AG20" s="47" t="b">
        <f>if(countifs('Felsogalla, HU'!Q:Q,$A20,'Felsogalla, HU'!$I:$I,TRUE),TRUE,FALSE)</f>
        <v>0</v>
      </c>
      <c r="AH20" s="47" t="b">
        <f>if(countifs('Norlane, AUS'!Q:Q,$A20,'Norlane, AUS'!$I:$I,TRUE),TRUE,FALSE)</f>
        <v>0</v>
      </c>
      <c r="AI20" s="47" t="b">
        <f>if(countifs('Meitingen, GER'!Q:Q,$A20,'Meitingen, GER'!$I:$I,TRUE),TRUE,FALSE)</f>
        <v>0</v>
      </c>
      <c r="AJ20" s="47" t="b">
        <f>if(countifs('Groningen, NL'!Q:Q,$A20,'Groningen, NL'!$I:$I,TRUE),TRUE,FALSE)</f>
        <v>0</v>
      </c>
      <c r="AK20" s="47" t="b">
        <f>if(countifs('Linköping, SW'!Q:Q,$A20,'Linköping, SW'!$I:$I,TRUE),TRUE,FALSE)</f>
        <v>0</v>
      </c>
      <c r="AL20" s="47" t="b">
        <f>if(countifs('Austin, USA'!Q:Q,$A20,'Austin, USA'!$I:$I,TRUE),TRUE,FALSE)</f>
        <v>0</v>
      </c>
      <c r="AM20" s="47" t="b">
        <f>if(countifs('Thringstone, UK'!Q:Q,$A20,'Thringstone, UK'!$I:$I,TRUE),TRUE,FALSE)</f>
        <v>0</v>
      </c>
      <c r="AN20" s="47" t="b">
        <f>if(countifs('Andover, UK'!Q:Q,$A20,'Andover, UK'!$I:$I,TRUE),TRUE,FALSE)</f>
        <v>0</v>
      </c>
      <c r="AO20" s="47" t="b">
        <f>if(countifs('Ospel, NL'!Q:Q,$A20,'Ospel, NL'!$I:$I,TRUE),TRUE,FALSE)</f>
        <v>0</v>
      </c>
      <c r="AP20" s="47" t="b">
        <f>if(countifs('Wonthaggi, AUS'!Q:Q,$A20,'Wonthaggi, AUS'!$I:$I,TRUE),TRUE,FALSE)</f>
        <v>0</v>
      </c>
      <c r="AQ20" s="47" t="b">
        <f>if(countifs('Falling_Waters, USA'!$Q:$Q,$A20,'Falling_Waters, USA'!$I:$I,TRUE),TRUE,FALSE)</f>
        <v>0</v>
      </c>
      <c r="AR20" s="47" t="b">
        <f>if(countifs('Kelmscott, AUS'!Q:Q,$A20,'Kelmscott, AUS'!$I:$I,TRUE),TRUE,FALSE)</f>
        <v>0</v>
      </c>
    </row>
    <row r="21">
      <c r="A21" s="47" t="str">
        <f>IFERROR(__xludf.DUMMYFUNCTION("""COMPUTED_VALUE"""),"xrayneex")</f>
        <v>xrayneex</v>
      </c>
      <c r="B21" s="47">
        <f t="shared" si="1"/>
        <v>36</v>
      </c>
      <c r="C21" s="47" t="b">
        <v>0</v>
      </c>
      <c r="D21" s="47" t="b">
        <v>0</v>
      </c>
      <c r="E21" s="47" t="b">
        <v>0</v>
      </c>
      <c r="F21" s="47" t="b">
        <v>0</v>
      </c>
      <c r="G21" s="96"/>
      <c r="H21" s="96" t="b">
        <f>if(countifs('Berlin, GER'!Q:Q,A21,'Berlin, GER'!I:I,TRUE),TRUE,FALSE)</f>
        <v>1</v>
      </c>
      <c r="I21" s="96" t="b">
        <f>if(countifs('Escondido, USA'!Q:Q,A21,'Escondido, USA'!I:I,TRUE),TRUE,FALSE)</f>
        <v>1</v>
      </c>
      <c r="J21" s="96" t="b">
        <f>if(countifs('Onkaparinga_Hills, AUS'!Q:Q,A21,'Onkaparinga_Hills, AUS'!I:I,TRUE),TRUE,FALSE)</f>
        <v>1</v>
      </c>
      <c r="K21" s="96" t="b">
        <f>if(countifs('Perth, AUS'!Q:Q,A21,'Perth, AUS'!I:I,TRUE),TRUE,FALSE)</f>
        <v>1</v>
      </c>
      <c r="L21" s="96" t="b">
        <f>if(countifs('Raleigh, USA'!Q:Q,A21,'Raleigh, USA'!I:I,TRUE),TRUE,FALSE)</f>
        <v>1</v>
      </c>
      <c r="M21" s="96" t="b">
        <f>if(countifs('Browns Plains, AUS'!Q:Q,A21,'Browns Plains, AUS'!I:I,TRUE),TRUE,FALSE)</f>
        <v>1</v>
      </c>
      <c r="N21" s="96" t="b">
        <f>if(countifs('Brossard, CAN'!Q:Q,A21,'Brossard, CAN'!I:I,TRUE),TRUE,FALSE)</f>
        <v>1</v>
      </c>
      <c r="O21" s="96" t="b">
        <f>if(countifs('Gouda, NL'!Q:Q,$A21,'Gouda, NL'!$I:$I,TRUE),TRUE,FALSE)</f>
        <v>1</v>
      </c>
      <c r="P21" s="47" t="b">
        <f>if(countifs('Plympton, UK'!Q:Q,$A21,'Plympton, UK'!$I:$I,TRUE),TRUE,FALSE)</f>
        <v>1</v>
      </c>
      <c r="Q21" s="47" t="b">
        <f>if(countifs('Glen Oaks, USA'!Q:Q,$A21,'Glen Oaks, USA'!$I:$I,TRUE),TRUE,FALSE)</f>
        <v>1</v>
      </c>
      <c r="R21" s="47" t="b">
        <f>if(countifs('Chemnitz, GER'!Q:Q,$A21,'Chemnitz, GER'!I:I,TRUE),TRUE,FALSE)</f>
        <v>1</v>
      </c>
      <c r="S21" s="47" t="b">
        <f>if(countifs('Vosselaar, BE'!Q:Q,$A21,'Vosselaar, BE'!$I:$I,TRUE),TRUE,FALSE)</f>
        <v>1</v>
      </c>
      <c r="T21" s="47" t="b">
        <f>if(countifs('MHQ, USA'!Q:Q,$A21,'MHQ, USA'!$I:$I,TRUE),TRUE,FALSE)</f>
        <v>1</v>
      </c>
      <c r="U21" s="47" t="b">
        <f>if(countifs('Morayfield, AUS'!Q:Q,$A21,'Morayfield, AUS'!$I:$I,TRUE),TRUE,FALSE)</f>
        <v>1</v>
      </c>
      <c r="V21" s="11" t="b">
        <f>if(countifs('Arnhem, NL'!Q:Q,$A21,'Arnhem, NL'!$I:$I,TRUE),TRUE,FALSE)</f>
        <v>1</v>
      </c>
      <c r="W21" s="47" t="b">
        <f>if(countifs('Gotenborg, SW'!Q:Q,$A21,'Gotenborg, SW'!$I:$I,TRUE),TRUE,FALSE)</f>
        <v>1</v>
      </c>
      <c r="X21" s="47" t="b">
        <f>if(countifs('Shepparton, AUS'!Q:Q,$A21,'Shepparton, AUS'!$I:$I,TRUE),TRUE,FALSE)</f>
        <v>1</v>
      </c>
      <c r="Y21" s="47" t="b">
        <f>if(countifs('Hoofddorp, NL'!Q:Q,$A21,'Hoofddorp, NL'!$I:$I,TRUE),TRUE,FALSE)</f>
        <v>1</v>
      </c>
      <c r="Z21" s="47" t="b">
        <f>if(countifs('Bedford, UK'!Q:Q,$A21,'Bedford, UK'!$I:$I,TRUE),TRUE,FALSE)</f>
        <v>1</v>
      </c>
      <c r="AA21" s="47" t="b">
        <f>IF(COUNTIFS('Desert Lodge, USA'!Q:Q,$A21,'Desert Lodge, USA'!I:I,TRUE),TRUE,FALSE)</f>
        <v>1</v>
      </c>
      <c r="AB21" s="47" t="b">
        <f>if(countifs('Dapto, AUS'!Q:Q,$A21,'Dapto, AUS'!$I:$I,TRUE),TRUE,FALSE)</f>
        <v>1</v>
      </c>
      <c r="AC21" s="47" t="b">
        <f>if(countifs('New Westminster, CAN'!Q:Q,$A21,'New Westminster, CAN'!$I:$I,TRUE),TRUE,FALSE)</f>
        <v>1</v>
      </c>
      <c r="AD21" s="47" t="b">
        <f>if(countifs('Georgetown, CAN'!Q:Q,$A21,'Georgetown, CAN'!$I:$I,TRUE),TRUE,FALSE)</f>
        <v>1</v>
      </c>
      <c r="AE21" s="47" t="b">
        <f>if(countifs('Kingswood, UK'!Q:Q,$A21,'Kingswood, UK'!$I:$I,TRUE),TRUE,FALSE)</f>
        <v>1</v>
      </c>
      <c r="AF21" s="47" t="b">
        <f>if(countifs('Hagerstown, USA'!Q:Q,$A21,'Hagerstown, USA'!$I:$I,TRUE),TRUE,FALSE)</f>
        <v>1</v>
      </c>
      <c r="AG21" s="47" t="b">
        <f>if(countifs('Felsogalla, HU'!Q:Q,$A21,'Felsogalla, HU'!$I:$I,TRUE),TRUE,FALSE)</f>
        <v>1</v>
      </c>
      <c r="AH21" s="47" t="b">
        <f>if(countifs('Norlane, AUS'!Q:Q,$A21,'Norlane, AUS'!$I:$I,TRUE),TRUE,FALSE)</f>
        <v>1</v>
      </c>
      <c r="AI21" s="47" t="b">
        <f>if(countifs('Meitingen, GER'!Q:Q,$A21,'Meitingen, GER'!$I:$I,TRUE),TRUE,FALSE)</f>
        <v>1</v>
      </c>
      <c r="AJ21" s="47" t="b">
        <f>if(countifs('Groningen, NL'!Q:Q,$A21,'Groningen, NL'!$I:$I,TRUE),TRUE,FALSE)</f>
        <v>1</v>
      </c>
      <c r="AK21" s="47" t="b">
        <f>if(countifs('Linköping, SW'!Q:Q,$A21,'Linköping, SW'!$I:$I,TRUE),TRUE,FALSE)</f>
        <v>1</v>
      </c>
      <c r="AL21" s="47" t="b">
        <f>if(countifs('Austin, USA'!Q:Q,$A21,'Austin, USA'!$I:$I,TRUE),TRUE,FALSE)</f>
        <v>0</v>
      </c>
      <c r="AM21" s="47" t="b">
        <f>if(countifs('Thringstone, UK'!Q:Q,$A21,'Thringstone, UK'!$I:$I,TRUE),TRUE,FALSE)</f>
        <v>1</v>
      </c>
      <c r="AN21" s="47" t="b">
        <f>if(countifs('Andover, UK'!Q:Q,$A21,'Andover, UK'!$I:$I,TRUE),TRUE,FALSE)</f>
        <v>1</v>
      </c>
      <c r="AO21" s="47" t="b">
        <f>if(countifs('Ospel, NL'!Q:Q,$A21,'Ospel, NL'!$I:$I,TRUE),TRUE,FALSE)</f>
        <v>1</v>
      </c>
      <c r="AP21" s="47" t="b">
        <f>if(countifs('Wonthaggi, AUS'!Q:Q,$A21,'Wonthaggi, AUS'!$I:$I,TRUE),TRUE,FALSE)</f>
        <v>1</v>
      </c>
      <c r="AQ21" s="47" t="b">
        <f>if(countifs('Falling_Waters, USA'!$Q:$Q,$A21,'Falling_Waters, USA'!$I:$I,TRUE),TRUE,FALSE)</f>
        <v>1</v>
      </c>
      <c r="AR21" s="47" t="b">
        <f>if(countifs('Kelmscott, AUS'!Q:Q,$A21,'Kelmscott, AUS'!$I:$I,TRUE),TRUE,FALSE)</f>
        <v>1</v>
      </c>
    </row>
    <row r="22">
      <c r="A22" s="47" t="str">
        <f>IFERROR(__xludf.DUMMYFUNCTION("""COMPUTED_VALUE"""),"barefootguru")</f>
        <v>barefootguru</v>
      </c>
      <c r="B22" s="47">
        <f t="shared" si="1"/>
        <v>34</v>
      </c>
      <c r="C22" s="47" t="b">
        <v>0</v>
      </c>
      <c r="D22" s="47" t="b">
        <v>0</v>
      </c>
      <c r="E22" s="47" t="b">
        <v>0</v>
      </c>
      <c r="F22" s="47" t="b">
        <v>0</v>
      </c>
      <c r="G22" s="96"/>
      <c r="H22" s="96" t="b">
        <f>if(countifs('Berlin, GER'!Q:Q,A22,'Berlin, GER'!I:I,TRUE),TRUE,FALSE)</f>
        <v>1</v>
      </c>
      <c r="I22" s="96" t="b">
        <f>if(countifs('Escondido, USA'!Q:Q,A22,'Escondido, USA'!I:I,TRUE),TRUE,FALSE)</f>
        <v>1</v>
      </c>
      <c r="J22" s="96" t="b">
        <f>if(countifs('Onkaparinga_Hills, AUS'!Q:Q,A22,'Onkaparinga_Hills, AUS'!I:I,TRUE),TRUE,FALSE)</f>
        <v>1</v>
      </c>
      <c r="K22" s="96" t="b">
        <f>if(countifs('Perth, AUS'!Q:Q,A22,'Perth, AUS'!I:I,TRUE),TRUE,FALSE)</f>
        <v>1</v>
      </c>
      <c r="L22" s="96" t="b">
        <f>if(countifs('Raleigh, USA'!Q:Q,A22,'Raleigh, USA'!I:I,TRUE),TRUE,FALSE)</f>
        <v>1</v>
      </c>
      <c r="M22" s="96" t="b">
        <f>if(countifs('Browns Plains, AUS'!Q:Q,A22,'Browns Plains, AUS'!I:I,TRUE),TRUE,FALSE)</f>
        <v>1</v>
      </c>
      <c r="N22" s="96" t="b">
        <f>if(countifs('Brossard, CAN'!Q:Q,A22,'Brossard, CAN'!I:I,TRUE),TRUE,FALSE)</f>
        <v>1</v>
      </c>
      <c r="O22" s="96" t="b">
        <f>if(countifs('Gouda, NL'!Q:Q,$A22,'Gouda, NL'!$I:$I,TRUE),TRUE,FALSE)</f>
        <v>1</v>
      </c>
      <c r="P22" s="47" t="b">
        <f>if(countifs('Plympton, UK'!Q:Q,$A22,'Plympton, UK'!$I:$I,TRUE),TRUE,FALSE)</f>
        <v>1</v>
      </c>
      <c r="Q22" s="47" t="b">
        <f>if(countifs('Glen Oaks, USA'!Q:Q,$A22,'Glen Oaks, USA'!$I:$I,TRUE),TRUE,FALSE)</f>
        <v>1</v>
      </c>
      <c r="R22" s="47" t="b">
        <f>if(countifs('Chemnitz, GER'!Q:Q,$A22,'Chemnitz, GER'!I:I,TRUE),TRUE,FALSE)</f>
        <v>1</v>
      </c>
      <c r="S22" s="47" t="b">
        <f>if(countifs('Vosselaar, BE'!Q:Q,$A22,'Vosselaar, BE'!$I:$I,TRUE),TRUE,FALSE)</f>
        <v>1</v>
      </c>
      <c r="T22" s="47" t="b">
        <f>if(countifs('MHQ, USA'!Q:Q,$A22,'MHQ, USA'!$I:$I,TRUE),TRUE,FALSE)</f>
        <v>1</v>
      </c>
      <c r="U22" s="47" t="b">
        <f>if(countifs('Morayfield, AUS'!Q:Q,$A22,'Morayfield, AUS'!$I:$I,TRUE),TRUE,FALSE)</f>
        <v>1</v>
      </c>
      <c r="V22" s="11" t="b">
        <f>if(countifs('Arnhem, NL'!Q:Q,$A22,'Arnhem, NL'!$I:$I,TRUE),TRUE,FALSE)</f>
        <v>0</v>
      </c>
      <c r="W22" s="47" t="b">
        <f>if(countifs('Gotenborg, SW'!Q:Q,$A22,'Gotenborg, SW'!$I:$I,TRUE),TRUE,FALSE)</f>
        <v>1</v>
      </c>
      <c r="X22" s="47" t="b">
        <f>if(countifs('Shepparton, AUS'!Q:Q,$A22,'Shepparton, AUS'!$I:$I,TRUE),TRUE,FALSE)</f>
        <v>1</v>
      </c>
      <c r="Y22" s="47" t="b">
        <f>if(countifs('Hoofddorp, NL'!Q:Q,$A22,'Hoofddorp, NL'!$I:$I,TRUE),TRUE,FALSE)</f>
        <v>1</v>
      </c>
      <c r="Z22" s="47" t="b">
        <f>if(countifs('Bedford, UK'!Q:Q,$A22,'Bedford, UK'!$I:$I,TRUE),TRUE,FALSE)</f>
        <v>1</v>
      </c>
      <c r="AA22" s="47" t="b">
        <f>IF(COUNTIFS('Desert Lodge, USA'!Q:Q,$A22,'Desert Lodge, USA'!I:I,TRUE),TRUE,FALSE)</f>
        <v>1</v>
      </c>
      <c r="AB22" s="47" t="b">
        <f>if(countifs('Dapto, AUS'!Q:Q,$A22,'Dapto, AUS'!$I:$I,TRUE),TRUE,FALSE)</f>
        <v>1</v>
      </c>
      <c r="AC22" s="47" t="b">
        <f>if(countifs('New Westminster, CAN'!Q:Q,$A22,'New Westminster, CAN'!$I:$I,TRUE),TRUE,FALSE)</f>
        <v>1</v>
      </c>
      <c r="AD22" s="47" t="b">
        <f>if(countifs('Georgetown, CAN'!Q:Q,$A22,'Georgetown, CAN'!$I:$I,TRUE),TRUE,FALSE)</f>
        <v>1</v>
      </c>
      <c r="AE22" s="47" t="b">
        <f>if(countifs('Kingswood, UK'!Q:Q,$A22,'Kingswood, UK'!$I:$I,TRUE),TRUE,FALSE)</f>
        <v>1</v>
      </c>
      <c r="AF22" s="47" t="b">
        <f>if(countifs('Hagerstown, USA'!Q:Q,$A22,'Hagerstown, USA'!$I:$I,TRUE),TRUE,FALSE)</f>
        <v>1</v>
      </c>
      <c r="AG22" s="47" t="b">
        <f>if(countifs('Felsogalla, HU'!Q:Q,$A22,'Felsogalla, HU'!$I:$I,TRUE),TRUE,FALSE)</f>
        <v>1</v>
      </c>
      <c r="AH22" s="47" t="b">
        <f>if(countifs('Norlane, AUS'!Q:Q,$A22,'Norlane, AUS'!$I:$I,TRUE),TRUE,FALSE)</f>
        <v>1</v>
      </c>
      <c r="AI22" s="47" t="b">
        <f>if(countifs('Meitingen, GER'!Q:Q,$A22,'Meitingen, GER'!$I:$I,TRUE),TRUE,FALSE)</f>
        <v>1</v>
      </c>
      <c r="AJ22" s="47" t="b">
        <f>if(countifs('Groningen, NL'!Q:Q,$A22,'Groningen, NL'!$I:$I,TRUE),TRUE,FALSE)</f>
        <v>1</v>
      </c>
      <c r="AK22" s="47" t="b">
        <f>if(countifs('Linköping, SW'!Q:Q,$A22,'Linköping, SW'!$I:$I,TRUE),TRUE,FALSE)</f>
        <v>1</v>
      </c>
      <c r="AL22" s="47" t="b">
        <f>if(countifs('Austin, USA'!Q:Q,$A22,'Austin, USA'!$I:$I,TRUE),TRUE,FALSE)</f>
        <v>0</v>
      </c>
      <c r="AM22" s="47" t="b">
        <f>if(countifs('Thringstone, UK'!Q:Q,$A22,'Thringstone, UK'!$I:$I,TRUE),TRUE,FALSE)</f>
        <v>1</v>
      </c>
      <c r="AN22" s="47" t="b">
        <f>if(countifs('Andover, UK'!Q:Q,$A22,'Andover, UK'!$I:$I,TRUE),TRUE,FALSE)</f>
        <v>1</v>
      </c>
      <c r="AO22" s="47" t="b">
        <f>if(countifs('Ospel, NL'!Q:Q,$A22,'Ospel, NL'!$I:$I,TRUE),TRUE,FALSE)</f>
        <v>1</v>
      </c>
      <c r="AP22" s="47" t="b">
        <f>if(countifs('Wonthaggi, AUS'!Q:Q,$A22,'Wonthaggi, AUS'!$I:$I,TRUE),TRUE,FALSE)</f>
        <v>1</v>
      </c>
      <c r="AQ22" s="47" t="b">
        <f>if(countifs('Falling_Waters, USA'!$Q:$Q,$A22,'Falling_Waters, USA'!$I:$I,TRUE),TRUE,FALSE)</f>
        <v>0</v>
      </c>
      <c r="AR22" s="47" t="b">
        <f>if(countifs('Kelmscott, AUS'!Q:Q,$A22,'Kelmscott, AUS'!$I:$I,TRUE),TRUE,FALSE)</f>
        <v>1</v>
      </c>
    </row>
    <row r="23">
      <c r="A23" s="47" t="str">
        <f>IFERROR(__xludf.DUMMYFUNCTION("""COMPUTED_VALUE"""),"BrotherWilliam")</f>
        <v>BrotherWilliam</v>
      </c>
      <c r="B23" s="47">
        <f t="shared" si="1"/>
        <v>35</v>
      </c>
      <c r="C23" s="47" t="b">
        <v>0</v>
      </c>
      <c r="D23" s="47" t="b">
        <v>0</v>
      </c>
      <c r="E23" s="47" t="b">
        <v>0</v>
      </c>
      <c r="F23" s="47" t="b">
        <v>0</v>
      </c>
      <c r="G23" s="96"/>
      <c r="H23" s="96" t="b">
        <f>if(countifs('Berlin, GER'!Q:Q,A23,'Berlin, GER'!I:I,TRUE),TRUE,FALSE)</f>
        <v>1</v>
      </c>
      <c r="I23" s="96" t="b">
        <f>if(countifs('Escondido, USA'!Q:Q,A23,'Escondido, USA'!I:I,TRUE),TRUE,FALSE)</f>
        <v>1</v>
      </c>
      <c r="J23" s="96" t="b">
        <f>if(countifs('Onkaparinga_Hills, AUS'!Q:Q,A23,'Onkaparinga_Hills, AUS'!I:I,TRUE),TRUE,FALSE)</f>
        <v>1</v>
      </c>
      <c r="K23" s="96" t="b">
        <f>if(countifs('Perth, AUS'!Q:Q,A23,'Perth, AUS'!I:I,TRUE),TRUE,FALSE)</f>
        <v>1</v>
      </c>
      <c r="L23" s="96" t="b">
        <f>if(countifs('Raleigh, USA'!Q:Q,A23,'Raleigh, USA'!I:I,TRUE),TRUE,FALSE)</f>
        <v>1</v>
      </c>
      <c r="M23" s="96" t="b">
        <f>if(countifs('Browns Plains, AUS'!Q:Q,A23,'Browns Plains, AUS'!I:I,TRUE),TRUE,FALSE)</f>
        <v>1</v>
      </c>
      <c r="N23" s="96" t="b">
        <f>if(countifs('Brossard, CAN'!Q:Q,A23,'Brossard, CAN'!I:I,TRUE),TRUE,FALSE)</f>
        <v>1</v>
      </c>
      <c r="O23" s="96" t="b">
        <f>if(countifs('Gouda, NL'!Q:Q,$A23,'Gouda, NL'!$I:$I,TRUE),TRUE,FALSE)</f>
        <v>1</v>
      </c>
      <c r="P23" s="47" t="b">
        <f>if(countifs('Plympton, UK'!Q:Q,$A23,'Plympton, UK'!$I:$I,TRUE),TRUE,FALSE)</f>
        <v>1</v>
      </c>
      <c r="Q23" s="47" t="b">
        <f>if(countifs('Glen Oaks, USA'!Q:Q,$A23,'Glen Oaks, USA'!$I:$I,TRUE),TRUE,FALSE)</f>
        <v>1</v>
      </c>
      <c r="R23" s="47" t="b">
        <f>if(countifs('Chemnitz, GER'!Q:Q,$A23,'Chemnitz, GER'!I:I,TRUE),TRUE,FALSE)</f>
        <v>1</v>
      </c>
      <c r="S23" s="47" t="b">
        <f>if(countifs('Vosselaar, BE'!Q:Q,$A23,'Vosselaar, BE'!$I:$I,TRUE),TRUE,FALSE)</f>
        <v>1</v>
      </c>
      <c r="T23" s="47" t="b">
        <f>if(countifs('MHQ, USA'!Q:Q,$A23,'MHQ, USA'!$I:$I,TRUE),TRUE,FALSE)</f>
        <v>1</v>
      </c>
      <c r="U23" s="47" t="b">
        <f>if(countifs('Morayfield, AUS'!Q:Q,$A23,'Morayfield, AUS'!$I:$I,TRUE),TRUE,FALSE)</f>
        <v>1</v>
      </c>
      <c r="V23" s="11" t="b">
        <f>if(countifs('Arnhem, NL'!Q:Q,$A23,'Arnhem, NL'!$I:$I,TRUE),TRUE,FALSE)</f>
        <v>0</v>
      </c>
      <c r="W23" s="47" t="b">
        <f>if(countifs('Gotenborg, SW'!Q:Q,$A23,'Gotenborg, SW'!$I:$I,TRUE),TRUE,FALSE)</f>
        <v>1</v>
      </c>
      <c r="X23" s="47" t="b">
        <f>if(countifs('Shepparton, AUS'!Q:Q,$A23,'Shepparton, AUS'!$I:$I,TRUE),TRUE,FALSE)</f>
        <v>1</v>
      </c>
      <c r="Y23" s="47" t="b">
        <f>if(countifs('Hoofddorp, NL'!Q:Q,$A23,'Hoofddorp, NL'!$I:$I,TRUE),TRUE,FALSE)</f>
        <v>1</v>
      </c>
      <c r="Z23" s="47" t="b">
        <f>if(countifs('Bedford, UK'!Q:Q,$A23,'Bedford, UK'!$I:$I,TRUE),TRUE,FALSE)</f>
        <v>1</v>
      </c>
      <c r="AA23" s="47" t="b">
        <f>IF(COUNTIFS('Desert Lodge, USA'!Q:Q,$A23,'Desert Lodge, USA'!I:I,TRUE),TRUE,FALSE)</f>
        <v>1</v>
      </c>
      <c r="AB23" s="47" t="b">
        <f>if(countifs('Dapto, AUS'!Q:Q,$A23,'Dapto, AUS'!$I:$I,TRUE),TRUE,FALSE)</f>
        <v>1</v>
      </c>
      <c r="AC23" s="47" t="b">
        <f>if(countifs('New Westminster, CAN'!Q:Q,$A23,'New Westminster, CAN'!$I:$I,TRUE),TRUE,FALSE)</f>
        <v>1</v>
      </c>
      <c r="AD23" s="47" t="b">
        <f>if(countifs('Georgetown, CAN'!Q:Q,$A23,'Georgetown, CAN'!$I:$I,TRUE),TRUE,FALSE)</f>
        <v>1</v>
      </c>
      <c r="AE23" s="47" t="b">
        <f>if(countifs('Kingswood, UK'!Q:Q,$A23,'Kingswood, UK'!$I:$I,TRUE),TRUE,FALSE)</f>
        <v>1</v>
      </c>
      <c r="AF23" s="47" t="b">
        <f>if(countifs('Hagerstown, USA'!Q:Q,$A23,'Hagerstown, USA'!$I:$I,TRUE),TRUE,FALSE)</f>
        <v>1</v>
      </c>
      <c r="AG23" s="47" t="b">
        <f>if(countifs('Felsogalla, HU'!Q:Q,$A23,'Felsogalla, HU'!$I:$I,TRUE),TRUE,FALSE)</f>
        <v>1</v>
      </c>
      <c r="AH23" s="47" t="b">
        <f>if(countifs('Norlane, AUS'!Q:Q,$A23,'Norlane, AUS'!$I:$I,TRUE),TRUE,FALSE)</f>
        <v>1</v>
      </c>
      <c r="AI23" s="47" t="b">
        <f>if(countifs('Meitingen, GER'!Q:Q,$A23,'Meitingen, GER'!$I:$I,TRUE),TRUE,FALSE)</f>
        <v>1</v>
      </c>
      <c r="AJ23" s="47" t="b">
        <f>if(countifs('Groningen, NL'!Q:Q,$A23,'Groningen, NL'!$I:$I,TRUE),TRUE,FALSE)</f>
        <v>1</v>
      </c>
      <c r="AK23" s="47" t="b">
        <f>if(countifs('Linköping, SW'!Q:Q,$A23,'Linköping, SW'!$I:$I,TRUE),TRUE,FALSE)</f>
        <v>1</v>
      </c>
      <c r="AL23" s="47" t="b">
        <f>if(countifs('Austin, USA'!Q:Q,$A23,'Austin, USA'!$I:$I,TRUE),TRUE,FALSE)</f>
        <v>0</v>
      </c>
      <c r="AM23" s="47" t="b">
        <f>if(countifs('Thringstone, UK'!Q:Q,$A23,'Thringstone, UK'!$I:$I,TRUE),TRUE,FALSE)</f>
        <v>1</v>
      </c>
      <c r="AN23" s="47" t="b">
        <f>if(countifs('Andover, UK'!Q:Q,$A23,'Andover, UK'!$I:$I,TRUE),TRUE,FALSE)</f>
        <v>1</v>
      </c>
      <c r="AO23" s="47" t="b">
        <f>if(countifs('Ospel, NL'!Q:Q,$A23,'Ospel, NL'!$I:$I,TRUE),TRUE,FALSE)</f>
        <v>1</v>
      </c>
      <c r="AP23" s="47" t="b">
        <f>if(countifs('Wonthaggi, AUS'!Q:Q,$A23,'Wonthaggi, AUS'!$I:$I,TRUE),TRUE,FALSE)</f>
        <v>1</v>
      </c>
      <c r="AQ23" s="47" t="b">
        <f>if(countifs('Falling_Waters, USA'!$Q:$Q,$A23,'Falling_Waters, USA'!$I:$I,TRUE),TRUE,FALSE)</f>
        <v>1</v>
      </c>
      <c r="AR23" s="47" t="b">
        <f>if(countifs('Kelmscott, AUS'!Q:Q,$A23,'Kelmscott, AUS'!$I:$I,TRUE),TRUE,FALSE)</f>
        <v>1</v>
      </c>
    </row>
    <row r="24">
      <c r="A24" s="47" t="str">
        <f>IFERROR(__xludf.DUMMYFUNCTION("""COMPUTED_VALUE"""),"IggiePiggie")</f>
        <v>IggiePiggie</v>
      </c>
      <c r="B24" s="47">
        <f t="shared" si="1"/>
        <v>15</v>
      </c>
      <c r="C24" s="47" t="b">
        <v>0</v>
      </c>
      <c r="D24" s="47" t="b">
        <v>0</v>
      </c>
      <c r="E24" s="47" t="b">
        <v>0</v>
      </c>
      <c r="F24" s="47" t="b">
        <v>0</v>
      </c>
      <c r="G24" s="96"/>
      <c r="H24" s="96" t="b">
        <f>if(countifs('Berlin, GER'!Q:Q,A24,'Berlin, GER'!I:I,TRUE),TRUE,FALSE)</f>
        <v>1</v>
      </c>
      <c r="I24" s="96" t="b">
        <f>if(countifs('Escondido, USA'!Q:Q,A24,'Escondido, USA'!I:I,TRUE),TRUE,FALSE)</f>
        <v>1</v>
      </c>
      <c r="J24" s="96" t="b">
        <f>if(countifs('Onkaparinga_Hills, AUS'!Q:Q,A24,'Onkaparinga_Hills, AUS'!I:I,TRUE),TRUE,FALSE)</f>
        <v>1</v>
      </c>
      <c r="K24" s="96" t="b">
        <f>if(countifs('Perth, AUS'!Q:Q,A24,'Perth, AUS'!I:I,TRUE),TRUE,FALSE)</f>
        <v>1</v>
      </c>
      <c r="L24" s="96" t="b">
        <f>if(countifs('Raleigh, USA'!Q:Q,A24,'Raleigh, USA'!I:I,TRUE),TRUE,FALSE)</f>
        <v>1</v>
      </c>
      <c r="M24" s="96" t="b">
        <f>if(countifs('Browns Plains, AUS'!Q:Q,A24,'Browns Plains, AUS'!I:I,TRUE),TRUE,FALSE)</f>
        <v>1</v>
      </c>
      <c r="N24" s="96" t="b">
        <f>if(countifs('Brossard, CAN'!Q:Q,A24,'Brossard, CAN'!I:I,TRUE),TRUE,FALSE)</f>
        <v>0</v>
      </c>
      <c r="O24" s="96" t="b">
        <f>if(countifs('Gouda, NL'!Q:Q,$A24,'Gouda, NL'!$I:$I,TRUE),TRUE,FALSE)</f>
        <v>1</v>
      </c>
      <c r="P24" s="47" t="b">
        <f>if(countifs('Plympton, UK'!Q:Q,$A24,'Plympton, UK'!$I:$I,TRUE),TRUE,FALSE)</f>
        <v>1</v>
      </c>
      <c r="Q24" s="47" t="b">
        <f>if(countifs('Glen Oaks, USA'!Q:Q,$A24,'Glen Oaks, USA'!$I:$I,TRUE),TRUE,FALSE)</f>
        <v>1</v>
      </c>
      <c r="R24" s="47" t="b">
        <f>if(countifs('Chemnitz, GER'!Q:Q,$A24,'Chemnitz, GER'!I:I,TRUE),TRUE,FALSE)</f>
        <v>1</v>
      </c>
      <c r="S24" s="47" t="b">
        <f>if(countifs('Vosselaar, BE'!Q:Q,$A24,'Vosselaar, BE'!$I:$I,TRUE),TRUE,FALSE)</f>
        <v>1</v>
      </c>
      <c r="T24" s="47" t="b">
        <f>if(countifs('MHQ, USA'!Q:Q,$A24,'MHQ, USA'!$I:$I,TRUE),TRUE,FALSE)</f>
        <v>1</v>
      </c>
      <c r="U24" s="47" t="b">
        <f>if(countifs('Morayfield, AUS'!Q:Q,$A24,'Morayfield, AUS'!$I:$I,TRUE),TRUE,FALSE)</f>
        <v>1</v>
      </c>
      <c r="V24" s="11" t="b">
        <f>if(countifs('Arnhem, NL'!Q:Q,$A24,'Arnhem, NL'!$I:$I,TRUE),TRUE,FALSE)</f>
        <v>0</v>
      </c>
      <c r="W24" s="47" t="b">
        <f>if(countifs('Gotenborg, SW'!Q:Q,$A24,'Gotenborg, SW'!$I:$I,TRUE),TRUE,FALSE)</f>
        <v>1</v>
      </c>
      <c r="X24" s="47" t="b">
        <f>if(countifs('Shepparton, AUS'!Q:Q,$A24,'Shepparton, AUS'!$I:$I,TRUE),TRUE,FALSE)</f>
        <v>1</v>
      </c>
      <c r="Y24" s="47" t="b">
        <f>if(countifs('Hoofddorp, NL'!Q:Q,$A24,'Hoofddorp, NL'!$I:$I,TRUE),TRUE,FALSE)</f>
        <v>0</v>
      </c>
      <c r="Z24" s="47" t="b">
        <f>if(countifs('Bedford, UK'!Q:Q,$A24,'Bedford, UK'!$I:$I,TRUE),TRUE,FALSE)</f>
        <v>0</v>
      </c>
      <c r="AA24" s="47" t="b">
        <f>IF(COUNTIFS('Desert Lodge, USA'!Q:Q,$A24,'Desert Lodge, USA'!I:I,TRUE),TRUE,FALSE)</f>
        <v>0</v>
      </c>
      <c r="AB24" s="47" t="b">
        <f>if(countifs('Dapto, AUS'!Q:Q,$A24,'Dapto, AUS'!$I:$I,TRUE),TRUE,FALSE)</f>
        <v>0</v>
      </c>
      <c r="AC24" s="47" t="b">
        <f>if(countifs('New Westminster, CAN'!Q:Q,$A24,'New Westminster, CAN'!$I:$I,TRUE),TRUE,FALSE)</f>
        <v>0</v>
      </c>
      <c r="AD24" s="47" t="b">
        <f>if(countifs('Georgetown, CAN'!Q:Q,$A24,'Georgetown, CAN'!$I:$I,TRUE),TRUE,FALSE)</f>
        <v>0</v>
      </c>
      <c r="AE24" s="47" t="b">
        <f>if(countifs('Kingswood, UK'!Q:Q,$A24,'Kingswood, UK'!$I:$I,TRUE),TRUE,FALSE)</f>
        <v>0</v>
      </c>
      <c r="AF24" s="47" t="b">
        <f>if(countifs('Hagerstown, USA'!Q:Q,$A24,'Hagerstown, USA'!$I:$I,TRUE),TRUE,FALSE)</f>
        <v>0</v>
      </c>
      <c r="AG24" s="47" t="b">
        <f>if(countifs('Felsogalla, HU'!Q:Q,$A24,'Felsogalla, HU'!$I:$I,TRUE),TRUE,FALSE)</f>
        <v>0</v>
      </c>
      <c r="AH24" s="47" t="b">
        <f>if(countifs('Norlane, AUS'!Q:Q,$A24,'Norlane, AUS'!$I:$I,TRUE),TRUE,FALSE)</f>
        <v>0</v>
      </c>
      <c r="AI24" s="47" t="b">
        <f>if(countifs('Meitingen, GER'!Q:Q,$A24,'Meitingen, GER'!$I:$I,TRUE),TRUE,FALSE)</f>
        <v>0</v>
      </c>
      <c r="AJ24" s="47" t="b">
        <f>if(countifs('Groningen, NL'!Q:Q,$A24,'Groningen, NL'!$I:$I,TRUE),TRUE,FALSE)</f>
        <v>0</v>
      </c>
      <c r="AK24" s="47" t="b">
        <f>if(countifs('Linköping, SW'!Q:Q,$A24,'Linköping, SW'!$I:$I,TRUE),TRUE,FALSE)</f>
        <v>0</v>
      </c>
      <c r="AL24" s="47" t="b">
        <f>if(countifs('Austin, USA'!Q:Q,$A24,'Austin, USA'!$I:$I,TRUE),TRUE,FALSE)</f>
        <v>0</v>
      </c>
      <c r="AM24" s="47" t="b">
        <f>if(countifs('Thringstone, UK'!Q:Q,$A24,'Thringstone, UK'!$I:$I,TRUE),TRUE,FALSE)</f>
        <v>0</v>
      </c>
      <c r="AN24" s="47" t="b">
        <f>if(countifs('Andover, UK'!Q:Q,$A24,'Andover, UK'!$I:$I,TRUE),TRUE,FALSE)</f>
        <v>0</v>
      </c>
      <c r="AO24" s="47" t="b">
        <f>if(countifs('Ospel, NL'!Q:Q,$A24,'Ospel, NL'!$I:$I,TRUE),TRUE,FALSE)</f>
        <v>0</v>
      </c>
      <c r="AP24" s="47" t="b">
        <f>if(countifs('Wonthaggi, AUS'!Q:Q,$A24,'Wonthaggi, AUS'!$I:$I,TRUE),TRUE,FALSE)</f>
        <v>0</v>
      </c>
      <c r="AQ24" s="47" t="b">
        <f>if(countifs('Falling_Waters, USA'!$Q:$Q,$A24,'Falling_Waters, USA'!$I:$I,TRUE),TRUE,FALSE)</f>
        <v>0</v>
      </c>
      <c r="AR24" s="47" t="b">
        <f>if(countifs('Kelmscott, AUS'!Q:Q,$A24,'Kelmscott, AUS'!$I:$I,TRUE),TRUE,FALSE)</f>
        <v>0</v>
      </c>
    </row>
    <row r="25">
      <c r="A25" s="47" t="str">
        <f>IFERROR(__xludf.DUMMYFUNCTION("""COMPUTED_VALUE"""),"ArtofEco")</f>
        <v>ArtofEco</v>
      </c>
      <c r="B25" s="47">
        <f t="shared" si="1"/>
        <v>35</v>
      </c>
      <c r="C25" s="47" t="b">
        <v>0</v>
      </c>
      <c r="D25" s="47" t="b">
        <v>0</v>
      </c>
      <c r="E25" s="47" t="b">
        <v>0</v>
      </c>
      <c r="F25" s="47" t="b">
        <v>0</v>
      </c>
      <c r="G25" s="96"/>
      <c r="H25" s="96" t="b">
        <f>if(countifs('Berlin, GER'!Q:Q,A25,'Berlin, GER'!I:I,TRUE),TRUE,FALSE)</f>
        <v>1</v>
      </c>
      <c r="I25" s="96" t="b">
        <f>if(countifs('Escondido, USA'!Q:Q,A25,'Escondido, USA'!I:I,TRUE),TRUE,FALSE)</f>
        <v>1</v>
      </c>
      <c r="J25" s="96" t="b">
        <f>if(countifs('Onkaparinga_Hills, AUS'!Q:Q,A25,'Onkaparinga_Hills, AUS'!I:I,TRUE),TRUE,FALSE)</f>
        <v>1</v>
      </c>
      <c r="K25" s="96" t="b">
        <f>if(countifs('Perth, AUS'!Q:Q,A25,'Perth, AUS'!I:I,TRUE),TRUE,FALSE)</f>
        <v>1</v>
      </c>
      <c r="L25" s="96" t="b">
        <f>if(countifs('Raleigh, USA'!Q:Q,A25,'Raleigh, USA'!I:I,TRUE),TRUE,FALSE)</f>
        <v>1</v>
      </c>
      <c r="M25" s="96" t="b">
        <f>if(countifs('Browns Plains, AUS'!Q:Q,A25,'Browns Plains, AUS'!I:I,TRUE),TRUE,FALSE)</f>
        <v>1</v>
      </c>
      <c r="N25" s="96" t="b">
        <f>if(countifs('Brossard, CAN'!Q:Q,A25,'Brossard, CAN'!I:I,TRUE),TRUE,FALSE)</f>
        <v>1</v>
      </c>
      <c r="O25" s="96" t="b">
        <f>if(countifs('Gouda, NL'!Q:Q,$A25,'Gouda, NL'!$I:$I,TRUE),TRUE,FALSE)</f>
        <v>1</v>
      </c>
      <c r="P25" s="47" t="b">
        <f>if(countifs('Plympton, UK'!Q:Q,$A25,'Plympton, UK'!$I:$I,TRUE),TRUE,FALSE)</f>
        <v>1</v>
      </c>
      <c r="Q25" s="47" t="b">
        <f>if(countifs('Glen Oaks, USA'!Q:Q,$A25,'Glen Oaks, USA'!$I:$I,TRUE),TRUE,FALSE)</f>
        <v>1</v>
      </c>
      <c r="R25" s="47" t="b">
        <f>if(countifs('Chemnitz, GER'!Q:Q,$A25,'Chemnitz, GER'!I:I,TRUE),TRUE,FALSE)</f>
        <v>1</v>
      </c>
      <c r="S25" s="47" t="b">
        <f>if(countifs('Vosselaar, BE'!Q:Q,$A25,'Vosselaar, BE'!$I:$I,TRUE),TRUE,FALSE)</f>
        <v>1</v>
      </c>
      <c r="T25" s="47" t="b">
        <f>if(countifs('MHQ, USA'!Q:Q,$A25,'MHQ, USA'!$I:$I,TRUE),TRUE,FALSE)</f>
        <v>1</v>
      </c>
      <c r="U25" s="47" t="b">
        <f>if(countifs('Morayfield, AUS'!Q:Q,$A25,'Morayfield, AUS'!$I:$I,TRUE),TRUE,FALSE)</f>
        <v>1</v>
      </c>
      <c r="V25" s="11" t="b">
        <f>if(countifs('Arnhem, NL'!Q:Q,$A25,'Arnhem, NL'!$I:$I,TRUE),TRUE,FALSE)</f>
        <v>0</v>
      </c>
      <c r="W25" s="47" t="b">
        <f>if(countifs('Gotenborg, SW'!Q:Q,$A25,'Gotenborg, SW'!$I:$I,TRUE),TRUE,FALSE)</f>
        <v>1</v>
      </c>
      <c r="X25" s="47" t="b">
        <f>if(countifs('Shepparton, AUS'!Q:Q,$A25,'Shepparton, AUS'!$I:$I,TRUE),TRUE,FALSE)</f>
        <v>1</v>
      </c>
      <c r="Y25" s="47" t="b">
        <f>if(countifs('Hoofddorp, NL'!Q:Q,$A25,'Hoofddorp, NL'!$I:$I,TRUE),TRUE,FALSE)</f>
        <v>1</v>
      </c>
      <c r="Z25" s="47" t="b">
        <f>if(countifs('Bedford, UK'!Q:Q,$A25,'Bedford, UK'!$I:$I,TRUE),TRUE,FALSE)</f>
        <v>1</v>
      </c>
      <c r="AA25" s="47" t="b">
        <f>IF(COUNTIFS('Desert Lodge, USA'!Q:Q,$A25,'Desert Lodge, USA'!I:I,TRUE),TRUE,FALSE)</f>
        <v>1</v>
      </c>
      <c r="AB25" s="47" t="b">
        <f>if(countifs('Dapto, AUS'!Q:Q,$A25,'Dapto, AUS'!$I:$I,TRUE),TRUE,FALSE)</f>
        <v>1</v>
      </c>
      <c r="AC25" s="47" t="b">
        <f>if(countifs('New Westminster, CAN'!Q:Q,$A25,'New Westminster, CAN'!$I:$I,TRUE),TRUE,FALSE)</f>
        <v>1</v>
      </c>
      <c r="AD25" s="47" t="b">
        <f>if(countifs('Georgetown, CAN'!Q:Q,$A25,'Georgetown, CAN'!$I:$I,TRUE),TRUE,FALSE)</f>
        <v>1</v>
      </c>
      <c r="AE25" s="47" t="b">
        <f>if(countifs('Kingswood, UK'!Q:Q,$A25,'Kingswood, UK'!$I:$I,TRUE),TRUE,FALSE)</f>
        <v>1</v>
      </c>
      <c r="AF25" s="47" t="b">
        <f>if(countifs('Hagerstown, USA'!Q:Q,$A25,'Hagerstown, USA'!$I:$I,TRUE),TRUE,FALSE)</f>
        <v>1</v>
      </c>
      <c r="AG25" s="47" t="b">
        <f>if(countifs('Felsogalla, HU'!Q:Q,$A25,'Felsogalla, HU'!$I:$I,TRUE),TRUE,FALSE)</f>
        <v>1</v>
      </c>
      <c r="AH25" s="47" t="b">
        <f>if(countifs('Norlane, AUS'!Q:Q,$A25,'Norlane, AUS'!$I:$I,TRUE),TRUE,FALSE)</f>
        <v>1</v>
      </c>
      <c r="AI25" s="47" t="b">
        <f>if(countifs('Meitingen, GER'!Q:Q,$A25,'Meitingen, GER'!$I:$I,TRUE),TRUE,FALSE)</f>
        <v>1</v>
      </c>
      <c r="AJ25" s="47" t="b">
        <f>if(countifs('Groningen, NL'!Q:Q,$A25,'Groningen, NL'!$I:$I,TRUE),TRUE,FALSE)</f>
        <v>1</v>
      </c>
      <c r="AK25" s="47" t="b">
        <f>if(countifs('Linköping, SW'!Q:Q,$A25,'Linköping, SW'!$I:$I,TRUE),TRUE,FALSE)</f>
        <v>1</v>
      </c>
      <c r="AL25" s="47" t="b">
        <f>if(countifs('Austin, USA'!Q:Q,$A25,'Austin, USA'!$I:$I,TRUE),TRUE,FALSE)</f>
        <v>0</v>
      </c>
      <c r="AM25" s="47" t="b">
        <f>if(countifs('Thringstone, UK'!Q:Q,$A25,'Thringstone, UK'!$I:$I,TRUE),TRUE,FALSE)</f>
        <v>1</v>
      </c>
      <c r="AN25" s="47" t="b">
        <f>if(countifs('Andover, UK'!Q:Q,$A25,'Andover, UK'!$I:$I,TRUE),TRUE,FALSE)</f>
        <v>1</v>
      </c>
      <c r="AO25" s="47" t="b">
        <f>if(countifs('Ospel, NL'!Q:Q,$A25,'Ospel, NL'!$I:$I,TRUE),TRUE,FALSE)</f>
        <v>1</v>
      </c>
      <c r="AP25" s="47" t="b">
        <f>if(countifs('Wonthaggi, AUS'!Q:Q,$A25,'Wonthaggi, AUS'!$I:$I,TRUE),TRUE,FALSE)</f>
        <v>1</v>
      </c>
      <c r="AQ25" s="47" t="b">
        <f>if(countifs('Falling_Waters, USA'!$Q:$Q,$A25,'Falling_Waters, USA'!$I:$I,TRUE),TRUE,FALSE)</f>
        <v>1</v>
      </c>
      <c r="AR25" s="47" t="b">
        <f>if(countifs('Kelmscott, AUS'!Q:Q,$A25,'Kelmscott, AUS'!$I:$I,TRUE),TRUE,FALSE)</f>
        <v>1</v>
      </c>
    </row>
    <row r="26">
      <c r="A26" s="47" t="str">
        <f>IFERROR(__xludf.DUMMYFUNCTION("""COMPUTED_VALUE"""),"Anetzet")</f>
        <v>Anetzet</v>
      </c>
      <c r="B26" s="47">
        <f t="shared" si="1"/>
        <v>36</v>
      </c>
      <c r="C26" s="47" t="b">
        <v>0</v>
      </c>
      <c r="D26" s="47" t="b">
        <v>0</v>
      </c>
      <c r="E26" s="47" t="b">
        <v>0</v>
      </c>
      <c r="F26" s="47" t="b">
        <v>0</v>
      </c>
      <c r="G26" s="96"/>
      <c r="H26" s="96" t="b">
        <f>if(countifs('Berlin, GER'!Q:Q,A26,'Berlin, GER'!I:I,TRUE),TRUE,FALSE)</f>
        <v>1</v>
      </c>
      <c r="I26" s="96" t="b">
        <f>if(countifs('Escondido, USA'!Q:Q,A26,'Escondido, USA'!I:I,TRUE),TRUE,FALSE)</f>
        <v>1</v>
      </c>
      <c r="J26" s="96" t="b">
        <f>if(countifs('Onkaparinga_Hills, AUS'!Q:Q,A26,'Onkaparinga_Hills, AUS'!I:I,TRUE),TRUE,FALSE)</f>
        <v>1</v>
      </c>
      <c r="K26" s="96" t="b">
        <f>if(countifs('Perth, AUS'!Q:Q,A26,'Perth, AUS'!I:I,TRUE),TRUE,FALSE)</f>
        <v>1</v>
      </c>
      <c r="L26" s="96" t="b">
        <f>if(countifs('Raleigh, USA'!Q:Q,A26,'Raleigh, USA'!I:I,TRUE),TRUE,FALSE)</f>
        <v>1</v>
      </c>
      <c r="M26" s="96" t="b">
        <f>if(countifs('Browns Plains, AUS'!Q:Q,A26,'Browns Plains, AUS'!I:I,TRUE),TRUE,FALSE)</f>
        <v>1</v>
      </c>
      <c r="N26" s="96" t="b">
        <f>if(countifs('Brossard, CAN'!Q:Q,A26,'Brossard, CAN'!I:I,TRUE),TRUE,FALSE)</f>
        <v>1</v>
      </c>
      <c r="O26" s="96" t="b">
        <f>if(countifs('Gouda, NL'!Q:Q,$A26,'Gouda, NL'!$I:$I,TRUE),TRUE,FALSE)</f>
        <v>1</v>
      </c>
      <c r="P26" s="47" t="b">
        <f>if(countifs('Plympton, UK'!Q:Q,$A26,'Plympton, UK'!$I:$I,TRUE),TRUE,FALSE)</f>
        <v>1</v>
      </c>
      <c r="Q26" s="47" t="b">
        <f>if(countifs('Glen Oaks, USA'!Q:Q,$A26,'Glen Oaks, USA'!$I:$I,TRUE),TRUE,FALSE)</f>
        <v>1</v>
      </c>
      <c r="R26" s="47" t="b">
        <f>if(countifs('Chemnitz, GER'!Q:Q,$A26,'Chemnitz, GER'!I:I,TRUE),TRUE,FALSE)</f>
        <v>1</v>
      </c>
      <c r="S26" s="47" t="b">
        <f>if(countifs('Vosselaar, BE'!Q:Q,$A26,'Vosselaar, BE'!$I:$I,TRUE),TRUE,FALSE)</f>
        <v>1</v>
      </c>
      <c r="T26" s="47" t="b">
        <f>if(countifs('MHQ, USA'!Q:Q,$A26,'MHQ, USA'!$I:$I,TRUE),TRUE,FALSE)</f>
        <v>1</v>
      </c>
      <c r="U26" s="47" t="b">
        <f>if(countifs('Morayfield, AUS'!Q:Q,$A26,'Morayfield, AUS'!$I:$I,TRUE),TRUE,FALSE)</f>
        <v>1</v>
      </c>
      <c r="V26" s="11" t="b">
        <f>if(countifs('Arnhem, NL'!Q:Q,$A26,'Arnhem, NL'!$I:$I,TRUE),TRUE,FALSE)</f>
        <v>1</v>
      </c>
      <c r="W26" s="47" t="b">
        <f>if(countifs('Gotenborg, SW'!Q:Q,$A26,'Gotenborg, SW'!$I:$I,TRUE),TRUE,FALSE)</f>
        <v>1</v>
      </c>
      <c r="X26" s="47" t="b">
        <f>if(countifs('Shepparton, AUS'!Q:Q,$A26,'Shepparton, AUS'!$I:$I,TRUE),TRUE,FALSE)</f>
        <v>1</v>
      </c>
      <c r="Y26" s="47" t="b">
        <f>if(countifs('Hoofddorp, NL'!Q:Q,$A26,'Hoofddorp, NL'!$I:$I,TRUE),TRUE,FALSE)</f>
        <v>1</v>
      </c>
      <c r="Z26" s="47" t="b">
        <f>if(countifs('Bedford, UK'!Q:Q,$A26,'Bedford, UK'!$I:$I,TRUE),TRUE,FALSE)</f>
        <v>1</v>
      </c>
      <c r="AA26" s="47" t="b">
        <f>IF(COUNTIFS('Desert Lodge, USA'!Q:Q,$A26,'Desert Lodge, USA'!I:I,TRUE),TRUE,FALSE)</f>
        <v>1</v>
      </c>
      <c r="AB26" s="47" t="b">
        <f>if(countifs('Dapto, AUS'!Q:Q,$A26,'Dapto, AUS'!$I:$I,TRUE),TRUE,FALSE)</f>
        <v>1</v>
      </c>
      <c r="AC26" s="47" t="b">
        <f>if(countifs('New Westminster, CAN'!Q:Q,$A26,'New Westminster, CAN'!$I:$I,TRUE),TRUE,FALSE)</f>
        <v>1</v>
      </c>
      <c r="AD26" s="47" t="b">
        <f>if(countifs('Georgetown, CAN'!Q:Q,$A26,'Georgetown, CAN'!$I:$I,TRUE),TRUE,FALSE)</f>
        <v>1</v>
      </c>
      <c r="AE26" s="47" t="b">
        <f>if(countifs('Kingswood, UK'!Q:Q,$A26,'Kingswood, UK'!$I:$I,TRUE),TRUE,FALSE)</f>
        <v>1</v>
      </c>
      <c r="AF26" s="47" t="b">
        <f>if(countifs('Hagerstown, USA'!Q:Q,$A26,'Hagerstown, USA'!$I:$I,TRUE),TRUE,FALSE)</f>
        <v>1</v>
      </c>
      <c r="AG26" s="47" t="b">
        <f>if(countifs('Felsogalla, HU'!Q:Q,$A26,'Felsogalla, HU'!$I:$I,TRUE),TRUE,FALSE)</f>
        <v>1</v>
      </c>
      <c r="AH26" s="47" t="b">
        <f>if(countifs('Norlane, AUS'!Q:Q,$A26,'Norlane, AUS'!$I:$I,TRUE),TRUE,FALSE)</f>
        <v>1</v>
      </c>
      <c r="AI26" s="47" t="b">
        <f>if(countifs('Meitingen, GER'!Q:Q,$A26,'Meitingen, GER'!$I:$I,TRUE),TRUE,FALSE)</f>
        <v>1</v>
      </c>
      <c r="AJ26" s="47" t="b">
        <f>if(countifs('Groningen, NL'!Q:Q,$A26,'Groningen, NL'!$I:$I,TRUE),TRUE,FALSE)</f>
        <v>1</v>
      </c>
      <c r="AK26" s="47" t="b">
        <f>if(countifs('Linköping, SW'!Q:Q,$A26,'Linköping, SW'!$I:$I,TRUE),TRUE,FALSE)</f>
        <v>1</v>
      </c>
      <c r="AL26" s="47" t="b">
        <f>if(countifs('Austin, USA'!Q:Q,$A26,'Austin, USA'!$I:$I,TRUE),TRUE,FALSE)</f>
        <v>0</v>
      </c>
      <c r="AM26" s="47" t="b">
        <f>if(countifs('Thringstone, UK'!Q:Q,$A26,'Thringstone, UK'!$I:$I,TRUE),TRUE,FALSE)</f>
        <v>1</v>
      </c>
      <c r="AN26" s="47" t="b">
        <f>if(countifs('Andover, UK'!Q:Q,$A26,'Andover, UK'!$I:$I,TRUE),TRUE,FALSE)</f>
        <v>1</v>
      </c>
      <c r="AO26" s="47" t="b">
        <f>if(countifs('Ospel, NL'!Q:Q,$A26,'Ospel, NL'!$I:$I,TRUE),TRUE,FALSE)</f>
        <v>1</v>
      </c>
      <c r="AP26" s="47" t="b">
        <f>if(countifs('Wonthaggi, AUS'!Q:Q,$A26,'Wonthaggi, AUS'!$I:$I,TRUE),TRUE,FALSE)</f>
        <v>1</v>
      </c>
      <c r="AQ26" s="47" t="b">
        <f>if(countifs('Falling_Waters, USA'!$Q:$Q,$A26,'Falling_Waters, USA'!$I:$I,TRUE),TRUE,FALSE)</f>
        <v>1</v>
      </c>
      <c r="AR26" s="47" t="b">
        <f>if(countifs('Kelmscott, AUS'!Q:Q,$A26,'Kelmscott, AUS'!$I:$I,TRUE),TRUE,FALSE)</f>
        <v>1</v>
      </c>
    </row>
    <row r="27">
      <c r="A27" s="47" t="str">
        <f>IFERROR(__xludf.DUMMYFUNCTION("""COMPUTED_VALUE"""),"babyw")</f>
        <v>babyw</v>
      </c>
      <c r="B27" s="47">
        <f t="shared" si="1"/>
        <v>15</v>
      </c>
      <c r="C27" s="47" t="b">
        <v>0</v>
      </c>
      <c r="D27" s="47" t="b">
        <v>0</v>
      </c>
      <c r="E27" s="47" t="b">
        <v>0</v>
      </c>
      <c r="F27" s="47" t="b">
        <v>0</v>
      </c>
      <c r="G27" s="96"/>
      <c r="H27" s="96" t="b">
        <f>if(countifs('Berlin, GER'!Q:Q,A27,'Berlin, GER'!I:I,TRUE),TRUE,FALSE)</f>
        <v>1</v>
      </c>
      <c r="I27" s="96" t="b">
        <f>if(countifs('Escondido, USA'!Q:Q,A27,'Escondido, USA'!I:I,TRUE),TRUE,FALSE)</f>
        <v>1</v>
      </c>
      <c r="J27" s="96" t="b">
        <f>if(countifs('Onkaparinga_Hills, AUS'!Q:Q,A27,'Onkaparinga_Hills, AUS'!I:I,TRUE),TRUE,FALSE)</f>
        <v>1</v>
      </c>
      <c r="K27" s="96" t="b">
        <f>if(countifs('Perth, AUS'!Q:Q,A27,'Perth, AUS'!I:I,TRUE),TRUE,FALSE)</f>
        <v>1</v>
      </c>
      <c r="L27" s="96" t="b">
        <f>if(countifs('Raleigh, USA'!Q:Q,A27,'Raleigh, USA'!I:I,TRUE),TRUE,FALSE)</f>
        <v>1</v>
      </c>
      <c r="M27" s="96" t="b">
        <f>if(countifs('Browns Plains, AUS'!Q:Q,A27,'Browns Plains, AUS'!I:I,TRUE),TRUE,FALSE)</f>
        <v>1</v>
      </c>
      <c r="N27" s="96" t="b">
        <f>if(countifs('Brossard, CAN'!Q:Q,A27,'Brossard, CAN'!I:I,TRUE),TRUE,FALSE)</f>
        <v>1</v>
      </c>
      <c r="O27" s="96" t="b">
        <f>if(countifs('Gouda, NL'!Q:Q,$A27,'Gouda, NL'!$I:$I,TRUE),TRUE,FALSE)</f>
        <v>1</v>
      </c>
      <c r="P27" s="47" t="b">
        <f>if(countifs('Plympton, UK'!Q:Q,$A27,'Plympton, UK'!$I:$I,TRUE),TRUE,FALSE)</f>
        <v>1</v>
      </c>
      <c r="Q27" s="47" t="b">
        <f>if(countifs('Glen Oaks, USA'!Q:Q,$A27,'Glen Oaks, USA'!$I:$I,TRUE),TRUE,FALSE)</f>
        <v>1</v>
      </c>
      <c r="R27" s="47" t="b">
        <f>if(countifs('Chemnitz, GER'!Q:Q,$A27,'Chemnitz, GER'!I:I,TRUE),TRUE,FALSE)</f>
        <v>1</v>
      </c>
      <c r="S27" s="47" t="b">
        <f>if(countifs('Vosselaar, BE'!Q:Q,$A27,'Vosselaar, BE'!$I:$I,TRUE),TRUE,FALSE)</f>
        <v>1</v>
      </c>
      <c r="T27" s="47" t="b">
        <f>if(countifs('MHQ, USA'!Q:Q,$A27,'MHQ, USA'!$I:$I,TRUE),TRUE,FALSE)</f>
        <v>1</v>
      </c>
      <c r="U27" s="47" t="b">
        <f>if(countifs('Morayfield, AUS'!Q:Q,$A27,'Morayfield, AUS'!$I:$I,TRUE),TRUE,FALSE)</f>
        <v>1</v>
      </c>
      <c r="V27" s="11" t="b">
        <f>if(countifs('Arnhem, NL'!Q:Q,$A27,'Arnhem, NL'!$I:$I,TRUE),TRUE,FALSE)</f>
        <v>0</v>
      </c>
      <c r="W27" s="47" t="b">
        <f>if(countifs('Gotenborg, SW'!Q:Q,$A27,'Gotenborg, SW'!$I:$I,TRUE),TRUE,FALSE)</f>
        <v>1</v>
      </c>
      <c r="X27" s="47" t="b">
        <f>if(countifs('Shepparton, AUS'!Q:Q,$A27,'Shepparton, AUS'!$I:$I,TRUE),TRUE,FALSE)</f>
        <v>0</v>
      </c>
      <c r="Y27" s="47" t="b">
        <f>if(countifs('Hoofddorp, NL'!Q:Q,$A27,'Hoofddorp, NL'!$I:$I,TRUE),TRUE,FALSE)</f>
        <v>0</v>
      </c>
      <c r="Z27" s="47" t="b">
        <f>if(countifs('Bedford, UK'!Q:Q,$A27,'Bedford, UK'!$I:$I,TRUE),TRUE,FALSE)</f>
        <v>0</v>
      </c>
      <c r="AA27" s="47" t="b">
        <f>IF(COUNTIFS('Desert Lodge, USA'!Q:Q,$A27,'Desert Lodge, USA'!I:I,TRUE),TRUE,FALSE)</f>
        <v>0</v>
      </c>
      <c r="AB27" s="47" t="b">
        <f>if(countifs('Dapto, AUS'!Q:Q,$A27,'Dapto, AUS'!$I:$I,TRUE),TRUE,FALSE)</f>
        <v>0</v>
      </c>
      <c r="AC27" s="47" t="b">
        <f>if(countifs('New Westminster, CAN'!Q:Q,$A27,'New Westminster, CAN'!$I:$I,TRUE),TRUE,FALSE)</f>
        <v>0</v>
      </c>
      <c r="AD27" s="47" t="b">
        <f>if(countifs('Georgetown, CAN'!Q:Q,$A27,'Georgetown, CAN'!$I:$I,TRUE),TRUE,FALSE)</f>
        <v>0</v>
      </c>
      <c r="AE27" s="47" t="b">
        <f>if(countifs('Kingswood, UK'!Q:Q,$A27,'Kingswood, UK'!$I:$I,TRUE),TRUE,FALSE)</f>
        <v>0</v>
      </c>
      <c r="AF27" s="47" t="b">
        <f>if(countifs('Hagerstown, USA'!Q:Q,$A27,'Hagerstown, USA'!$I:$I,TRUE),TRUE,FALSE)</f>
        <v>0</v>
      </c>
      <c r="AG27" s="47" t="b">
        <f>if(countifs('Felsogalla, HU'!Q:Q,$A27,'Felsogalla, HU'!$I:$I,TRUE),TRUE,FALSE)</f>
        <v>0</v>
      </c>
      <c r="AH27" s="47" t="b">
        <f>if(countifs('Norlane, AUS'!Q:Q,$A27,'Norlane, AUS'!$I:$I,TRUE),TRUE,FALSE)</f>
        <v>0</v>
      </c>
      <c r="AI27" s="47" t="b">
        <f>if(countifs('Meitingen, GER'!Q:Q,$A27,'Meitingen, GER'!$I:$I,TRUE),TRUE,FALSE)</f>
        <v>0</v>
      </c>
      <c r="AJ27" s="47" t="b">
        <f>if(countifs('Groningen, NL'!Q:Q,$A27,'Groningen, NL'!$I:$I,TRUE),TRUE,FALSE)</f>
        <v>0</v>
      </c>
      <c r="AK27" s="47" t="b">
        <f>if(countifs('Linköping, SW'!Q:Q,$A27,'Linköping, SW'!$I:$I,TRUE),TRUE,FALSE)</f>
        <v>0</v>
      </c>
      <c r="AL27" s="47" t="b">
        <f>if(countifs('Austin, USA'!Q:Q,$A27,'Austin, USA'!$I:$I,TRUE),TRUE,FALSE)</f>
        <v>0</v>
      </c>
      <c r="AM27" s="47" t="b">
        <f>if(countifs('Thringstone, UK'!Q:Q,$A27,'Thringstone, UK'!$I:$I,TRUE),TRUE,FALSE)</f>
        <v>0</v>
      </c>
      <c r="AN27" s="47" t="b">
        <f>if(countifs('Andover, UK'!Q:Q,$A27,'Andover, UK'!$I:$I,TRUE),TRUE,FALSE)</f>
        <v>0</v>
      </c>
      <c r="AO27" s="47" t="b">
        <f>if(countifs('Ospel, NL'!Q:Q,$A27,'Ospel, NL'!$I:$I,TRUE),TRUE,FALSE)</f>
        <v>0</v>
      </c>
      <c r="AP27" s="47" t="b">
        <f>if(countifs('Wonthaggi, AUS'!Q:Q,$A27,'Wonthaggi, AUS'!$I:$I,TRUE),TRUE,FALSE)</f>
        <v>0</v>
      </c>
      <c r="AQ27" s="47" t="b">
        <f>if(countifs('Falling_Waters, USA'!$Q:$Q,$A27,'Falling_Waters, USA'!$I:$I,TRUE),TRUE,FALSE)</f>
        <v>0</v>
      </c>
      <c r="AR27" s="47" t="b">
        <f>if(countifs('Kelmscott, AUS'!Q:Q,$A27,'Kelmscott, AUS'!$I:$I,TRUE),TRUE,FALSE)</f>
        <v>0</v>
      </c>
    </row>
    <row r="28">
      <c r="A28" s="47" t="str">
        <f>IFERROR(__xludf.DUMMYFUNCTION("""COMPUTED_VALUE"""),"Trappertje")</f>
        <v>Trappertje</v>
      </c>
      <c r="B28" s="47">
        <f t="shared" si="1"/>
        <v>17</v>
      </c>
      <c r="C28" s="47" t="b">
        <v>0</v>
      </c>
      <c r="D28" s="47" t="b">
        <v>0</v>
      </c>
      <c r="E28" s="47" t="b">
        <v>0</v>
      </c>
      <c r="F28" s="47" t="b">
        <v>0</v>
      </c>
      <c r="G28" s="96"/>
      <c r="H28" s="96" t="b">
        <f>if(countifs('Berlin, GER'!Q:Q,A28,'Berlin, GER'!I:I,TRUE),TRUE,FALSE)</f>
        <v>1</v>
      </c>
      <c r="I28" s="96" t="b">
        <f>if(countifs('Escondido, USA'!Q:Q,A28,'Escondido, USA'!I:I,TRUE),TRUE,FALSE)</f>
        <v>1</v>
      </c>
      <c r="J28" s="96" t="b">
        <f>if(countifs('Onkaparinga_Hills, AUS'!Q:Q,A28,'Onkaparinga_Hills, AUS'!I:I,TRUE),TRUE,FALSE)</f>
        <v>1</v>
      </c>
      <c r="K28" s="96" t="b">
        <f>if(countifs('Perth, AUS'!Q:Q,A28,'Perth, AUS'!I:I,TRUE),TRUE,FALSE)</f>
        <v>1</v>
      </c>
      <c r="L28" s="96" t="b">
        <f>if(countifs('Raleigh, USA'!Q:Q,A28,'Raleigh, USA'!I:I,TRUE),TRUE,FALSE)</f>
        <v>1</v>
      </c>
      <c r="M28" s="96" t="b">
        <f>if(countifs('Browns Plains, AUS'!Q:Q,A28,'Browns Plains, AUS'!I:I,TRUE),TRUE,FALSE)</f>
        <v>0</v>
      </c>
      <c r="N28" s="96" t="b">
        <f>if(countifs('Brossard, CAN'!Q:Q,A28,'Brossard, CAN'!I:I,TRUE),TRUE,FALSE)</f>
        <v>0</v>
      </c>
      <c r="O28" s="96" t="b">
        <f>if(countifs('Gouda, NL'!Q:Q,$A28,'Gouda, NL'!$I:$I,TRUE),TRUE,FALSE)</f>
        <v>0</v>
      </c>
      <c r="P28" s="47" t="b">
        <f>if(countifs('Plympton, UK'!Q:Q,$A28,'Plympton, UK'!$I:$I,TRUE),TRUE,FALSE)</f>
        <v>0</v>
      </c>
      <c r="Q28" s="47" t="b">
        <f>if(countifs('Glen Oaks, USA'!Q:Q,$A28,'Glen Oaks, USA'!$I:$I,TRUE),TRUE,FALSE)</f>
        <v>1</v>
      </c>
      <c r="R28" s="47" t="b">
        <f>if(countifs('Chemnitz, GER'!Q:Q,$A28,'Chemnitz, GER'!I:I,TRUE),TRUE,FALSE)</f>
        <v>0</v>
      </c>
      <c r="S28" s="47" t="b">
        <f>if(countifs('Vosselaar, BE'!Q:Q,$A28,'Vosselaar, BE'!$I:$I,TRUE),TRUE,FALSE)</f>
        <v>0</v>
      </c>
      <c r="T28" s="47" t="b">
        <f>if(countifs('MHQ, USA'!Q:Q,$A28,'MHQ, USA'!$I:$I,TRUE),TRUE,FALSE)</f>
        <v>1</v>
      </c>
      <c r="U28" s="47" t="b">
        <f>if(countifs('Morayfield, AUS'!Q:Q,$A28,'Morayfield, AUS'!$I:$I,TRUE),TRUE,FALSE)</f>
        <v>1</v>
      </c>
      <c r="V28" s="11" t="b">
        <f>if(countifs('Arnhem, NL'!Q:Q,$A28,'Arnhem, NL'!$I:$I,TRUE),TRUE,FALSE)</f>
        <v>1</v>
      </c>
      <c r="W28" s="47" t="b">
        <f>if(countifs('Gotenborg, SW'!Q:Q,$A28,'Gotenborg, SW'!$I:$I,TRUE),TRUE,FALSE)</f>
        <v>1</v>
      </c>
      <c r="X28" s="47" t="b">
        <f>if(countifs('Shepparton, AUS'!Q:Q,$A28,'Shepparton, AUS'!$I:$I,TRUE),TRUE,FALSE)</f>
        <v>1</v>
      </c>
      <c r="Y28" s="47" t="b">
        <f>if(countifs('Hoofddorp, NL'!Q:Q,$A28,'Hoofddorp, NL'!$I:$I,TRUE),TRUE,FALSE)</f>
        <v>1</v>
      </c>
      <c r="Z28" s="47" t="b">
        <f>if(countifs('Bedford, UK'!Q:Q,$A28,'Bedford, UK'!$I:$I,TRUE),TRUE,FALSE)</f>
        <v>1</v>
      </c>
      <c r="AA28" s="47" t="b">
        <f>IF(COUNTIFS('Desert Lodge, USA'!Q:Q,$A28,'Desert Lodge, USA'!I:I,TRUE),TRUE,FALSE)</f>
        <v>1</v>
      </c>
      <c r="AB28" s="47" t="b">
        <f>if(countifs('Dapto, AUS'!Q:Q,$A28,'Dapto, AUS'!$I:$I,TRUE),TRUE,FALSE)</f>
        <v>0</v>
      </c>
      <c r="AC28" s="47" t="b">
        <f>if(countifs('New Westminster, CAN'!Q:Q,$A28,'New Westminster, CAN'!$I:$I,TRUE),TRUE,FALSE)</f>
        <v>0</v>
      </c>
      <c r="AD28" s="47" t="b">
        <f>if(countifs('Georgetown, CAN'!Q:Q,$A28,'Georgetown, CAN'!$I:$I,TRUE),TRUE,FALSE)</f>
        <v>0</v>
      </c>
      <c r="AE28" s="47" t="b">
        <f>if(countifs('Kingswood, UK'!Q:Q,$A28,'Kingswood, UK'!$I:$I,TRUE),TRUE,FALSE)</f>
        <v>0</v>
      </c>
      <c r="AF28" s="47" t="b">
        <f>if(countifs('Hagerstown, USA'!Q:Q,$A28,'Hagerstown, USA'!$I:$I,TRUE),TRUE,FALSE)</f>
        <v>0</v>
      </c>
      <c r="AG28" s="47" t="b">
        <f>if(countifs('Felsogalla, HU'!Q:Q,$A28,'Felsogalla, HU'!$I:$I,TRUE),TRUE,FALSE)</f>
        <v>1</v>
      </c>
      <c r="AH28" s="47" t="b">
        <f>if(countifs('Norlane, AUS'!Q:Q,$A28,'Norlane, AUS'!$I:$I,TRUE),TRUE,FALSE)</f>
        <v>0</v>
      </c>
      <c r="AI28" s="47" t="b">
        <f>if(countifs('Meitingen, GER'!Q:Q,$A28,'Meitingen, GER'!$I:$I,TRUE),TRUE,FALSE)</f>
        <v>0</v>
      </c>
      <c r="AJ28" s="47" t="b">
        <f>if(countifs('Groningen, NL'!Q:Q,$A28,'Groningen, NL'!$I:$I,TRUE),TRUE,FALSE)</f>
        <v>0</v>
      </c>
      <c r="AK28" s="47" t="b">
        <f>if(countifs('Linköping, SW'!Q:Q,$A28,'Linköping, SW'!$I:$I,TRUE),TRUE,FALSE)</f>
        <v>0</v>
      </c>
      <c r="AL28" s="47" t="b">
        <f>if(countifs('Austin, USA'!Q:Q,$A28,'Austin, USA'!$I:$I,TRUE),TRUE,FALSE)</f>
        <v>0</v>
      </c>
      <c r="AM28" s="47" t="b">
        <f>if(countifs('Thringstone, UK'!Q:Q,$A28,'Thringstone, UK'!$I:$I,TRUE),TRUE,FALSE)</f>
        <v>0</v>
      </c>
      <c r="AN28" s="47" t="b">
        <f>if(countifs('Andover, UK'!Q:Q,$A28,'Andover, UK'!$I:$I,TRUE),TRUE,FALSE)</f>
        <v>0</v>
      </c>
      <c r="AO28" s="47" t="b">
        <f>if(countifs('Ospel, NL'!Q:Q,$A28,'Ospel, NL'!$I:$I,TRUE),TRUE,FALSE)</f>
        <v>1</v>
      </c>
      <c r="AP28" s="47" t="b">
        <f>if(countifs('Wonthaggi, AUS'!Q:Q,$A28,'Wonthaggi, AUS'!$I:$I,TRUE),TRUE,FALSE)</f>
        <v>1</v>
      </c>
      <c r="AQ28" s="47" t="b">
        <f>if(countifs('Falling_Waters, USA'!$Q:$Q,$A28,'Falling_Waters, USA'!$I:$I,TRUE),TRUE,FALSE)</f>
        <v>0</v>
      </c>
      <c r="AR28" s="47" t="b">
        <f>if(countifs('Kelmscott, AUS'!Q:Q,$A28,'Kelmscott, AUS'!$I:$I,TRUE),TRUE,FALSE)</f>
        <v>0</v>
      </c>
    </row>
    <row r="29">
      <c r="A29" s="47" t="str">
        <f>IFERROR(__xludf.DUMMYFUNCTION("""COMPUTED_VALUE"""),"belladivadee")</f>
        <v>belladivadee</v>
      </c>
      <c r="B29" s="47">
        <f t="shared" si="1"/>
        <v>30</v>
      </c>
      <c r="C29" s="47" t="b">
        <v>0</v>
      </c>
      <c r="D29" s="47" t="b">
        <v>0</v>
      </c>
      <c r="E29" s="47" t="b">
        <v>0</v>
      </c>
      <c r="F29" s="47" t="b">
        <v>0</v>
      </c>
      <c r="G29" s="96"/>
      <c r="H29" s="96" t="b">
        <f>if(countifs('Berlin, GER'!Q:Q,A29,'Berlin, GER'!I:I,TRUE),TRUE,FALSE)</f>
        <v>1</v>
      </c>
      <c r="I29" s="96" t="b">
        <f>if(countifs('Escondido, USA'!Q:Q,A29,'Escondido, USA'!I:I,TRUE),TRUE,FALSE)</f>
        <v>1</v>
      </c>
      <c r="J29" s="96" t="b">
        <f>if(countifs('Onkaparinga_Hills, AUS'!Q:Q,A29,'Onkaparinga_Hills, AUS'!I:I,TRUE),TRUE,FALSE)</f>
        <v>1</v>
      </c>
      <c r="K29" s="96" t="b">
        <f>if(countifs('Perth, AUS'!Q:Q,A29,'Perth, AUS'!I:I,TRUE),TRUE,FALSE)</f>
        <v>1</v>
      </c>
      <c r="L29" s="96" t="b">
        <f>if(countifs('Raleigh, USA'!Q:Q,A29,'Raleigh, USA'!I:I,TRUE),TRUE,FALSE)</f>
        <v>1</v>
      </c>
      <c r="M29" s="96" t="b">
        <f>if(countifs('Browns Plains, AUS'!Q:Q,A29,'Browns Plains, AUS'!I:I,TRUE),TRUE,FALSE)</f>
        <v>1</v>
      </c>
      <c r="N29" s="96" t="b">
        <f>if(countifs('Brossard, CAN'!Q:Q,A29,'Brossard, CAN'!I:I,TRUE),TRUE,FALSE)</f>
        <v>1</v>
      </c>
      <c r="O29" s="96" t="b">
        <f>if(countifs('Gouda, NL'!Q:Q,$A29,'Gouda, NL'!$I:$I,TRUE),TRUE,FALSE)</f>
        <v>1</v>
      </c>
      <c r="P29" s="47" t="b">
        <f>if(countifs('Plympton, UK'!Q:Q,$A29,'Plympton, UK'!$I:$I,TRUE),TRUE,FALSE)</f>
        <v>1</v>
      </c>
      <c r="Q29" s="47" t="b">
        <f>if(countifs('Glen Oaks, USA'!Q:Q,$A29,'Glen Oaks, USA'!$I:$I,TRUE),TRUE,FALSE)</f>
        <v>1</v>
      </c>
      <c r="R29" s="47" t="b">
        <f>if(countifs('Chemnitz, GER'!Q:Q,$A29,'Chemnitz, GER'!I:I,TRUE),TRUE,FALSE)</f>
        <v>1</v>
      </c>
      <c r="S29" s="47" t="b">
        <f>if(countifs('Vosselaar, BE'!Q:Q,$A29,'Vosselaar, BE'!$I:$I,TRUE),TRUE,FALSE)</f>
        <v>1</v>
      </c>
      <c r="T29" s="47" t="b">
        <f>if(countifs('MHQ, USA'!Q:Q,$A29,'MHQ, USA'!$I:$I,TRUE),TRUE,FALSE)</f>
        <v>1</v>
      </c>
      <c r="U29" s="47" t="b">
        <f>if(countifs('Morayfield, AUS'!Q:Q,$A29,'Morayfield, AUS'!$I:$I,TRUE),TRUE,FALSE)</f>
        <v>1</v>
      </c>
      <c r="V29" s="11" t="b">
        <f>if(countifs('Arnhem, NL'!Q:Q,$A29,'Arnhem, NL'!$I:$I,TRUE),TRUE,FALSE)</f>
        <v>1</v>
      </c>
      <c r="W29" s="47" t="b">
        <f>if(countifs('Gotenborg, SW'!Q:Q,$A29,'Gotenborg, SW'!$I:$I,TRUE),TRUE,FALSE)</f>
        <v>1</v>
      </c>
      <c r="X29" s="47" t="b">
        <f>if(countifs('Shepparton, AUS'!Q:Q,$A29,'Shepparton, AUS'!$I:$I,TRUE),TRUE,FALSE)</f>
        <v>1</v>
      </c>
      <c r="Y29" s="47" t="b">
        <f>if(countifs('Hoofddorp, NL'!Q:Q,$A29,'Hoofddorp, NL'!$I:$I,TRUE),TRUE,FALSE)</f>
        <v>1</v>
      </c>
      <c r="Z29" s="47" t="b">
        <f>if(countifs('Bedford, UK'!Q:Q,$A29,'Bedford, UK'!$I:$I,TRUE),TRUE,FALSE)</f>
        <v>1</v>
      </c>
      <c r="AA29" s="47" t="b">
        <f>IF(COUNTIFS('Desert Lodge, USA'!Q:Q,$A29,'Desert Lodge, USA'!I:I,TRUE),TRUE,FALSE)</f>
        <v>1</v>
      </c>
      <c r="AB29" s="47" t="b">
        <f>if(countifs('Dapto, AUS'!Q:Q,$A29,'Dapto, AUS'!$I:$I,TRUE),TRUE,FALSE)</f>
        <v>1</v>
      </c>
      <c r="AC29" s="47" t="b">
        <f>if(countifs('New Westminster, CAN'!Q:Q,$A29,'New Westminster, CAN'!$I:$I,TRUE),TRUE,FALSE)</f>
        <v>1</v>
      </c>
      <c r="AD29" s="47" t="b">
        <f>if(countifs('Georgetown, CAN'!Q:Q,$A29,'Georgetown, CAN'!$I:$I,TRUE),TRUE,FALSE)</f>
        <v>1</v>
      </c>
      <c r="AE29" s="47" t="b">
        <f>if(countifs('Kingswood, UK'!Q:Q,$A29,'Kingswood, UK'!$I:$I,TRUE),TRUE,FALSE)</f>
        <v>1</v>
      </c>
      <c r="AF29" s="47" t="b">
        <f>if(countifs('Hagerstown, USA'!Q:Q,$A29,'Hagerstown, USA'!$I:$I,TRUE),TRUE,FALSE)</f>
        <v>1</v>
      </c>
      <c r="AG29" s="47" t="b">
        <f>if(countifs('Felsogalla, HU'!Q:Q,$A29,'Felsogalla, HU'!$I:$I,TRUE),TRUE,FALSE)</f>
        <v>1</v>
      </c>
      <c r="AH29" s="47" t="b">
        <f>if(countifs('Norlane, AUS'!Q:Q,$A29,'Norlane, AUS'!$I:$I,TRUE),TRUE,FALSE)</f>
        <v>1</v>
      </c>
      <c r="AI29" s="47" t="b">
        <f>if(countifs('Meitingen, GER'!Q:Q,$A29,'Meitingen, GER'!$I:$I,TRUE),TRUE,FALSE)</f>
        <v>1</v>
      </c>
      <c r="AJ29" s="47" t="b">
        <f>if(countifs('Groningen, NL'!Q:Q,$A29,'Groningen, NL'!$I:$I,TRUE),TRUE,FALSE)</f>
        <v>1</v>
      </c>
      <c r="AK29" s="47" t="b">
        <f>if(countifs('Linköping, SW'!Q:Q,$A29,'Linköping, SW'!$I:$I,TRUE),TRUE,FALSE)</f>
        <v>1</v>
      </c>
      <c r="AL29" s="47" t="b">
        <f>if(countifs('Austin, USA'!Q:Q,$A29,'Austin, USA'!$I:$I,TRUE),TRUE,FALSE)</f>
        <v>0</v>
      </c>
      <c r="AM29" s="47" t="b">
        <f>if(countifs('Thringstone, UK'!Q:Q,$A29,'Thringstone, UK'!$I:$I,TRUE),TRUE,FALSE)</f>
        <v>0</v>
      </c>
      <c r="AN29" s="47" t="b">
        <f>if(countifs('Andover, UK'!Q:Q,$A29,'Andover, UK'!$I:$I,TRUE),TRUE,FALSE)</f>
        <v>0</v>
      </c>
      <c r="AO29" s="47" t="b">
        <f>if(countifs('Ospel, NL'!Q:Q,$A29,'Ospel, NL'!$I:$I,TRUE),TRUE,FALSE)</f>
        <v>0</v>
      </c>
      <c r="AP29" s="47" t="b">
        <f>if(countifs('Wonthaggi, AUS'!Q:Q,$A29,'Wonthaggi, AUS'!$I:$I,TRUE),TRUE,FALSE)</f>
        <v>0</v>
      </c>
      <c r="AQ29" s="47" t="b">
        <f>if(countifs('Falling_Waters, USA'!$Q:$Q,$A29,'Falling_Waters, USA'!$I:$I,TRUE),TRUE,FALSE)</f>
        <v>0</v>
      </c>
      <c r="AR29" s="47" t="b">
        <f>if(countifs('Kelmscott, AUS'!Q:Q,$A29,'Kelmscott, AUS'!$I:$I,TRUE),TRUE,FALSE)</f>
        <v>0</v>
      </c>
    </row>
    <row r="30">
      <c r="A30" s="47" t="str">
        <f>IFERROR(__xludf.DUMMYFUNCTION("""COMPUTED_VALUE"""),"geckofreund")</f>
        <v>geckofreund</v>
      </c>
      <c r="B30" s="47">
        <f t="shared" si="1"/>
        <v>1</v>
      </c>
      <c r="C30" s="47" t="b">
        <v>0</v>
      </c>
      <c r="D30" s="47" t="b">
        <v>0</v>
      </c>
      <c r="E30" s="47" t="b">
        <v>0</v>
      </c>
      <c r="F30" s="47" t="b">
        <v>0</v>
      </c>
      <c r="G30" s="96"/>
      <c r="H30" s="96" t="b">
        <f>if(countifs('Berlin, GER'!Q:Q,A30,'Berlin, GER'!I:I,TRUE),TRUE,FALSE)</f>
        <v>1</v>
      </c>
      <c r="I30" s="96" t="b">
        <f>if(countifs('Escondido, USA'!Q:Q,A30,'Escondido, USA'!I:I,TRUE),TRUE,FALSE)</f>
        <v>0</v>
      </c>
      <c r="J30" s="96" t="b">
        <f>if(countifs('Onkaparinga_Hills, AUS'!Q:Q,A30,'Onkaparinga_Hills, AUS'!I:I,TRUE),TRUE,FALSE)</f>
        <v>0</v>
      </c>
      <c r="K30" s="96" t="b">
        <f>if(countifs('Perth, AUS'!Q:Q,A30,'Perth, AUS'!I:I,TRUE),TRUE,FALSE)</f>
        <v>0</v>
      </c>
      <c r="L30" s="96" t="b">
        <f>if(countifs('Raleigh, USA'!Q:Q,A30,'Raleigh, USA'!I:I,TRUE),TRUE,FALSE)</f>
        <v>0</v>
      </c>
      <c r="M30" s="96" t="b">
        <f>if(countifs('Browns Plains, AUS'!Q:Q,A30,'Browns Plains, AUS'!I:I,TRUE),TRUE,FALSE)</f>
        <v>0</v>
      </c>
      <c r="N30" s="96" t="b">
        <f>if(countifs('Brossard, CAN'!Q:Q,A30,'Brossard, CAN'!I:I,TRUE),TRUE,FALSE)</f>
        <v>0</v>
      </c>
      <c r="O30" s="96" t="b">
        <f>if(countifs('Gouda, NL'!Q:Q,$A30,'Gouda, NL'!$I:$I,TRUE),TRUE,FALSE)</f>
        <v>0</v>
      </c>
      <c r="P30" s="47" t="b">
        <f>if(countifs('Plympton, UK'!Q:Q,$A30,'Plympton, UK'!$I:$I,TRUE),TRUE,FALSE)</f>
        <v>0</v>
      </c>
      <c r="Q30" s="47" t="b">
        <f>if(countifs('Glen Oaks, USA'!Q:Q,$A30,'Glen Oaks, USA'!$I:$I,TRUE),TRUE,FALSE)</f>
        <v>0</v>
      </c>
      <c r="R30" s="47" t="b">
        <f>if(countifs('Chemnitz, GER'!Q:Q,$A30,'Chemnitz, GER'!I:I,TRUE),TRUE,FALSE)</f>
        <v>0</v>
      </c>
      <c r="S30" s="47" t="b">
        <f>if(countifs('Vosselaar, BE'!Q:Q,$A30,'Vosselaar, BE'!$I:$I,TRUE),TRUE,FALSE)</f>
        <v>0</v>
      </c>
      <c r="T30" s="47" t="b">
        <f>if(countifs('MHQ, USA'!Q:Q,$A30,'MHQ, USA'!$I:$I,TRUE),TRUE,FALSE)</f>
        <v>0</v>
      </c>
      <c r="U30" s="47" t="b">
        <f>if(countifs('Morayfield, AUS'!Q:Q,$A30,'Morayfield, AUS'!$I:$I,TRUE),TRUE,FALSE)</f>
        <v>0</v>
      </c>
      <c r="V30" s="11" t="b">
        <f>if(countifs('Arnhem, NL'!Q:Q,$A30,'Arnhem, NL'!$I:$I,TRUE),TRUE,FALSE)</f>
        <v>0</v>
      </c>
      <c r="W30" s="47" t="b">
        <f>if(countifs('Gotenborg, SW'!Q:Q,$A30,'Gotenborg, SW'!$I:$I,TRUE),TRUE,FALSE)</f>
        <v>0</v>
      </c>
      <c r="X30" s="47" t="b">
        <f>if(countifs('Shepparton, AUS'!Q:Q,$A30,'Shepparton, AUS'!$I:$I,TRUE),TRUE,FALSE)</f>
        <v>0</v>
      </c>
      <c r="Y30" s="47" t="b">
        <f>if(countifs('Hoofddorp, NL'!Q:Q,$A30,'Hoofddorp, NL'!$I:$I,TRUE),TRUE,FALSE)</f>
        <v>0</v>
      </c>
      <c r="Z30" s="47" t="b">
        <f>if(countifs('Bedford, UK'!Q:Q,$A30,'Bedford, UK'!$I:$I,TRUE),TRUE,FALSE)</f>
        <v>0</v>
      </c>
      <c r="AA30" s="47" t="b">
        <f>IF(COUNTIFS('Desert Lodge, USA'!Q:Q,$A30,'Desert Lodge, USA'!I:I,TRUE),TRUE,FALSE)</f>
        <v>0</v>
      </c>
      <c r="AB30" s="47" t="b">
        <f>if(countifs('Dapto, AUS'!Q:Q,$A30,'Dapto, AUS'!$I:$I,TRUE),TRUE,FALSE)</f>
        <v>0</v>
      </c>
      <c r="AC30" s="47" t="b">
        <f>if(countifs('New Westminster, CAN'!Q:Q,$A30,'New Westminster, CAN'!$I:$I,TRUE),TRUE,FALSE)</f>
        <v>0</v>
      </c>
      <c r="AD30" s="47" t="b">
        <f>if(countifs('Georgetown, CAN'!Q:Q,$A30,'Georgetown, CAN'!$I:$I,TRUE),TRUE,FALSE)</f>
        <v>0</v>
      </c>
      <c r="AE30" s="47" t="b">
        <f>if(countifs('Kingswood, UK'!Q:Q,$A30,'Kingswood, UK'!$I:$I,TRUE),TRUE,FALSE)</f>
        <v>0</v>
      </c>
      <c r="AF30" s="47" t="b">
        <f>if(countifs('Hagerstown, USA'!Q:Q,$A30,'Hagerstown, USA'!$I:$I,TRUE),TRUE,FALSE)</f>
        <v>0</v>
      </c>
      <c r="AG30" s="47" t="b">
        <f>if(countifs('Felsogalla, HU'!Q:Q,$A30,'Felsogalla, HU'!$I:$I,TRUE),TRUE,FALSE)</f>
        <v>0</v>
      </c>
      <c r="AH30" s="47" t="b">
        <f>if(countifs('Norlane, AUS'!Q:Q,$A30,'Norlane, AUS'!$I:$I,TRUE),TRUE,FALSE)</f>
        <v>0</v>
      </c>
      <c r="AI30" s="47" t="b">
        <f>if(countifs('Meitingen, GER'!Q:Q,$A30,'Meitingen, GER'!$I:$I,TRUE),TRUE,FALSE)</f>
        <v>0</v>
      </c>
      <c r="AJ30" s="47" t="b">
        <f>if(countifs('Groningen, NL'!Q:Q,$A30,'Groningen, NL'!$I:$I,TRUE),TRUE,FALSE)</f>
        <v>0</v>
      </c>
      <c r="AK30" s="47" t="b">
        <f>if(countifs('Linköping, SW'!Q:Q,$A30,'Linköping, SW'!$I:$I,TRUE),TRUE,FALSE)</f>
        <v>0</v>
      </c>
      <c r="AL30" s="47" t="b">
        <f>if(countifs('Austin, USA'!Q:Q,$A30,'Austin, USA'!$I:$I,TRUE),TRUE,FALSE)</f>
        <v>0</v>
      </c>
      <c r="AM30" s="47" t="b">
        <f>if(countifs('Thringstone, UK'!Q:Q,$A30,'Thringstone, UK'!$I:$I,TRUE),TRUE,FALSE)</f>
        <v>0</v>
      </c>
      <c r="AN30" s="47" t="b">
        <f>if(countifs('Andover, UK'!Q:Q,$A30,'Andover, UK'!$I:$I,TRUE),TRUE,FALSE)</f>
        <v>0</v>
      </c>
      <c r="AO30" s="47" t="b">
        <f>if(countifs('Ospel, NL'!Q:Q,$A30,'Ospel, NL'!$I:$I,TRUE),TRUE,FALSE)</f>
        <v>0</v>
      </c>
      <c r="AP30" s="47" t="b">
        <f>if(countifs('Wonthaggi, AUS'!Q:Q,$A30,'Wonthaggi, AUS'!$I:$I,TRUE),TRUE,FALSE)</f>
        <v>0</v>
      </c>
      <c r="AQ30" s="47" t="b">
        <f>if(countifs('Falling_Waters, USA'!$Q:$Q,$A30,'Falling_Waters, USA'!$I:$I,TRUE),TRUE,FALSE)</f>
        <v>0</v>
      </c>
      <c r="AR30" s="47" t="b">
        <f>if(countifs('Kelmscott, AUS'!Q:Q,$A30,'Kelmscott, AUS'!$I:$I,TRUE),TRUE,FALSE)</f>
        <v>0</v>
      </c>
    </row>
    <row r="31">
      <c r="A31" s="47" t="str">
        <f>IFERROR(__xludf.DUMMYFUNCTION("""COMPUTED_VALUE"""),"benotje")</f>
        <v>benotje</v>
      </c>
      <c r="B31" s="47">
        <f t="shared" si="1"/>
        <v>5</v>
      </c>
      <c r="C31" s="47" t="b">
        <v>0</v>
      </c>
      <c r="D31" s="47" t="b">
        <v>0</v>
      </c>
      <c r="E31" s="47" t="b">
        <v>0</v>
      </c>
      <c r="F31" s="47" t="b">
        <v>0</v>
      </c>
      <c r="G31" s="96"/>
      <c r="H31" s="96" t="b">
        <f>if(countifs('Berlin, GER'!Q:Q,A31,'Berlin, GER'!I:I,TRUE),TRUE,FALSE)</f>
        <v>1</v>
      </c>
      <c r="I31" s="96" t="b">
        <f>if(countifs('Escondido, USA'!Q:Q,A31,'Escondido, USA'!I:I,TRUE),TRUE,FALSE)</f>
        <v>1</v>
      </c>
      <c r="J31" s="96" t="b">
        <f>if(countifs('Onkaparinga_Hills, AUS'!Q:Q,A31,'Onkaparinga_Hills, AUS'!I:I,TRUE),TRUE,FALSE)</f>
        <v>1</v>
      </c>
      <c r="K31" s="96" t="b">
        <f>if(countifs('Perth, AUS'!Q:Q,A31,'Perth, AUS'!I:I,TRUE),TRUE,FALSE)</f>
        <v>1</v>
      </c>
      <c r="L31" s="96" t="b">
        <f>if(countifs('Raleigh, USA'!Q:Q,A31,'Raleigh, USA'!I:I,TRUE),TRUE,FALSE)</f>
        <v>1</v>
      </c>
      <c r="M31" s="96" t="b">
        <f>if(countifs('Browns Plains, AUS'!Q:Q,A31,'Browns Plains, AUS'!I:I,TRUE),TRUE,FALSE)</f>
        <v>0</v>
      </c>
      <c r="N31" s="96" t="b">
        <f>if(countifs('Brossard, CAN'!Q:Q,A31,'Brossard, CAN'!I:I,TRUE),TRUE,FALSE)</f>
        <v>0</v>
      </c>
      <c r="O31" s="96" t="b">
        <f>if(countifs('Gouda, NL'!Q:Q,$A31,'Gouda, NL'!$I:$I,TRUE),TRUE,FALSE)</f>
        <v>0</v>
      </c>
      <c r="P31" s="47" t="b">
        <f>if(countifs('Plympton, UK'!Q:Q,$A31,'Plympton, UK'!$I:$I,TRUE),TRUE,FALSE)</f>
        <v>0</v>
      </c>
      <c r="Q31" s="47" t="b">
        <f>if(countifs('Glen Oaks, USA'!Q:Q,$A31,'Glen Oaks, USA'!$I:$I,TRUE),TRUE,FALSE)</f>
        <v>0</v>
      </c>
      <c r="R31" s="47" t="b">
        <f>if(countifs('Chemnitz, GER'!Q:Q,$A31,'Chemnitz, GER'!I:I,TRUE),TRUE,FALSE)</f>
        <v>0</v>
      </c>
      <c r="S31" s="47" t="b">
        <f>if(countifs('Vosselaar, BE'!Q:Q,$A31,'Vosselaar, BE'!$I:$I,TRUE),TRUE,FALSE)</f>
        <v>0</v>
      </c>
      <c r="T31" s="47" t="b">
        <f>if(countifs('MHQ, USA'!Q:Q,$A31,'MHQ, USA'!$I:$I,TRUE),TRUE,FALSE)</f>
        <v>0</v>
      </c>
      <c r="U31" s="47" t="b">
        <f>if(countifs('Morayfield, AUS'!Q:Q,$A31,'Morayfield, AUS'!$I:$I,TRUE),TRUE,FALSE)</f>
        <v>0</v>
      </c>
      <c r="V31" s="11" t="b">
        <f>if(countifs('Arnhem, NL'!Q:Q,$A31,'Arnhem, NL'!$I:$I,TRUE),TRUE,FALSE)</f>
        <v>0</v>
      </c>
      <c r="W31" s="47" t="b">
        <f>if(countifs('Gotenborg, SW'!Q:Q,$A31,'Gotenborg, SW'!$I:$I,TRUE),TRUE,FALSE)</f>
        <v>0</v>
      </c>
      <c r="X31" s="47" t="b">
        <f>if(countifs('Shepparton, AUS'!Q:Q,$A31,'Shepparton, AUS'!$I:$I,TRUE),TRUE,FALSE)</f>
        <v>0</v>
      </c>
      <c r="Y31" s="47" t="b">
        <f>if(countifs('Hoofddorp, NL'!Q:Q,$A31,'Hoofddorp, NL'!$I:$I,TRUE),TRUE,FALSE)</f>
        <v>0</v>
      </c>
      <c r="Z31" s="47" t="b">
        <f>if(countifs('Bedford, UK'!Q:Q,$A31,'Bedford, UK'!$I:$I,TRUE),TRUE,FALSE)</f>
        <v>0</v>
      </c>
      <c r="AA31" s="47" t="b">
        <f>IF(COUNTIFS('Desert Lodge, USA'!Q:Q,$A31,'Desert Lodge, USA'!I:I,TRUE),TRUE,FALSE)</f>
        <v>0</v>
      </c>
      <c r="AB31" s="47" t="b">
        <f>if(countifs('Dapto, AUS'!Q:Q,$A31,'Dapto, AUS'!$I:$I,TRUE),TRUE,FALSE)</f>
        <v>0</v>
      </c>
      <c r="AC31" s="47" t="b">
        <f>if(countifs('New Westminster, CAN'!Q:Q,$A31,'New Westminster, CAN'!$I:$I,TRUE),TRUE,FALSE)</f>
        <v>0</v>
      </c>
      <c r="AD31" s="47" t="b">
        <f>if(countifs('Georgetown, CAN'!Q:Q,$A31,'Georgetown, CAN'!$I:$I,TRUE),TRUE,FALSE)</f>
        <v>0</v>
      </c>
      <c r="AE31" s="47" t="b">
        <f>if(countifs('Kingswood, UK'!Q:Q,$A31,'Kingswood, UK'!$I:$I,TRUE),TRUE,FALSE)</f>
        <v>0</v>
      </c>
      <c r="AF31" s="47" t="b">
        <f>if(countifs('Hagerstown, USA'!Q:Q,$A31,'Hagerstown, USA'!$I:$I,TRUE),TRUE,FALSE)</f>
        <v>0</v>
      </c>
      <c r="AG31" s="47" t="b">
        <f>if(countifs('Felsogalla, HU'!Q:Q,$A31,'Felsogalla, HU'!$I:$I,TRUE),TRUE,FALSE)</f>
        <v>0</v>
      </c>
      <c r="AH31" s="47" t="b">
        <f>if(countifs('Norlane, AUS'!Q:Q,$A31,'Norlane, AUS'!$I:$I,TRUE),TRUE,FALSE)</f>
        <v>0</v>
      </c>
      <c r="AI31" s="47" t="b">
        <f>if(countifs('Meitingen, GER'!Q:Q,$A31,'Meitingen, GER'!$I:$I,TRUE),TRUE,FALSE)</f>
        <v>0</v>
      </c>
      <c r="AJ31" s="47" t="b">
        <f>if(countifs('Groningen, NL'!Q:Q,$A31,'Groningen, NL'!$I:$I,TRUE),TRUE,FALSE)</f>
        <v>0</v>
      </c>
      <c r="AK31" s="47" t="b">
        <f>if(countifs('Linköping, SW'!Q:Q,$A31,'Linköping, SW'!$I:$I,TRUE),TRUE,FALSE)</f>
        <v>0</v>
      </c>
      <c r="AL31" s="47" t="b">
        <f>if(countifs('Austin, USA'!Q:Q,$A31,'Austin, USA'!$I:$I,TRUE),TRUE,FALSE)</f>
        <v>0</v>
      </c>
      <c r="AM31" s="47" t="b">
        <f>if(countifs('Thringstone, UK'!Q:Q,$A31,'Thringstone, UK'!$I:$I,TRUE),TRUE,FALSE)</f>
        <v>0</v>
      </c>
      <c r="AN31" s="47" t="b">
        <f>if(countifs('Andover, UK'!Q:Q,$A31,'Andover, UK'!$I:$I,TRUE),TRUE,FALSE)</f>
        <v>0</v>
      </c>
      <c r="AO31" s="47" t="b">
        <f>if(countifs('Ospel, NL'!Q:Q,$A31,'Ospel, NL'!$I:$I,TRUE),TRUE,FALSE)</f>
        <v>0</v>
      </c>
      <c r="AP31" s="47" t="b">
        <f>if(countifs('Wonthaggi, AUS'!Q:Q,$A31,'Wonthaggi, AUS'!$I:$I,TRUE),TRUE,FALSE)</f>
        <v>0</v>
      </c>
      <c r="AQ31" s="47" t="b">
        <f>if(countifs('Falling_Waters, USA'!$Q:$Q,$A31,'Falling_Waters, USA'!$I:$I,TRUE),TRUE,FALSE)</f>
        <v>0</v>
      </c>
      <c r="AR31" s="47" t="b">
        <f>if(countifs('Kelmscott, AUS'!Q:Q,$A31,'Kelmscott, AUS'!$I:$I,TRUE),TRUE,FALSE)</f>
        <v>0</v>
      </c>
    </row>
    <row r="32">
      <c r="A32" s="47" t="str">
        <f>IFERROR(__xludf.DUMMYFUNCTION("""COMPUTED_VALUE"""),"cbf600")</f>
        <v>cbf600</v>
      </c>
      <c r="B32" s="47">
        <f t="shared" si="1"/>
        <v>36</v>
      </c>
      <c r="C32" s="47" t="b">
        <v>0</v>
      </c>
      <c r="D32" s="47" t="b">
        <v>0</v>
      </c>
      <c r="E32" s="47" t="b">
        <v>0</v>
      </c>
      <c r="F32" s="47" t="b">
        <v>0</v>
      </c>
      <c r="G32" s="96"/>
      <c r="H32" s="96" t="b">
        <f>if(countifs('Berlin, GER'!Q:Q,A32,'Berlin, GER'!I:I,TRUE),TRUE,FALSE)</f>
        <v>1</v>
      </c>
      <c r="I32" s="96" t="b">
        <f>if(countifs('Escondido, USA'!Q:Q,A32,'Escondido, USA'!I:I,TRUE),TRUE,FALSE)</f>
        <v>1</v>
      </c>
      <c r="J32" s="96" t="b">
        <f>if(countifs('Onkaparinga_Hills, AUS'!Q:Q,A32,'Onkaparinga_Hills, AUS'!I:I,TRUE),TRUE,FALSE)</f>
        <v>1</v>
      </c>
      <c r="K32" s="96" t="b">
        <f>if(countifs('Perth, AUS'!Q:Q,A32,'Perth, AUS'!I:I,TRUE),TRUE,FALSE)</f>
        <v>1</v>
      </c>
      <c r="L32" s="96" t="b">
        <f>if(countifs('Raleigh, USA'!Q:Q,A32,'Raleigh, USA'!I:I,TRUE),TRUE,FALSE)</f>
        <v>1</v>
      </c>
      <c r="M32" s="96" t="b">
        <f>if(countifs('Browns Plains, AUS'!Q:Q,A32,'Browns Plains, AUS'!I:I,TRUE),TRUE,FALSE)</f>
        <v>1</v>
      </c>
      <c r="N32" s="96" t="b">
        <f>if(countifs('Brossard, CAN'!Q:Q,A32,'Brossard, CAN'!I:I,TRUE),TRUE,FALSE)</f>
        <v>1</v>
      </c>
      <c r="O32" s="96" t="b">
        <f>if(countifs('Gouda, NL'!Q:Q,$A32,'Gouda, NL'!$I:$I,TRUE),TRUE,FALSE)</f>
        <v>1</v>
      </c>
      <c r="P32" s="47" t="b">
        <f>if(countifs('Plympton, UK'!Q:Q,$A32,'Plympton, UK'!$I:$I,TRUE),TRUE,FALSE)</f>
        <v>1</v>
      </c>
      <c r="Q32" s="47" t="b">
        <f>if(countifs('Glen Oaks, USA'!Q:Q,$A32,'Glen Oaks, USA'!$I:$I,TRUE),TRUE,FALSE)</f>
        <v>1</v>
      </c>
      <c r="R32" s="47" t="b">
        <f>if(countifs('Chemnitz, GER'!Q:Q,$A32,'Chemnitz, GER'!I:I,TRUE),TRUE,FALSE)</f>
        <v>1</v>
      </c>
      <c r="S32" s="47" t="b">
        <f>if(countifs('Vosselaar, BE'!Q:Q,$A32,'Vosselaar, BE'!$I:$I,TRUE),TRUE,FALSE)</f>
        <v>1</v>
      </c>
      <c r="T32" s="47" t="b">
        <f>if(countifs('MHQ, USA'!Q:Q,$A32,'MHQ, USA'!$I:$I,TRUE),TRUE,FALSE)</f>
        <v>1</v>
      </c>
      <c r="U32" s="47" t="b">
        <f>if(countifs('Morayfield, AUS'!Q:Q,$A32,'Morayfield, AUS'!$I:$I,TRUE),TRUE,FALSE)</f>
        <v>1</v>
      </c>
      <c r="V32" s="11" t="b">
        <f>if(countifs('Arnhem, NL'!Q:Q,$A32,'Arnhem, NL'!$I:$I,TRUE),TRUE,FALSE)</f>
        <v>1</v>
      </c>
      <c r="W32" s="47" t="b">
        <f>if(countifs('Gotenborg, SW'!Q:Q,$A32,'Gotenborg, SW'!$I:$I,TRUE),TRUE,FALSE)</f>
        <v>1</v>
      </c>
      <c r="X32" s="47" t="b">
        <f>if(countifs('Shepparton, AUS'!Q:Q,$A32,'Shepparton, AUS'!$I:$I,TRUE),TRUE,FALSE)</f>
        <v>1</v>
      </c>
      <c r="Y32" s="47" t="b">
        <f>if(countifs('Hoofddorp, NL'!Q:Q,$A32,'Hoofddorp, NL'!$I:$I,TRUE),TRUE,FALSE)</f>
        <v>1</v>
      </c>
      <c r="Z32" s="47" t="b">
        <f>if(countifs('Bedford, UK'!Q:Q,$A32,'Bedford, UK'!$I:$I,TRUE),TRUE,FALSE)</f>
        <v>1</v>
      </c>
      <c r="AA32" s="47" t="b">
        <f>IF(COUNTIFS('Desert Lodge, USA'!Q:Q,$A32,'Desert Lodge, USA'!I:I,TRUE),TRUE,FALSE)</f>
        <v>1</v>
      </c>
      <c r="AB32" s="47" t="b">
        <f>if(countifs('Dapto, AUS'!Q:Q,$A32,'Dapto, AUS'!$I:$I,TRUE),TRUE,FALSE)</f>
        <v>1</v>
      </c>
      <c r="AC32" s="47" t="b">
        <f>if(countifs('New Westminster, CAN'!Q:Q,$A32,'New Westminster, CAN'!$I:$I,TRUE),TRUE,FALSE)</f>
        <v>1</v>
      </c>
      <c r="AD32" s="47" t="b">
        <f>if(countifs('Georgetown, CAN'!Q:Q,$A32,'Georgetown, CAN'!$I:$I,TRUE),TRUE,FALSE)</f>
        <v>1</v>
      </c>
      <c r="AE32" s="47" t="b">
        <f>if(countifs('Kingswood, UK'!Q:Q,$A32,'Kingswood, UK'!$I:$I,TRUE),TRUE,FALSE)</f>
        <v>1</v>
      </c>
      <c r="AF32" s="47" t="b">
        <f>if(countifs('Hagerstown, USA'!Q:Q,$A32,'Hagerstown, USA'!$I:$I,TRUE),TRUE,FALSE)</f>
        <v>1</v>
      </c>
      <c r="AG32" s="47" t="b">
        <f>if(countifs('Felsogalla, HU'!Q:Q,$A32,'Felsogalla, HU'!$I:$I,TRUE),TRUE,FALSE)</f>
        <v>1</v>
      </c>
      <c r="AH32" s="47" t="b">
        <f>if(countifs('Norlane, AUS'!Q:Q,$A32,'Norlane, AUS'!$I:$I,TRUE),TRUE,FALSE)</f>
        <v>1</v>
      </c>
      <c r="AI32" s="47" t="b">
        <f>if(countifs('Meitingen, GER'!Q:Q,$A32,'Meitingen, GER'!$I:$I,TRUE),TRUE,FALSE)</f>
        <v>1</v>
      </c>
      <c r="AJ32" s="47" t="b">
        <f>if(countifs('Groningen, NL'!Q:Q,$A32,'Groningen, NL'!$I:$I,TRUE),TRUE,FALSE)</f>
        <v>1</v>
      </c>
      <c r="AK32" s="47" t="b">
        <f>if(countifs('Linköping, SW'!Q:Q,$A32,'Linköping, SW'!$I:$I,TRUE),TRUE,FALSE)</f>
        <v>1</v>
      </c>
      <c r="AL32" s="47" t="b">
        <f>if(countifs('Austin, USA'!Q:Q,$A32,'Austin, USA'!$I:$I,TRUE),TRUE,FALSE)</f>
        <v>0</v>
      </c>
      <c r="AM32" s="47" t="b">
        <f>if(countifs('Thringstone, UK'!Q:Q,$A32,'Thringstone, UK'!$I:$I,TRUE),TRUE,FALSE)</f>
        <v>1</v>
      </c>
      <c r="AN32" s="47" t="b">
        <f>if(countifs('Andover, UK'!Q:Q,$A32,'Andover, UK'!$I:$I,TRUE),TRUE,FALSE)</f>
        <v>1</v>
      </c>
      <c r="AO32" s="47" t="b">
        <f>if(countifs('Ospel, NL'!Q:Q,$A32,'Ospel, NL'!$I:$I,TRUE),TRUE,FALSE)</f>
        <v>1</v>
      </c>
      <c r="AP32" s="47" t="b">
        <f>if(countifs('Wonthaggi, AUS'!Q:Q,$A32,'Wonthaggi, AUS'!$I:$I,TRUE),TRUE,FALSE)</f>
        <v>1</v>
      </c>
      <c r="AQ32" s="47" t="b">
        <f>if(countifs('Falling_Waters, USA'!$Q:$Q,$A32,'Falling_Waters, USA'!$I:$I,TRUE),TRUE,FALSE)</f>
        <v>1</v>
      </c>
      <c r="AR32" s="47" t="b">
        <f>if(countifs('Kelmscott, AUS'!Q:Q,$A32,'Kelmscott, AUS'!$I:$I,TRUE),TRUE,FALSE)</f>
        <v>1</v>
      </c>
    </row>
    <row r="33">
      <c r="A33" s="47" t="str">
        <f>IFERROR(__xludf.DUMMYFUNCTION("""COMPUTED_VALUE"""),"Bisquick2")</f>
        <v>Bisquick2</v>
      </c>
      <c r="B33" s="47">
        <f t="shared" si="1"/>
        <v>30</v>
      </c>
      <c r="C33" s="47" t="b">
        <v>0</v>
      </c>
      <c r="D33" s="47" t="b">
        <v>0</v>
      </c>
      <c r="E33" s="47" t="b">
        <v>0</v>
      </c>
      <c r="F33" s="47" t="b">
        <v>0</v>
      </c>
      <c r="G33" s="96"/>
      <c r="H33" s="96" t="b">
        <f>if(countifs('Berlin, GER'!Q:Q,A33,'Berlin, GER'!I:I,TRUE),TRUE,FALSE)</f>
        <v>1</v>
      </c>
      <c r="I33" s="96" t="b">
        <f>if(countifs('Escondido, USA'!Q:Q,A33,'Escondido, USA'!I:I,TRUE),TRUE,FALSE)</f>
        <v>1</v>
      </c>
      <c r="J33" s="96" t="b">
        <f>if(countifs('Onkaparinga_Hills, AUS'!Q:Q,A33,'Onkaparinga_Hills, AUS'!I:I,TRUE),TRUE,FALSE)</f>
        <v>1</v>
      </c>
      <c r="K33" s="96" t="b">
        <f>if(countifs('Perth, AUS'!Q:Q,A33,'Perth, AUS'!I:I,TRUE),TRUE,FALSE)</f>
        <v>1</v>
      </c>
      <c r="L33" s="96" t="b">
        <f>if(countifs('Raleigh, USA'!Q:Q,A33,'Raleigh, USA'!I:I,TRUE),TRUE,FALSE)</f>
        <v>1</v>
      </c>
      <c r="M33" s="96" t="b">
        <f>if(countifs('Browns Plains, AUS'!Q:Q,A33,'Browns Plains, AUS'!I:I,TRUE),TRUE,FALSE)</f>
        <v>1</v>
      </c>
      <c r="N33" s="96" t="b">
        <f>if(countifs('Brossard, CAN'!Q:Q,A33,'Brossard, CAN'!I:I,TRUE),TRUE,FALSE)</f>
        <v>0</v>
      </c>
      <c r="O33" s="96" t="b">
        <f>if(countifs('Gouda, NL'!Q:Q,$A33,'Gouda, NL'!$I:$I,TRUE),TRUE,FALSE)</f>
        <v>0</v>
      </c>
      <c r="P33" s="47" t="b">
        <f>if(countifs('Plympton, UK'!Q:Q,$A33,'Plympton, UK'!$I:$I,TRUE),TRUE,FALSE)</f>
        <v>0</v>
      </c>
      <c r="Q33" s="47" t="b">
        <f>if(countifs('Glen Oaks, USA'!Q:Q,$A33,'Glen Oaks, USA'!$I:$I,TRUE),TRUE,FALSE)</f>
        <v>0</v>
      </c>
      <c r="R33" s="47" t="b">
        <f>if(countifs('Chemnitz, GER'!Q:Q,$A33,'Chemnitz, GER'!I:I,TRUE),TRUE,FALSE)</f>
        <v>1</v>
      </c>
      <c r="S33" s="47" t="b">
        <f>if(countifs('Vosselaar, BE'!Q:Q,$A33,'Vosselaar, BE'!$I:$I,TRUE),TRUE,FALSE)</f>
        <v>1</v>
      </c>
      <c r="T33" s="47" t="b">
        <f>if(countifs('MHQ, USA'!Q:Q,$A33,'MHQ, USA'!$I:$I,TRUE),TRUE,FALSE)</f>
        <v>0</v>
      </c>
      <c r="U33" s="47" t="b">
        <f>if(countifs('Morayfield, AUS'!Q:Q,$A33,'Morayfield, AUS'!$I:$I,TRUE),TRUE,FALSE)</f>
        <v>1</v>
      </c>
      <c r="V33" s="11" t="b">
        <f>if(countifs('Arnhem, NL'!Q:Q,$A33,'Arnhem, NL'!$I:$I,TRUE),TRUE,FALSE)</f>
        <v>0</v>
      </c>
      <c r="W33" s="47" t="b">
        <f>if(countifs('Gotenborg, SW'!Q:Q,$A33,'Gotenborg, SW'!$I:$I,TRUE),TRUE,FALSE)</f>
        <v>1</v>
      </c>
      <c r="X33" s="47" t="b">
        <f>if(countifs('Shepparton, AUS'!Q:Q,$A33,'Shepparton, AUS'!$I:$I,TRUE),TRUE,FALSE)</f>
        <v>1</v>
      </c>
      <c r="Y33" s="47" t="b">
        <f>if(countifs('Hoofddorp, NL'!Q:Q,$A33,'Hoofddorp, NL'!$I:$I,TRUE),TRUE,FALSE)</f>
        <v>1</v>
      </c>
      <c r="Z33" s="47" t="b">
        <f>if(countifs('Bedford, UK'!Q:Q,$A33,'Bedford, UK'!$I:$I,TRUE),TRUE,FALSE)</f>
        <v>1</v>
      </c>
      <c r="AA33" s="47" t="b">
        <f>IF(COUNTIFS('Desert Lodge, USA'!Q:Q,$A33,'Desert Lodge, USA'!I:I,TRUE),TRUE,FALSE)</f>
        <v>1</v>
      </c>
      <c r="AB33" s="47" t="b">
        <f>if(countifs('Dapto, AUS'!Q:Q,$A33,'Dapto, AUS'!$I:$I,TRUE),TRUE,FALSE)</f>
        <v>1</v>
      </c>
      <c r="AC33" s="47" t="b">
        <f>if(countifs('New Westminster, CAN'!Q:Q,$A33,'New Westminster, CAN'!$I:$I,TRUE),TRUE,FALSE)</f>
        <v>1</v>
      </c>
      <c r="AD33" s="47" t="b">
        <f>if(countifs('Georgetown, CAN'!Q:Q,$A33,'Georgetown, CAN'!$I:$I,TRUE),TRUE,FALSE)</f>
        <v>1</v>
      </c>
      <c r="AE33" s="47" t="b">
        <f>if(countifs('Kingswood, UK'!Q:Q,$A33,'Kingswood, UK'!$I:$I,TRUE),TRUE,FALSE)</f>
        <v>1</v>
      </c>
      <c r="AF33" s="47" t="b">
        <f>if(countifs('Hagerstown, USA'!Q:Q,$A33,'Hagerstown, USA'!$I:$I,TRUE),TRUE,FALSE)</f>
        <v>1</v>
      </c>
      <c r="AG33" s="47" t="b">
        <f>if(countifs('Felsogalla, HU'!Q:Q,$A33,'Felsogalla, HU'!$I:$I,TRUE),TRUE,FALSE)</f>
        <v>1</v>
      </c>
      <c r="AH33" s="47" t="b">
        <f>if(countifs('Norlane, AUS'!Q:Q,$A33,'Norlane, AUS'!$I:$I,TRUE),TRUE,FALSE)</f>
        <v>1</v>
      </c>
      <c r="AI33" s="47" t="b">
        <f>if(countifs('Meitingen, GER'!Q:Q,$A33,'Meitingen, GER'!$I:$I,TRUE),TRUE,FALSE)</f>
        <v>1</v>
      </c>
      <c r="AJ33" s="47" t="b">
        <f>if(countifs('Groningen, NL'!Q:Q,$A33,'Groningen, NL'!$I:$I,TRUE),TRUE,FALSE)</f>
        <v>1</v>
      </c>
      <c r="AK33" s="47" t="b">
        <f>if(countifs('Linköping, SW'!Q:Q,$A33,'Linköping, SW'!$I:$I,TRUE),TRUE,FALSE)</f>
        <v>1</v>
      </c>
      <c r="AL33" s="47" t="b">
        <f>if(countifs('Austin, USA'!Q:Q,$A33,'Austin, USA'!$I:$I,TRUE),TRUE,FALSE)</f>
        <v>0</v>
      </c>
      <c r="AM33" s="47" t="b">
        <f>if(countifs('Thringstone, UK'!Q:Q,$A33,'Thringstone, UK'!$I:$I,TRUE),TRUE,FALSE)</f>
        <v>1</v>
      </c>
      <c r="AN33" s="47" t="b">
        <f>if(countifs('Andover, UK'!Q:Q,$A33,'Andover, UK'!$I:$I,TRUE),TRUE,FALSE)</f>
        <v>1</v>
      </c>
      <c r="AO33" s="47" t="b">
        <f>if(countifs('Ospel, NL'!Q:Q,$A33,'Ospel, NL'!$I:$I,TRUE),TRUE,FALSE)</f>
        <v>1</v>
      </c>
      <c r="AP33" s="47" t="b">
        <f>if(countifs('Wonthaggi, AUS'!Q:Q,$A33,'Wonthaggi, AUS'!$I:$I,TRUE),TRUE,FALSE)</f>
        <v>1</v>
      </c>
      <c r="AQ33" s="47" t="b">
        <f>if(countifs('Falling_Waters, USA'!$Q:$Q,$A33,'Falling_Waters, USA'!$I:$I,TRUE),TRUE,FALSE)</f>
        <v>1</v>
      </c>
      <c r="AR33" s="47" t="b">
        <f>if(countifs('Kelmscott, AUS'!Q:Q,$A33,'Kelmscott, AUS'!$I:$I,TRUE),TRUE,FALSE)</f>
        <v>1</v>
      </c>
    </row>
    <row r="34">
      <c r="A34" s="47" t="str">
        <f>IFERROR(__xludf.DUMMYFUNCTION("""COMPUTED_VALUE"""),"ChickenRun")</f>
        <v>ChickenRun</v>
      </c>
      <c r="B34" s="47">
        <f t="shared" si="1"/>
        <v>1</v>
      </c>
      <c r="C34" s="47" t="b">
        <v>0</v>
      </c>
      <c r="D34" s="47" t="b">
        <v>0</v>
      </c>
      <c r="E34" s="47" t="b">
        <v>0</v>
      </c>
      <c r="F34" s="47" t="b">
        <v>0</v>
      </c>
      <c r="G34" s="96"/>
      <c r="H34" s="96" t="b">
        <f>if(countifs('Berlin, GER'!Q:Q,A34,'Berlin, GER'!I:I,TRUE),TRUE,FALSE)</f>
        <v>1</v>
      </c>
      <c r="I34" s="96" t="b">
        <f>if(countifs('Escondido, USA'!Q:Q,A34,'Escondido, USA'!I:I,TRUE),TRUE,FALSE)</f>
        <v>0</v>
      </c>
      <c r="J34" s="96" t="b">
        <f>if(countifs('Onkaparinga_Hills, AUS'!Q:Q,A34,'Onkaparinga_Hills, AUS'!I:I,TRUE),TRUE,FALSE)</f>
        <v>0</v>
      </c>
      <c r="K34" s="96" t="b">
        <f>if(countifs('Perth, AUS'!Q:Q,A34,'Perth, AUS'!I:I,TRUE),TRUE,FALSE)</f>
        <v>0</v>
      </c>
      <c r="L34" s="96" t="b">
        <f>if(countifs('Raleigh, USA'!Q:Q,A34,'Raleigh, USA'!I:I,TRUE),TRUE,FALSE)</f>
        <v>0</v>
      </c>
      <c r="M34" s="96" t="b">
        <f>if(countifs('Browns Plains, AUS'!Q:Q,A34,'Browns Plains, AUS'!I:I,TRUE),TRUE,FALSE)</f>
        <v>0</v>
      </c>
      <c r="N34" s="96" t="b">
        <f>if(countifs('Brossard, CAN'!Q:Q,A34,'Brossard, CAN'!I:I,TRUE),TRUE,FALSE)</f>
        <v>0</v>
      </c>
      <c r="O34" s="96" t="b">
        <f>if(countifs('Gouda, NL'!Q:Q,$A34,'Gouda, NL'!$I:$I,TRUE),TRUE,FALSE)</f>
        <v>0</v>
      </c>
      <c r="P34" s="47" t="b">
        <f>if(countifs('Plympton, UK'!Q:Q,$A34,'Plympton, UK'!$I:$I,TRUE),TRUE,FALSE)</f>
        <v>0</v>
      </c>
      <c r="Q34" s="47" t="b">
        <f>if(countifs('Glen Oaks, USA'!Q:Q,$A34,'Glen Oaks, USA'!$I:$I,TRUE),TRUE,FALSE)</f>
        <v>0</v>
      </c>
      <c r="R34" s="47" t="b">
        <f>if(countifs('Chemnitz, GER'!Q:Q,$A34,'Chemnitz, GER'!I:I,TRUE),TRUE,FALSE)</f>
        <v>0</v>
      </c>
      <c r="S34" s="47" t="b">
        <f>if(countifs('Vosselaar, BE'!Q:Q,$A34,'Vosselaar, BE'!$I:$I,TRUE),TRUE,FALSE)</f>
        <v>0</v>
      </c>
      <c r="T34" s="47" t="b">
        <f>if(countifs('MHQ, USA'!Q:Q,$A34,'MHQ, USA'!$I:$I,TRUE),TRUE,FALSE)</f>
        <v>0</v>
      </c>
      <c r="U34" s="47" t="b">
        <f>if(countifs('Morayfield, AUS'!Q:Q,$A34,'Morayfield, AUS'!$I:$I,TRUE),TRUE,FALSE)</f>
        <v>0</v>
      </c>
      <c r="V34" s="11" t="b">
        <f>if(countifs('Arnhem, NL'!Q:Q,$A34,'Arnhem, NL'!$I:$I,TRUE),TRUE,FALSE)</f>
        <v>0</v>
      </c>
      <c r="W34" s="47" t="b">
        <f>if(countifs('Gotenborg, SW'!Q:Q,$A34,'Gotenborg, SW'!$I:$I,TRUE),TRUE,FALSE)</f>
        <v>0</v>
      </c>
      <c r="X34" s="47" t="b">
        <f>if(countifs('Shepparton, AUS'!Q:Q,$A34,'Shepparton, AUS'!$I:$I,TRUE),TRUE,FALSE)</f>
        <v>0</v>
      </c>
      <c r="Y34" s="47" t="b">
        <f>if(countifs('Hoofddorp, NL'!Q:Q,$A34,'Hoofddorp, NL'!$I:$I,TRUE),TRUE,FALSE)</f>
        <v>0</v>
      </c>
      <c r="Z34" s="47" t="b">
        <f>if(countifs('Bedford, UK'!Q:Q,$A34,'Bedford, UK'!$I:$I,TRUE),TRUE,FALSE)</f>
        <v>0</v>
      </c>
      <c r="AA34" s="47" t="b">
        <f>IF(COUNTIFS('Desert Lodge, USA'!Q:Q,$A34,'Desert Lodge, USA'!I:I,TRUE),TRUE,FALSE)</f>
        <v>0</v>
      </c>
      <c r="AB34" s="47" t="b">
        <f>if(countifs('Dapto, AUS'!Q:Q,$A34,'Dapto, AUS'!$I:$I,TRUE),TRUE,FALSE)</f>
        <v>0</v>
      </c>
      <c r="AC34" s="47" t="b">
        <f>if(countifs('New Westminster, CAN'!Q:Q,$A34,'New Westminster, CAN'!$I:$I,TRUE),TRUE,FALSE)</f>
        <v>0</v>
      </c>
      <c r="AD34" s="47" t="b">
        <f>if(countifs('Georgetown, CAN'!Q:Q,$A34,'Georgetown, CAN'!$I:$I,TRUE),TRUE,FALSE)</f>
        <v>0</v>
      </c>
      <c r="AE34" s="47" t="b">
        <f>if(countifs('Kingswood, UK'!Q:Q,$A34,'Kingswood, UK'!$I:$I,TRUE),TRUE,FALSE)</f>
        <v>0</v>
      </c>
      <c r="AF34" s="47" t="b">
        <f>if(countifs('Hagerstown, USA'!Q:Q,$A34,'Hagerstown, USA'!$I:$I,TRUE),TRUE,FALSE)</f>
        <v>0</v>
      </c>
      <c r="AG34" s="47" t="b">
        <f>if(countifs('Felsogalla, HU'!Q:Q,$A34,'Felsogalla, HU'!$I:$I,TRUE),TRUE,FALSE)</f>
        <v>0</v>
      </c>
      <c r="AH34" s="47" t="b">
        <f>if(countifs('Norlane, AUS'!Q:Q,$A34,'Norlane, AUS'!$I:$I,TRUE),TRUE,FALSE)</f>
        <v>0</v>
      </c>
      <c r="AI34" s="47" t="b">
        <f>if(countifs('Meitingen, GER'!Q:Q,$A34,'Meitingen, GER'!$I:$I,TRUE),TRUE,FALSE)</f>
        <v>0</v>
      </c>
      <c r="AJ34" s="47" t="b">
        <f>if(countifs('Groningen, NL'!Q:Q,$A34,'Groningen, NL'!$I:$I,TRUE),TRUE,FALSE)</f>
        <v>0</v>
      </c>
      <c r="AK34" s="47" t="b">
        <f>if(countifs('Linköping, SW'!Q:Q,$A34,'Linköping, SW'!$I:$I,TRUE),TRUE,FALSE)</f>
        <v>0</v>
      </c>
      <c r="AL34" s="47" t="b">
        <f>if(countifs('Austin, USA'!Q:Q,$A34,'Austin, USA'!$I:$I,TRUE),TRUE,FALSE)</f>
        <v>0</v>
      </c>
      <c r="AM34" s="47" t="b">
        <f>if(countifs('Thringstone, UK'!Q:Q,$A34,'Thringstone, UK'!$I:$I,TRUE),TRUE,FALSE)</f>
        <v>0</v>
      </c>
      <c r="AN34" s="47" t="b">
        <f>if(countifs('Andover, UK'!Q:Q,$A34,'Andover, UK'!$I:$I,TRUE),TRUE,FALSE)</f>
        <v>0</v>
      </c>
      <c r="AO34" s="47" t="b">
        <f>if(countifs('Ospel, NL'!Q:Q,$A34,'Ospel, NL'!$I:$I,TRUE),TRUE,FALSE)</f>
        <v>0</v>
      </c>
      <c r="AP34" s="47" t="b">
        <f>if(countifs('Wonthaggi, AUS'!Q:Q,$A34,'Wonthaggi, AUS'!$I:$I,TRUE),TRUE,FALSE)</f>
        <v>0</v>
      </c>
      <c r="AQ34" s="47" t="b">
        <f>if(countifs('Falling_Waters, USA'!$Q:$Q,$A34,'Falling_Waters, USA'!$I:$I,TRUE),TRUE,FALSE)</f>
        <v>0</v>
      </c>
      <c r="AR34" s="47" t="b">
        <f>if(countifs('Kelmscott, AUS'!Q:Q,$A34,'Kelmscott, AUS'!$I:$I,TRUE),TRUE,FALSE)</f>
        <v>0</v>
      </c>
    </row>
    <row r="35">
      <c r="A35" s="47" t="str">
        <f>IFERROR(__xludf.DUMMYFUNCTION("""COMPUTED_VALUE"""),"JackSparrow")</f>
        <v>JackSparrow</v>
      </c>
      <c r="B35" s="47">
        <f t="shared" si="1"/>
        <v>9</v>
      </c>
      <c r="C35" s="47" t="b">
        <v>0</v>
      </c>
      <c r="D35" s="47" t="b">
        <v>0</v>
      </c>
      <c r="E35" s="47" t="b">
        <v>0</v>
      </c>
      <c r="F35" s="47" t="b">
        <v>0</v>
      </c>
      <c r="G35" s="96"/>
      <c r="H35" s="96" t="b">
        <f>if(countifs('Berlin, GER'!Q:Q,A35,'Berlin, GER'!I:I,TRUE),TRUE,FALSE)</f>
        <v>1</v>
      </c>
      <c r="I35" s="96" t="b">
        <f>if(countifs('Escondido, USA'!Q:Q,A35,'Escondido, USA'!I:I,TRUE),TRUE,FALSE)</f>
        <v>1</v>
      </c>
      <c r="J35" s="96" t="b">
        <f>if(countifs('Onkaparinga_Hills, AUS'!Q:Q,A35,'Onkaparinga_Hills, AUS'!I:I,TRUE),TRUE,FALSE)</f>
        <v>1</v>
      </c>
      <c r="K35" s="96" t="b">
        <f>if(countifs('Perth, AUS'!Q:Q,A35,'Perth, AUS'!I:I,TRUE),TRUE,FALSE)</f>
        <v>1</v>
      </c>
      <c r="L35" s="96" t="b">
        <f>if(countifs('Raleigh, USA'!Q:Q,A35,'Raleigh, USA'!I:I,TRUE),TRUE,FALSE)</f>
        <v>1</v>
      </c>
      <c r="M35" s="96" t="b">
        <f>if(countifs('Browns Plains, AUS'!Q:Q,A35,'Browns Plains, AUS'!I:I,TRUE),TRUE,FALSE)</f>
        <v>1</v>
      </c>
      <c r="N35" s="96" t="b">
        <f>if(countifs('Brossard, CAN'!Q:Q,A35,'Brossard, CAN'!I:I,TRUE),TRUE,FALSE)</f>
        <v>0</v>
      </c>
      <c r="O35" s="96" t="b">
        <f>if(countifs('Gouda, NL'!Q:Q,$A35,'Gouda, NL'!$I:$I,TRUE),TRUE,FALSE)</f>
        <v>1</v>
      </c>
      <c r="P35" s="47" t="b">
        <f>if(countifs('Plympton, UK'!Q:Q,$A35,'Plympton, UK'!$I:$I,TRUE),TRUE,FALSE)</f>
        <v>1</v>
      </c>
      <c r="Q35" s="47" t="b">
        <f>if(countifs('Glen Oaks, USA'!Q:Q,$A35,'Glen Oaks, USA'!$I:$I,TRUE),TRUE,FALSE)</f>
        <v>0</v>
      </c>
      <c r="R35" s="47" t="b">
        <f>if(countifs('Chemnitz, GER'!Q:Q,$A35,'Chemnitz, GER'!I:I,TRUE),TRUE,FALSE)</f>
        <v>0</v>
      </c>
      <c r="S35" s="47" t="b">
        <f>if(countifs('Vosselaar, BE'!Q:Q,$A35,'Vosselaar, BE'!$I:$I,TRUE),TRUE,FALSE)</f>
        <v>0</v>
      </c>
      <c r="T35" s="47" t="b">
        <f>if(countifs('MHQ, USA'!Q:Q,$A35,'MHQ, USA'!$I:$I,TRUE),TRUE,FALSE)</f>
        <v>0</v>
      </c>
      <c r="U35" s="47" t="b">
        <f>if(countifs('Morayfield, AUS'!Q:Q,$A35,'Morayfield, AUS'!$I:$I,TRUE),TRUE,FALSE)</f>
        <v>0</v>
      </c>
      <c r="V35" s="11" t="b">
        <f>if(countifs('Arnhem, NL'!Q:Q,$A35,'Arnhem, NL'!$I:$I,TRUE),TRUE,FALSE)</f>
        <v>0</v>
      </c>
      <c r="W35" s="47" t="b">
        <f>if(countifs('Gotenborg, SW'!Q:Q,$A35,'Gotenborg, SW'!$I:$I,TRUE),TRUE,FALSE)</f>
        <v>0</v>
      </c>
      <c r="X35" s="47" t="b">
        <f>if(countifs('Shepparton, AUS'!Q:Q,$A35,'Shepparton, AUS'!$I:$I,TRUE),TRUE,FALSE)</f>
        <v>0</v>
      </c>
      <c r="Y35" s="47" t="b">
        <f>if(countifs('Hoofddorp, NL'!Q:Q,$A35,'Hoofddorp, NL'!$I:$I,TRUE),TRUE,FALSE)</f>
        <v>0</v>
      </c>
      <c r="Z35" s="47" t="b">
        <f>if(countifs('Bedford, UK'!Q:Q,$A35,'Bedford, UK'!$I:$I,TRUE),TRUE,FALSE)</f>
        <v>1</v>
      </c>
      <c r="AA35" s="47" t="b">
        <f>IF(COUNTIFS('Desert Lodge, USA'!Q:Q,$A35,'Desert Lodge, USA'!I:I,TRUE),TRUE,FALSE)</f>
        <v>0</v>
      </c>
      <c r="AB35" s="47" t="b">
        <f>if(countifs('Dapto, AUS'!Q:Q,$A35,'Dapto, AUS'!$I:$I,TRUE),TRUE,FALSE)</f>
        <v>0</v>
      </c>
      <c r="AC35" s="47" t="b">
        <f>if(countifs('New Westminster, CAN'!Q:Q,$A35,'New Westminster, CAN'!$I:$I,TRUE),TRUE,FALSE)</f>
        <v>0</v>
      </c>
      <c r="AD35" s="47" t="b">
        <f>if(countifs('Georgetown, CAN'!Q:Q,$A35,'Georgetown, CAN'!$I:$I,TRUE),TRUE,FALSE)</f>
        <v>0</v>
      </c>
      <c r="AE35" s="47" t="b">
        <f>if(countifs('Kingswood, UK'!Q:Q,$A35,'Kingswood, UK'!$I:$I,TRUE),TRUE,FALSE)</f>
        <v>0</v>
      </c>
      <c r="AF35" s="47" t="b">
        <f>if(countifs('Hagerstown, USA'!Q:Q,$A35,'Hagerstown, USA'!$I:$I,TRUE),TRUE,FALSE)</f>
        <v>0</v>
      </c>
      <c r="AG35" s="47" t="b">
        <f>if(countifs('Felsogalla, HU'!Q:Q,$A35,'Felsogalla, HU'!$I:$I,TRUE),TRUE,FALSE)</f>
        <v>0</v>
      </c>
      <c r="AH35" s="47" t="b">
        <f>if(countifs('Norlane, AUS'!Q:Q,$A35,'Norlane, AUS'!$I:$I,TRUE),TRUE,FALSE)</f>
        <v>0</v>
      </c>
      <c r="AI35" s="47" t="b">
        <f>if(countifs('Meitingen, GER'!Q:Q,$A35,'Meitingen, GER'!$I:$I,TRUE),TRUE,FALSE)</f>
        <v>0</v>
      </c>
      <c r="AJ35" s="47" t="b">
        <f>if(countifs('Groningen, NL'!Q:Q,$A35,'Groningen, NL'!$I:$I,TRUE),TRUE,FALSE)</f>
        <v>0</v>
      </c>
      <c r="AK35" s="47" t="b">
        <f>if(countifs('Linköping, SW'!Q:Q,$A35,'Linköping, SW'!$I:$I,TRUE),TRUE,FALSE)</f>
        <v>0</v>
      </c>
      <c r="AL35" s="47" t="b">
        <f>if(countifs('Austin, USA'!Q:Q,$A35,'Austin, USA'!$I:$I,TRUE),TRUE,FALSE)</f>
        <v>0</v>
      </c>
      <c r="AM35" s="47" t="b">
        <f>if(countifs('Thringstone, UK'!Q:Q,$A35,'Thringstone, UK'!$I:$I,TRUE),TRUE,FALSE)</f>
        <v>0</v>
      </c>
      <c r="AN35" s="47" t="b">
        <f>if(countifs('Andover, UK'!Q:Q,$A35,'Andover, UK'!$I:$I,TRUE),TRUE,FALSE)</f>
        <v>0</v>
      </c>
      <c r="AO35" s="47" t="b">
        <f>if(countifs('Ospel, NL'!Q:Q,$A35,'Ospel, NL'!$I:$I,TRUE),TRUE,FALSE)</f>
        <v>0</v>
      </c>
      <c r="AP35" s="47" t="b">
        <f>if(countifs('Wonthaggi, AUS'!Q:Q,$A35,'Wonthaggi, AUS'!$I:$I,TRUE),TRUE,FALSE)</f>
        <v>0</v>
      </c>
      <c r="AQ35" s="47" t="b">
        <f>if(countifs('Falling_Waters, USA'!$Q:$Q,$A35,'Falling_Waters, USA'!$I:$I,TRUE),TRUE,FALSE)</f>
        <v>0</v>
      </c>
      <c r="AR35" s="47" t="b">
        <f>if(countifs('Kelmscott, AUS'!Q:Q,$A35,'Kelmscott, AUS'!$I:$I,TRUE),TRUE,FALSE)</f>
        <v>0</v>
      </c>
    </row>
    <row r="36">
      <c r="A36" s="47" t="str">
        <f>IFERROR(__xludf.DUMMYFUNCTION("""COMPUTED_VALUE"""),"MeanderingMonkeys")</f>
        <v>MeanderingMonkeys</v>
      </c>
      <c r="B36" s="47">
        <f t="shared" si="1"/>
        <v>6</v>
      </c>
      <c r="C36" s="47" t="b">
        <v>0</v>
      </c>
      <c r="D36" s="47" t="b">
        <v>0</v>
      </c>
      <c r="E36" s="47" t="b">
        <v>0</v>
      </c>
      <c r="F36" s="47" t="b">
        <v>0</v>
      </c>
      <c r="G36" s="96"/>
      <c r="H36" s="96" t="b">
        <f>if(countifs('Berlin, GER'!Q:Q,A36,'Berlin, GER'!I:I,TRUE),TRUE,FALSE)</f>
        <v>1</v>
      </c>
      <c r="I36" s="96" t="b">
        <f>if(countifs('Escondido, USA'!Q:Q,A36,'Escondido, USA'!I:I,TRUE),TRUE,FALSE)</f>
        <v>0</v>
      </c>
      <c r="J36" s="96" t="b">
        <f>if(countifs('Onkaparinga_Hills, AUS'!Q:Q,A36,'Onkaparinga_Hills, AUS'!I:I,TRUE),TRUE,FALSE)</f>
        <v>0</v>
      </c>
      <c r="K36" s="96" t="b">
        <f>if(countifs('Perth, AUS'!Q:Q,A36,'Perth, AUS'!I:I,TRUE),TRUE,FALSE)</f>
        <v>0</v>
      </c>
      <c r="L36" s="96" t="b">
        <f>if(countifs('Raleigh, USA'!Q:Q,A36,'Raleigh, USA'!I:I,TRUE),TRUE,FALSE)</f>
        <v>0</v>
      </c>
      <c r="M36" s="96" t="b">
        <f>if(countifs('Browns Plains, AUS'!Q:Q,A36,'Browns Plains, AUS'!I:I,TRUE),TRUE,FALSE)</f>
        <v>0</v>
      </c>
      <c r="N36" s="96" t="b">
        <f>if(countifs('Brossard, CAN'!Q:Q,A36,'Brossard, CAN'!I:I,TRUE),TRUE,FALSE)</f>
        <v>0</v>
      </c>
      <c r="O36" s="96" t="b">
        <f>if(countifs('Gouda, NL'!Q:Q,$A36,'Gouda, NL'!$I:$I,TRUE),TRUE,FALSE)</f>
        <v>0</v>
      </c>
      <c r="P36" s="47" t="b">
        <f>if(countifs('Plympton, UK'!Q:Q,$A36,'Plympton, UK'!$I:$I,TRUE),TRUE,FALSE)</f>
        <v>0</v>
      </c>
      <c r="Q36" s="47" t="b">
        <f>if(countifs('Glen Oaks, USA'!Q:Q,$A36,'Glen Oaks, USA'!$I:$I,TRUE),TRUE,FALSE)</f>
        <v>0</v>
      </c>
      <c r="R36" s="47" t="b">
        <f>if(countifs('Chemnitz, GER'!Q:Q,$A36,'Chemnitz, GER'!I:I,TRUE),TRUE,FALSE)</f>
        <v>1</v>
      </c>
      <c r="S36" s="47" t="b">
        <f>if(countifs('Vosselaar, BE'!Q:Q,$A36,'Vosselaar, BE'!$I:$I,TRUE),TRUE,FALSE)</f>
        <v>0</v>
      </c>
      <c r="T36" s="47" t="b">
        <f>if(countifs('MHQ, USA'!Q:Q,$A36,'MHQ, USA'!$I:$I,TRUE),TRUE,FALSE)</f>
        <v>1</v>
      </c>
      <c r="U36" s="47" t="b">
        <f>if(countifs('Morayfield, AUS'!Q:Q,$A36,'Morayfield, AUS'!$I:$I,TRUE),TRUE,FALSE)</f>
        <v>0</v>
      </c>
      <c r="V36" s="11" t="b">
        <f>if(countifs('Arnhem, NL'!Q:Q,$A36,'Arnhem, NL'!$I:$I,TRUE),TRUE,FALSE)</f>
        <v>0</v>
      </c>
      <c r="W36" s="47" t="b">
        <f>if(countifs('Gotenborg, SW'!Q:Q,$A36,'Gotenborg, SW'!$I:$I,TRUE),TRUE,FALSE)</f>
        <v>0</v>
      </c>
      <c r="X36" s="47" t="b">
        <f>if(countifs('Shepparton, AUS'!Q:Q,$A36,'Shepparton, AUS'!$I:$I,TRUE),TRUE,FALSE)</f>
        <v>0</v>
      </c>
      <c r="Y36" s="47" t="b">
        <f>if(countifs('Hoofddorp, NL'!Q:Q,$A36,'Hoofddorp, NL'!$I:$I,TRUE),TRUE,FALSE)</f>
        <v>0</v>
      </c>
      <c r="Z36" s="47" t="b">
        <f>if(countifs('Bedford, UK'!Q:Q,$A36,'Bedford, UK'!$I:$I,TRUE),TRUE,FALSE)</f>
        <v>0</v>
      </c>
      <c r="AA36" s="47" t="b">
        <f>IF(COUNTIFS('Desert Lodge, USA'!Q:Q,$A36,'Desert Lodge, USA'!I:I,TRUE),TRUE,FALSE)</f>
        <v>0</v>
      </c>
      <c r="AB36" s="47" t="b">
        <f>if(countifs('Dapto, AUS'!Q:Q,$A36,'Dapto, AUS'!$I:$I,TRUE),TRUE,FALSE)</f>
        <v>0</v>
      </c>
      <c r="AC36" s="47" t="b">
        <f>if(countifs('New Westminster, CAN'!Q:Q,$A36,'New Westminster, CAN'!$I:$I,TRUE),TRUE,FALSE)</f>
        <v>1</v>
      </c>
      <c r="AD36" s="47" t="b">
        <f>if(countifs('Georgetown, CAN'!Q:Q,$A36,'Georgetown, CAN'!$I:$I,TRUE),TRUE,FALSE)</f>
        <v>0</v>
      </c>
      <c r="AE36" s="47" t="b">
        <f>if(countifs('Kingswood, UK'!Q:Q,$A36,'Kingswood, UK'!$I:$I,TRUE),TRUE,FALSE)</f>
        <v>0</v>
      </c>
      <c r="AF36" s="47" t="b">
        <f>if(countifs('Hagerstown, USA'!Q:Q,$A36,'Hagerstown, USA'!$I:$I,TRUE),TRUE,FALSE)</f>
        <v>0</v>
      </c>
      <c r="AG36" s="47" t="b">
        <f>if(countifs('Felsogalla, HU'!Q:Q,$A36,'Felsogalla, HU'!$I:$I,TRUE),TRUE,FALSE)</f>
        <v>0</v>
      </c>
      <c r="AH36" s="47" t="b">
        <f>if(countifs('Norlane, AUS'!Q:Q,$A36,'Norlane, AUS'!$I:$I,TRUE),TRUE,FALSE)</f>
        <v>0</v>
      </c>
      <c r="AI36" s="47" t="b">
        <f>if(countifs('Meitingen, GER'!Q:Q,$A36,'Meitingen, GER'!$I:$I,TRUE),TRUE,FALSE)</f>
        <v>0</v>
      </c>
      <c r="AJ36" s="47" t="b">
        <f>if(countifs('Groningen, NL'!Q:Q,$A36,'Groningen, NL'!$I:$I,TRUE),TRUE,FALSE)</f>
        <v>1</v>
      </c>
      <c r="AK36" s="47" t="b">
        <f>if(countifs('Linköping, SW'!Q:Q,$A36,'Linköping, SW'!$I:$I,TRUE),TRUE,FALSE)</f>
        <v>0</v>
      </c>
      <c r="AL36" s="47" t="b">
        <f>if(countifs('Austin, USA'!Q:Q,$A36,'Austin, USA'!$I:$I,TRUE),TRUE,FALSE)</f>
        <v>0</v>
      </c>
      <c r="AM36" s="47" t="b">
        <f>if(countifs('Thringstone, UK'!Q:Q,$A36,'Thringstone, UK'!$I:$I,TRUE),TRUE,FALSE)</f>
        <v>0</v>
      </c>
      <c r="AN36" s="47" t="b">
        <f>if(countifs('Andover, UK'!Q:Q,$A36,'Andover, UK'!$I:$I,TRUE),TRUE,FALSE)</f>
        <v>0</v>
      </c>
      <c r="AO36" s="47" t="b">
        <f>if(countifs('Ospel, NL'!Q:Q,$A36,'Ospel, NL'!$I:$I,TRUE),TRUE,FALSE)</f>
        <v>0</v>
      </c>
      <c r="AP36" s="47" t="b">
        <f>if(countifs('Wonthaggi, AUS'!Q:Q,$A36,'Wonthaggi, AUS'!$I:$I,TRUE),TRUE,FALSE)</f>
        <v>1</v>
      </c>
      <c r="AQ36" s="47" t="b">
        <f>if(countifs('Falling_Waters, USA'!$Q:$Q,$A36,'Falling_Waters, USA'!$I:$I,TRUE),TRUE,FALSE)</f>
        <v>0</v>
      </c>
      <c r="AR36" s="47" t="b">
        <f>if(countifs('Kelmscott, AUS'!Q:Q,$A36,'Kelmscott, AUS'!$I:$I,TRUE),TRUE,FALSE)</f>
        <v>0</v>
      </c>
    </row>
    <row r="37">
      <c r="A37" s="47" t="str">
        <f>IFERROR(__xludf.DUMMYFUNCTION("""COMPUTED_VALUE"""),"Clareppuccino")</f>
        <v>Clareppuccino</v>
      </c>
      <c r="B37" s="47">
        <f t="shared" si="1"/>
        <v>1</v>
      </c>
      <c r="C37" s="47" t="b">
        <v>0</v>
      </c>
      <c r="D37" s="47" t="b">
        <v>0</v>
      </c>
      <c r="E37" s="47" t="b">
        <v>0</v>
      </c>
      <c r="F37" s="47" t="b">
        <v>0</v>
      </c>
      <c r="G37" s="96"/>
      <c r="H37" s="96" t="b">
        <f>if(countifs('Berlin, GER'!Q:Q,A37,'Berlin, GER'!I:I,TRUE),TRUE,FALSE)</f>
        <v>1</v>
      </c>
      <c r="I37" s="96" t="b">
        <f>if(countifs('Escondido, USA'!Q:Q,A37,'Escondido, USA'!I:I,TRUE),TRUE,FALSE)</f>
        <v>0</v>
      </c>
      <c r="J37" s="96" t="b">
        <f>if(countifs('Onkaparinga_Hills, AUS'!Q:Q,A37,'Onkaparinga_Hills, AUS'!I:I,TRUE),TRUE,FALSE)</f>
        <v>0</v>
      </c>
      <c r="K37" s="96" t="b">
        <f>if(countifs('Perth, AUS'!Q:Q,A37,'Perth, AUS'!I:I,TRUE),TRUE,FALSE)</f>
        <v>0</v>
      </c>
      <c r="L37" s="96" t="b">
        <f>if(countifs('Raleigh, USA'!Q:Q,A37,'Raleigh, USA'!I:I,TRUE),TRUE,FALSE)</f>
        <v>0</v>
      </c>
      <c r="M37" s="96" t="b">
        <f>if(countifs('Browns Plains, AUS'!Q:Q,A37,'Browns Plains, AUS'!I:I,TRUE),TRUE,FALSE)</f>
        <v>0</v>
      </c>
      <c r="N37" s="96" t="b">
        <f>if(countifs('Brossard, CAN'!Q:Q,A37,'Brossard, CAN'!I:I,TRUE),TRUE,FALSE)</f>
        <v>0</v>
      </c>
      <c r="O37" s="96" t="b">
        <f>if(countifs('Gouda, NL'!Q:Q,$A37,'Gouda, NL'!$I:$I,TRUE),TRUE,FALSE)</f>
        <v>0</v>
      </c>
      <c r="P37" s="47" t="b">
        <f>if(countifs('Plympton, UK'!Q:Q,$A37,'Plympton, UK'!$I:$I,TRUE),TRUE,FALSE)</f>
        <v>0</v>
      </c>
      <c r="Q37" s="47" t="b">
        <f>if(countifs('Glen Oaks, USA'!Q:Q,$A37,'Glen Oaks, USA'!$I:$I,TRUE),TRUE,FALSE)</f>
        <v>0</v>
      </c>
      <c r="R37" s="47" t="b">
        <f>if(countifs('Chemnitz, GER'!Q:Q,$A37,'Chemnitz, GER'!I:I,TRUE),TRUE,FALSE)</f>
        <v>0</v>
      </c>
      <c r="S37" s="47" t="b">
        <f>if(countifs('Vosselaar, BE'!Q:Q,$A37,'Vosselaar, BE'!$I:$I,TRUE),TRUE,FALSE)</f>
        <v>0</v>
      </c>
      <c r="T37" s="47" t="b">
        <f>if(countifs('MHQ, USA'!Q:Q,$A37,'MHQ, USA'!$I:$I,TRUE),TRUE,FALSE)</f>
        <v>0</v>
      </c>
      <c r="U37" s="47" t="b">
        <f>if(countifs('Morayfield, AUS'!Q:Q,$A37,'Morayfield, AUS'!$I:$I,TRUE),TRUE,FALSE)</f>
        <v>0</v>
      </c>
      <c r="V37" s="11" t="b">
        <f>if(countifs('Arnhem, NL'!Q:Q,$A37,'Arnhem, NL'!$I:$I,TRUE),TRUE,FALSE)</f>
        <v>0</v>
      </c>
      <c r="W37" s="47" t="b">
        <f>if(countifs('Gotenborg, SW'!Q:Q,$A37,'Gotenborg, SW'!$I:$I,TRUE),TRUE,FALSE)</f>
        <v>0</v>
      </c>
      <c r="X37" s="47" t="b">
        <f>if(countifs('Shepparton, AUS'!Q:Q,$A37,'Shepparton, AUS'!$I:$I,TRUE),TRUE,FALSE)</f>
        <v>0</v>
      </c>
      <c r="Y37" s="47" t="b">
        <f>if(countifs('Hoofddorp, NL'!Q:Q,$A37,'Hoofddorp, NL'!$I:$I,TRUE),TRUE,FALSE)</f>
        <v>0</v>
      </c>
      <c r="Z37" s="47" t="b">
        <f>if(countifs('Bedford, UK'!Q:Q,$A37,'Bedford, UK'!$I:$I,TRUE),TRUE,FALSE)</f>
        <v>0</v>
      </c>
      <c r="AA37" s="47" t="b">
        <f>IF(COUNTIFS('Desert Lodge, USA'!Q:Q,$A37,'Desert Lodge, USA'!I:I,TRUE),TRUE,FALSE)</f>
        <v>0</v>
      </c>
      <c r="AB37" s="47" t="b">
        <f>if(countifs('Dapto, AUS'!Q:Q,$A37,'Dapto, AUS'!$I:$I,TRUE),TRUE,FALSE)</f>
        <v>0</v>
      </c>
      <c r="AC37" s="47" t="b">
        <f>if(countifs('New Westminster, CAN'!Q:Q,$A37,'New Westminster, CAN'!$I:$I,TRUE),TRUE,FALSE)</f>
        <v>0</v>
      </c>
      <c r="AD37" s="47" t="b">
        <f>if(countifs('Georgetown, CAN'!Q:Q,$A37,'Georgetown, CAN'!$I:$I,TRUE),TRUE,FALSE)</f>
        <v>0</v>
      </c>
      <c r="AE37" s="47" t="b">
        <f>if(countifs('Kingswood, UK'!Q:Q,$A37,'Kingswood, UK'!$I:$I,TRUE),TRUE,FALSE)</f>
        <v>0</v>
      </c>
      <c r="AF37" s="47" t="b">
        <f>if(countifs('Hagerstown, USA'!Q:Q,$A37,'Hagerstown, USA'!$I:$I,TRUE),TRUE,FALSE)</f>
        <v>0</v>
      </c>
      <c r="AG37" s="47" t="b">
        <f>if(countifs('Felsogalla, HU'!Q:Q,$A37,'Felsogalla, HU'!$I:$I,TRUE),TRUE,FALSE)</f>
        <v>0</v>
      </c>
      <c r="AH37" s="47" t="b">
        <f>if(countifs('Norlane, AUS'!Q:Q,$A37,'Norlane, AUS'!$I:$I,TRUE),TRUE,FALSE)</f>
        <v>0</v>
      </c>
      <c r="AI37" s="47" t="b">
        <f>if(countifs('Meitingen, GER'!Q:Q,$A37,'Meitingen, GER'!$I:$I,TRUE),TRUE,FALSE)</f>
        <v>0</v>
      </c>
      <c r="AJ37" s="47" t="b">
        <f>if(countifs('Groningen, NL'!Q:Q,$A37,'Groningen, NL'!$I:$I,TRUE),TRUE,FALSE)</f>
        <v>0</v>
      </c>
      <c r="AK37" s="47" t="b">
        <f>if(countifs('Linköping, SW'!Q:Q,$A37,'Linköping, SW'!$I:$I,TRUE),TRUE,FALSE)</f>
        <v>0</v>
      </c>
      <c r="AL37" s="47" t="b">
        <f>if(countifs('Austin, USA'!Q:Q,$A37,'Austin, USA'!$I:$I,TRUE),TRUE,FALSE)</f>
        <v>0</v>
      </c>
      <c r="AM37" s="47" t="b">
        <f>if(countifs('Thringstone, UK'!Q:Q,$A37,'Thringstone, UK'!$I:$I,TRUE),TRUE,FALSE)</f>
        <v>0</v>
      </c>
      <c r="AN37" s="47" t="b">
        <f>if(countifs('Andover, UK'!Q:Q,$A37,'Andover, UK'!$I:$I,TRUE),TRUE,FALSE)</f>
        <v>0</v>
      </c>
      <c r="AO37" s="47" t="b">
        <f>if(countifs('Ospel, NL'!Q:Q,$A37,'Ospel, NL'!$I:$I,TRUE),TRUE,FALSE)</f>
        <v>0</v>
      </c>
      <c r="AP37" s="47" t="b">
        <f>if(countifs('Wonthaggi, AUS'!Q:Q,$A37,'Wonthaggi, AUS'!$I:$I,TRUE),TRUE,FALSE)</f>
        <v>0</v>
      </c>
      <c r="AQ37" s="47" t="b">
        <f>if(countifs('Falling_Waters, USA'!$Q:$Q,$A37,'Falling_Waters, USA'!$I:$I,TRUE),TRUE,FALSE)</f>
        <v>0</v>
      </c>
      <c r="AR37" s="47" t="b">
        <f>if(countifs('Kelmscott, AUS'!Q:Q,$A37,'Kelmscott, AUS'!$I:$I,TRUE),TRUE,FALSE)</f>
        <v>0</v>
      </c>
    </row>
    <row r="38">
      <c r="A38" s="47" t="str">
        <f>IFERROR(__xludf.DUMMYFUNCTION("""COMPUTED_VALUE"""),"GroteSufferd")</f>
        <v>GroteSufferd</v>
      </c>
      <c r="B38" s="47">
        <f t="shared" si="1"/>
        <v>23</v>
      </c>
      <c r="C38" s="47" t="b">
        <v>0</v>
      </c>
      <c r="D38" s="47" t="b">
        <v>0</v>
      </c>
      <c r="E38" s="47" t="b">
        <v>0</v>
      </c>
      <c r="F38" s="47" t="b">
        <v>0</v>
      </c>
      <c r="G38" s="96"/>
      <c r="H38" s="96" t="b">
        <f>if(countifs('Berlin, GER'!Q:Q,A38,'Berlin, GER'!I:I,TRUE),TRUE,FALSE)</f>
        <v>1</v>
      </c>
      <c r="I38" s="96" t="b">
        <f>if(countifs('Escondido, USA'!Q:Q,A38,'Escondido, USA'!I:I,TRUE),TRUE,FALSE)</f>
        <v>1</v>
      </c>
      <c r="J38" s="96" t="b">
        <f>if(countifs('Onkaparinga_Hills, AUS'!Q:Q,A38,'Onkaparinga_Hills, AUS'!I:I,TRUE),TRUE,FALSE)</f>
        <v>1</v>
      </c>
      <c r="K38" s="96" t="b">
        <f>if(countifs('Perth, AUS'!Q:Q,A38,'Perth, AUS'!I:I,TRUE),TRUE,FALSE)</f>
        <v>1</v>
      </c>
      <c r="L38" s="96" t="b">
        <f>if(countifs('Raleigh, USA'!Q:Q,A38,'Raleigh, USA'!I:I,TRUE),TRUE,FALSE)</f>
        <v>1</v>
      </c>
      <c r="M38" s="96" t="b">
        <f>if(countifs('Browns Plains, AUS'!Q:Q,A38,'Browns Plains, AUS'!I:I,TRUE),TRUE,FALSE)</f>
        <v>1</v>
      </c>
      <c r="N38" s="96" t="b">
        <f>if(countifs('Brossard, CAN'!Q:Q,A38,'Brossard, CAN'!I:I,TRUE),TRUE,FALSE)</f>
        <v>0</v>
      </c>
      <c r="O38" s="96" t="b">
        <f>if(countifs('Gouda, NL'!Q:Q,$A38,'Gouda, NL'!$I:$I,TRUE),TRUE,FALSE)</f>
        <v>1</v>
      </c>
      <c r="P38" s="47" t="b">
        <f>if(countifs('Plympton, UK'!Q:Q,$A38,'Plympton, UK'!$I:$I,TRUE),TRUE,FALSE)</f>
        <v>1</v>
      </c>
      <c r="Q38" s="47" t="b">
        <f>if(countifs('Glen Oaks, USA'!Q:Q,$A38,'Glen Oaks, USA'!$I:$I,TRUE),TRUE,FALSE)</f>
        <v>1</v>
      </c>
      <c r="R38" s="47" t="b">
        <f>if(countifs('Chemnitz, GER'!Q:Q,$A38,'Chemnitz, GER'!I:I,TRUE),TRUE,FALSE)</f>
        <v>1</v>
      </c>
      <c r="S38" s="47" t="b">
        <f>if(countifs('Vosselaar, BE'!Q:Q,$A38,'Vosselaar, BE'!$I:$I,TRUE),TRUE,FALSE)</f>
        <v>1</v>
      </c>
      <c r="T38" s="47" t="b">
        <f>if(countifs('MHQ, USA'!Q:Q,$A38,'MHQ, USA'!$I:$I,TRUE),TRUE,FALSE)</f>
        <v>1</v>
      </c>
      <c r="U38" s="47" t="b">
        <f>if(countifs('Morayfield, AUS'!Q:Q,$A38,'Morayfield, AUS'!$I:$I,TRUE),TRUE,FALSE)</f>
        <v>1</v>
      </c>
      <c r="V38" s="11" t="b">
        <f>if(countifs('Arnhem, NL'!Q:Q,$A38,'Arnhem, NL'!$I:$I,TRUE),TRUE,FALSE)</f>
        <v>0</v>
      </c>
      <c r="W38" s="47" t="b">
        <f>if(countifs('Gotenborg, SW'!Q:Q,$A38,'Gotenborg, SW'!$I:$I,TRUE),TRUE,FALSE)</f>
        <v>1</v>
      </c>
      <c r="X38" s="47" t="b">
        <f>if(countifs('Shepparton, AUS'!Q:Q,$A38,'Shepparton, AUS'!$I:$I,TRUE),TRUE,FALSE)</f>
        <v>1</v>
      </c>
      <c r="Y38" s="47" t="b">
        <f>if(countifs('Hoofddorp, NL'!Q:Q,$A38,'Hoofddorp, NL'!$I:$I,TRUE),TRUE,FALSE)</f>
        <v>1</v>
      </c>
      <c r="Z38" s="47" t="b">
        <f>if(countifs('Bedford, UK'!Q:Q,$A38,'Bedford, UK'!$I:$I,TRUE),TRUE,FALSE)</f>
        <v>1</v>
      </c>
      <c r="AA38" s="47" t="b">
        <f>IF(COUNTIFS('Desert Lodge, USA'!Q:Q,$A38,'Desert Lodge, USA'!I:I,TRUE),TRUE,FALSE)</f>
        <v>1</v>
      </c>
      <c r="AB38" s="47" t="b">
        <f>if(countifs('Dapto, AUS'!Q:Q,$A38,'Dapto, AUS'!$I:$I,TRUE),TRUE,FALSE)</f>
        <v>1</v>
      </c>
      <c r="AC38" s="47" t="b">
        <f>if(countifs('New Westminster, CAN'!Q:Q,$A38,'New Westminster, CAN'!$I:$I,TRUE),TRUE,FALSE)</f>
        <v>1</v>
      </c>
      <c r="AD38" s="47" t="b">
        <f>if(countifs('Georgetown, CAN'!Q:Q,$A38,'Georgetown, CAN'!$I:$I,TRUE),TRUE,FALSE)</f>
        <v>1</v>
      </c>
      <c r="AE38" s="47" t="b">
        <f>if(countifs('Kingswood, UK'!Q:Q,$A38,'Kingswood, UK'!$I:$I,TRUE),TRUE,FALSE)</f>
        <v>0</v>
      </c>
      <c r="AF38" s="47" t="b">
        <f>if(countifs('Hagerstown, USA'!Q:Q,$A38,'Hagerstown, USA'!$I:$I,TRUE),TRUE,FALSE)</f>
        <v>0</v>
      </c>
      <c r="AG38" s="47" t="b">
        <f>if(countifs('Felsogalla, HU'!Q:Q,$A38,'Felsogalla, HU'!$I:$I,TRUE),TRUE,FALSE)</f>
        <v>0</v>
      </c>
      <c r="AH38" s="47" t="b">
        <f>if(countifs('Norlane, AUS'!Q:Q,$A38,'Norlane, AUS'!$I:$I,TRUE),TRUE,FALSE)</f>
        <v>0</v>
      </c>
      <c r="AI38" s="47" t="b">
        <f>if(countifs('Meitingen, GER'!Q:Q,$A38,'Meitingen, GER'!$I:$I,TRUE),TRUE,FALSE)</f>
        <v>0</v>
      </c>
      <c r="AJ38" s="47" t="b">
        <f>if(countifs('Groningen, NL'!Q:Q,$A38,'Groningen, NL'!$I:$I,TRUE),TRUE,FALSE)</f>
        <v>0</v>
      </c>
      <c r="AK38" s="47" t="b">
        <f>if(countifs('Linköping, SW'!Q:Q,$A38,'Linköping, SW'!$I:$I,TRUE),TRUE,FALSE)</f>
        <v>0</v>
      </c>
      <c r="AL38" s="47" t="b">
        <f>if(countifs('Austin, USA'!Q:Q,$A38,'Austin, USA'!$I:$I,TRUE),TRUE,FALSE)</f>
        <v>0</v>
      </c>
      <c r="AM38" s="47" t="b">
        <f>if(countifs('Thringstone, UK'!Q:Q,$A38,'Thringstone, UK'!$I:$I,TRUE),TRUE,FALSE)</f>
        <v>1</v>
      </c>
      <c r="AN38" s="47" t="b">
        <f>if(countifs('Andover, UK'!Q:Q,$A38,'Andover, UK'!$I:$I,TRUE),TRUE,FALSE)</f>
        <v>0</v>
      </c>
      <c r="AO38" s="47" t="b">
        <f>if(countifs('Ospel, NL'!Q:Q,$A38,'Ospel, NL'!$I:$I,TRUE),TRUE,FALSE)</f>
        <v>0</v>
      </c>
      <c r="AP38" s="47" t="b">
        <f>if(countifs('Wonthaggi, AUS'!Q:Q,$A38,'Wonthaggi, AUS'!$I:$I,TRUE),TRUE,FALSE)</f>
        <v>0</v>
      </c>
      <c r="AQ38" s="47" t="b">
        <f>if(countifs('Falling_Waters, USA'!$Q:$Q,$A38,'Falling_Waters, USA'!$I:$I,TRUE),TRUE,FALSE)</f>
        <v>0</v>
      </c>
      <c r="AR38" s="47" t="b">
        <f>if(countifs('Kelmscott, AUS'!Q:Q,$A38,'Kelmscott, AUS'!$I:$I,TRUE),TRUE,FALSE)</f>
        <v>1</v>
      </c>
    </row>
    <row r="39">
      <c r="A39" s="47" t="str">
        <f>IFERROR(__xludf.DUMMYFUNCTION("""COMPUTED_VALUE"""),"Drazoria")</f>
        <v>Drazoria</v>
      </c>
      <c r="B39" s="47">
        <f t="shared" si="1"/>
        <v>35</v>
      </c>
      <c r="C39" s="11" t="b">
        <v>0</v>
      </c>
      <c r="D39" s="47" t="b">
        <v>0</v>
      </c>
      <c r="E39" s="47" t="b">
        <v>0</v>
      </c>
      <c r="F39" s="11" t="b">
        <v>0</v>
      </c>
      <c r="G39" s="96"/>
      <c r="H39" s="96" t="b">
        <f>if(countifs('Berlin, GER'!Q:Q,A39,'Berlin, GER'!I:I,TRUE),TRUE,FALSE)</f>
        <v>1</v>
      </c>
      <c r="I39" s="96" t="b">
        <f>if(countifs('Escondido, USA'!Q:Q,A39,'Escondido, USA'!I:I,TRUE),TRUE,FALSE)</f>
        <v>1</v>
      </c>
      <c r="J39" s="96" t="b">
        <f>if(countifs('Onkaparinga_Hills, AUS'!Q:Q,A39,'Onkaparinga_Hills, AUS'!I:I,TRUE),TRUE,FALSE)</f>
        <v>1</v>
      </c>
      <c r="K39" s="96" t="b">
        <f>if(countifs('Perth, AUS'!Q:Q,A39,'Perth, AUS'!I:I,TRUE),TRUE,FALSE)</f>
        <v>1</v>
      </c>
      <c r="L39" s="96" t="b">
        <f>if(countifs('Raleigh, USA'!Q:Q,A39,'Raleigh, USA'!I:I,TRUE),TRUE,FALSE)</f>
        <v>1</v>
      </c>
      <c r="M39" s="96" t="b">
        <f>if(countifs('Browns Plains, AUS'!Q:Q,A39,'Browns Plains, AUS'!I:I,TRUE),TRUE,FALSE)</f>
        <v>1</v>
      </c>
      <c r="N39" s="96" t="b">
        <f>if(countifs('Brossard, CAN'!Q:Q,A39,'Brossard, CAN'!I:I,TRUE),TRUE,FALSE)</f>
        <v>1</v>
      </c>
      <c r="O39" s="96" t="b">
        <f>if(countifs('Gouda, NL'!Q:Q,$A39,'Gouda, NL'!$I:$I,TRUE),TRUE,FALSE)</f>
        <v>1</v>
      </c>
      <c r="P39" s="47" t="b">
        <f>if(countifs('Plympton, UK'!Q:Q,$A39,'Plympton, UK'!$I:$I,TRUE),TRUE,FALSE)</f>
        <v>1</v>
      </c>
      <c r="Q39" s="47" t="b">
        <f>if(countifs('Glen Oaks, USA'!Q:Q,$A39,'Glen Oaks, USA'!$I:$I,TRUE),TRUE,FALSE)</f>
        <v>1</v>
      </c>
      <c r="R39" s="47" t="b">
        <f>if(countifs('Chemnitz, GER'!Q:Q,$A39,'Chemnitz, GER'!I:I,TRUE),TRUE,FALSE)</f>
        <v>1</v>
      </c>
      <c r="S39" s="47" t="b">
        <f>if(countifs('Vosselaar, BE'!Q:Q,$A39,'Vosselaar, BE'!$I:$I,TRUE),TRUE,FALSE)</f>
        <v>1</v>
      </c>
      <c r="T39" s="47" t="b">
        <f>if(countifs('MHQ, USA'!Q:Q,$A39,'MHQ, USA'!$I:$I,TRUE),TRUE,FALSE)</f>
        <v>1</v>
      </c>
      <c r="U39" s="47" t="b">
        <f>if(countifs('Morayfield, AUS'!Q:Q,$A39,'Morayfield, AUS'!$I:$I,TRUE),TRUE,FALSE)</f>
        <v>1</v>
      </c>
      <c r="V39" s="11" t="b">
        <f>if(countifs('Arnhem, NL'!Q:Q,$A39,'Arnhem, NL'!$I:$I,TRUE),TRUE,FALSE)</f>
        <v>0</v>
      </c>
      <c r="W39" s="47" t="b">
        <f>if(countifs('Gotenborg, SW'!Q:Q,$A39,'Gotenborg, SW'!$I:$I,TRUE),TRUE,FALSE)</f>
        <v>1</v>
      </c>
      <c r="X39" s="47" t="b">
        <f>if(countifs('Shepparton, AUS'!Q:Q,$A39,'Shepparton, AUS'!$I:$I,TRUE),TRUE,FALSE)</f>
        <v>1</v>
      </c>
      <c r="Y39" s="47" t="b">
        <f>if(countifs('Hoofddorp, NL'!Q:Q,$A39,'Hoofddorp, NL'!$I:$I,TRUE),TRUE,FALSE)</f>
        <v>1</v>
      </c>
      <c r="Z39" s="47" t="b">
        <f>if(countifs('Bedford, UK'!Q:Q,$A39,'Bedford, UK'!$I:$I,TRUE),TRUE,FALSE)</f>
        <v>1</v>
      </c>
      <c r="AA39" s="47" t="b">
        <f>IF(COUNTIFS('Desert Lodge, USA'!Q:Q,$A39,'Desert Lodge, USA'!I:I,TRUE),TRUE,FALSE)</f>
        <v>1</v>
      </c>
      <c r="AB39" s="47" t="b">
        <f>if(countifs('Dapto, AUS'!Q:Q,$A39,'Dapto, AUS'!$I:$I,TRUE),TRUE,FALSE)</f>
        <v>1</v>
      </c>
      <c r="AC39" s="47" t="b">
        <f>if(countifs('New Westminster, CAN'!Q:Q,$A39,'New Westminster, CAN'!$I:$I,TRUE),TRUE,FALSE)</f>
        <v>1</v>
      </c>
      <c r="AD39" s="47" t="b">
        <f>if(countifs('Georgetown, CAN'!Q:Q,$A39,'Georgetown, CAN'!$I:$I,TRUE),TRUE,FALSE)</f>
        <v>1</v>
      </c>
      <c r="AE39" s="47" t="b">
        <f>if(countifs('Kingswood, UK'!Q:Q,$A39,'Kingswood, UK'!$I:$I,TRUE),TRUE,FALSE)</f>
        <v>1</v>
      </c>
      <c r="AF39" s="47" t="b">
        <f>if(countifs('Hagerstown, USA'!Q:Q,$A39,'Hagerstown, USA'!$I:$I,TRUE),TRUE,FALSE)</f>
        <v>1</v>
      </c>
      <c r="AG39" s="47" t="b">
        <f>if(countifs('Felsogalla, HU'!Q:Q,$A39,'Felsogalla, HU'!$I:$I,TRUE),TRUE,FALSE)</f>
        <v>1</v>
      </c>
      <c r="AH39" s="47" t="b">
        <f>if(countifs('Norlane, AUS'!Q:Q,$A39,'Norlane, AUS'!$I:$I,TRUE),TRUE,FALSE)</f>
        <v>1</v>
      </c>
      <c r="AI39" s="47" t="b">
        <f>if(countifs('Meitingen, GER'!Q:Q,$A39,'Meitingen, GER'!$I:$I,TRUE),TRUE,FALSE)</f>
        <v>1</v>
      </c>
      <c r="AJ39" s="47" t="b">
        <f>if(countifs('Groningen, NL'!Q:Q,$A39,'Groningen, NL'!$I:$I,TRUE),TRUE,FALSE)</f>
        <v>1</v>
      </c>
      <c r="AK39" s="47" t="b">
        <f>if(countifs('Linköping, SW'!Q:Q,$A39,'Linköping, SW'!$I:$I,TRUE),TRUE,FALSE)</f>
        <v>1</v>
      </c>
      <c r="AL39" s="47" t="b">
        <f>if(countifs('Austin, USA'!Q:Q,$A39,'Austin, USA'!$I:$I,TRUE),TRUE,FALSE)</f>
        <v>0</v>
      </c>
      <c r="AM39" s="47" t="b">
        <f>if(countifs('Thringstone, UK'!Q:Q,$A39,'Thringstone, UK'!$I:$I,TRUE),TRUE,FALSE)</f>
        <v>1</v>
      </c>
      <c r="AN39" s="47" t="b">
        <f>if(countifs('Andover, UK'!Q:Q,$A39,'Andover, UK'!$I:$I,TRUE),TRUE,FALSE)</f>
        <v>1</v>
      </c>
      <c r="AO39" s="47" t="b">
        <f>if(countifs('Ospel, NL'!Q:Q,$A39,'Ospel, NL'!$I:$I,TRUE),TRUE,FALSE)</f>
        <v>1</v>
      </c>
      <c r="AP39" s="47" t="b">
        <f>if(countifs('Wonthaggi, AUS'!Q:Q,$A39,'Wonthaggi, AUS'!$I:$I,TRUE),TRUE,FALSE)</f>
        <v>1</v>
      </c>
      <c r="AQ39" s="47" t="b">
        <f>if(countifs('Falling_Waters, USA'!$Q:$Q,$A39,'Falling_Waters, USA'!$I:$I,TRUE),TRUE,FALSE)</f>
        <v>1</v>
      </c>
      <c r="AR39" s="47" t="b">
        <f>if(countifs('Kelmscott, AUS'!Q:Q,$A39,'Kelmscott, AUS'!$I:$I,TRUE),TRUE,FALSE)</f>
        <v>1</v>
      </c>
    </row>
    <row r="40">
      <c r="A40" s="47" t="str">
        <f>IFERROR(__xludf.DUMMYFUNCTION("""COMPUTED_VALUE"""),"TheFrog")</f>
        <v>TheFrog</v>
      </c>
      <c r="B40" s="47">
        <f t="shared" si="1"/>
        <v>34</v>
      </c>
      <c r="C40" s="47" t="b">
        <v>0</v>
      </c>
      <c r="D40" s="47" t="b">
        <v>0</v>
      </c>
      <c r="E40" s="47" t="b">
        <v>0</v>
      </c>
      <c r="F40" s="47" t="b">
        <v>0</v>
      </c>
      <c r="G40" s="96"/>
      <c r="H40" s="96" t="b">
        <f>if(countifs('Berlin, GER'!Q:Q,A40,'Berlin, GER'!I:I,TRUE),TRUE,FALSE)</f>
        <v>1</v>
      </c>
      <c r="I40" s="96" t="b">
        <f>if(countifs('Escondido, USA'!Q:Q,A40,'Escondido, USA'!I:I,TRUE),TRUE,FALSE)</f>
        <v>1</v>
      </c>
      <c r="J40" s="96" t="b">
        <f>if(countifs('Onkaparinga_Hills, AUS'!Q:Q,A40,'Onkaparinga_Hills, AUS'!I:I,TRUE),TRUE,FALSE)</f>
        <v>1</v>
      </c>
      <c r="K40" s="96" t="b">
        <f>if(countifs('Perth, AUS'!Q:Q,A40,'Perth, AUS'!I:I,TRUE),TRUE,FALSE)</f>
        <v>1</v>
      </c>
      <c r="L40" s="96" t="b">
        <f>if(countifs('Raleigh, USA'!Q:Q,A40,'Raleigh, USA'!I:I,TRUE),TRUE,FALSE)</f>
        <v>1</v>
      </c>
      <c r="M40" s="96" t="b">
        <f>if(countifs('Browns Plains, AUS'!Q:Q,A40,'Browns Plains, AUS'!I:I,TRUE),TRUE,FALSE)</f>
        <v>1</v>
      </c>
      <c r="N40" s="96" t="b">
        <f>if(countifs('Brossard, CAN'!Q:Q,A40,'Brossard, CAN'!I:I,TRUE),TRUE,FALSE)</f>
        <v>1</v>
      </c>
      <c r="O40" s="96" t="b">
        <f>if(countifs('Gouda, NL'!Q:Q,$A40,'Gouda, NL'!$I:$I,TRUE),TRUE,FALSE)</f>
        <v>0</v>
      </c>
      <c r="P40" s="47" t="b">
        <f>if(countifs('Plympton, UK'!Q:Q,$A40,'Plympton, UK'!$I:$I,TRUE),TRUE,FALSE)</f>
        <v>1</v>
      </c>
      <c r="Q40" s="47" t="b">
        <f>if(countifs('Glen Oaks, USA'!Q:Q,$A40,'Glen Oaks, USA'!$I:$I,TRUE),TRUE,FALSE)</f>
        <v>1</v>
      </c>
      <c r="R40" s="47" t="b">
        <f>if(countifs('Chemnitz, GER'!Q:Q,$A40,'Chemnitz, GER'!I:I,TRUE),TRUE,FALSE)</f>
        <v>1</v>
      </c>
      <c r="S40" s="47" t="b">
        <f>if(countifs('Vosselaar, BE'!Q:Q,$A40,'Vosselaar, BE'!$I:$I,TRUE),TRUE,FALSE)</f>
        <v>1</v>
      </c>
      <c r="T40" s="47" t="b">
        <f>if(countifs('MHQ, USA'!Q:Q,$A40,'MHQ, USA'!$I:$I,TRUE),TRUE,FALSE)</f>
        <v>1</v>
      </c>
      <c r="U40" s="47" t="b">
        <f>if(countifs('Morayfield, AUS'!Q:Q,$A40,'Morayfield, AUS'!$I:$I,TRUE),TRUE,FALSE)</f>
        <v>1</v>
      </c>
      <c r="V40" s="11" t="b">
        <f>if(countifs('Arnhem, NL'!Q:Q,$A40,'Arnhem, NL'!$I:$I,TRUE),TRUE,FALSE)</f>
        <v>1</v>
      </c>
      <c r="W40" s="47" t="b">
        <f>if(countifs('Gotenborg, SW'!Q:Q,$A40,'Gotenborg, SW'!$I:$I,TRUE),TRUE,FALSE)</f>
        <v>1</v>
      </c>
      <c r="X40" s="47" t="b">
        <f>if(countifs('Shepparton, AUS'!Q:Q,$A40,'Shepparton, AUS'!$I:$I,TRUE),TRUE,FALSE)</f>
        <v>1</v>
      </c>
      <c r="Y40" s="47" t="b">
        <f>if(countifs('Hoofddorp, NL'!Q:Q,$A40,'Hoofddorp, NL'!$I:$I,TRUE),TRUE,FALSE)</f>
        <v>1</v>
      </c>
      <c r="Z40" s="47" t="b">
        <f>if(countifs('Bedford, UK'!Q:Q,$A40,'Bedford, UK'!$I:$I,TRUE),TRUE,FALSE)</f>
        <v>1</v>
      </c>
      <c r="AA40" s="47" t="b">
        <f>IF(COUNTIFS('Desert Lodge, USA'!Q:Q,$A40,'Desert Lodge, USA'!I:I,TRUE),TRUE,FALSE)</f>
        <v>1</v>
      </c>
      <c r="AB40" s="47" t="b">
        <f>if(countifs('Dapto, AUS'!Q:Q,$A40,'Dapto, AUS'!$I:$I,TRUE),TRUE,FALSE)</f>
        <v>1</v>
      </c>
      <c r="AC40" s="47" t="b">
        <f>if(countifs('New Westminster, CAN'!Q:Q,$A40,'New Westminster, CAN'!$I:$I,TRUE),TRUE,FALSE)</f>
        <v>1</v>
      </c>
      <c r="AD40" s="47" t="b">
        <f>if(countifs('Georgetown, CAN'!Q:Q,$A40,'Georgetown, CAN'!$I:$I,TRUE),TRUE,FALSE)</f>
        <v>0</v>
      </c>
      <c r="AE40" s="47" t="b">
        <f>if(countifs('Kingswood, UK'!Q:Q,$A40,'Kingswood, UK'!$I:$I,TRUE),TRUE,FALSE)</f>
        <v>1</v>
      </c>
      <c r="AF40" s="47" t="b">
        <f>if(countifs('Hagerstown, USA'!Q:Q,$A40,'Hagerstown, USA'!$I:$I,TRUE),TRUE,FALSE)</f>
        <v>1</v>
      </c>
      <c r="AG40" s="47" t="b">
        <f>if(countifs('Felsogalla, HU'!Q:Q,$A40,'Felsogalla, HU'!$I:$I,TRUE),TRUE,FALSE)</f>
        <v>1</v>
      </c>
      <c r="AH40" s="47" t="b">
        <f>if(countifs('Norlane, AUS'!Q:Q,$A40,'Norlane, AUS'!$I:$I,TRUE),TRUE,FALSE)</f>
        <v>1</v>
      </c>
      <c r="AI40" s="47" t="b">
        <f>if(countifs('Meitingen, GER'!Q:Q,$A40,'Meitingen, GER'!$I:$I,TRUE),TRUE,FALSE)</f>
        <v>1</v>
      </c>
      <c r="AJ40" s="47" t="b">
        <f>if(countifs('Groningen, NL'!Q:Q,$A40,'Groningen, NL'!$I:$I,TRUE),TRUE,FALSE)</f>
        <v>1</v>
      </c>
      <c r="AK40" s="47" t="b">
        <f>if(countifs('Linköping, SW'!Q:Q,$A40,'Linköping, SW'!$I:$I,TRUE),TRUE,FALSE)</f>
        <v>1</v>
      </c>
      <c r="AL40" s="47" t="b">
        <f>if(countifs('Austin, USA'!Q:Q,$A40,'Austin, USA'!$I:$I,TRUE),TRUE,FALSE)</f>
        <v>0</v>
      </c>
      <c r="AM40" s="47" t="b">
        <f>if(countifs('Thringstone, UK'!Q:Q,$A40,'Thringstone, UK'!$I:$I,TRUE),TRUE,FALSE)</f>
        <v>1</v>
      </c>
      <c r="AN40" s="47" t="b">
        <f>if(countifs('Andover, UK'!Q:Q,$A40,'Andover, UK'!$I:$I,TRUE),TRUE,FALSE)</f>
        <v>1</v>
      </c>
      <c r="AO40" s="47" t="b">
        <f>if(countifs('Ospel, NL'!Q:Q,$A40,'Ospel, NL'!$I:$I,TRUE),TRUE,FALSE)</f>
        <v>1</v>
      </c>
      <c r="AP40" s="47" t="b">
        <f>if(countifs('Wonthaggi, AUS'!Q:Q,$A40,'Wonthaggi, AUS'!$I:$I,TRUE),TRUE,FALSE)</f>
        <v>1</v>
      </c>
      <c r="AQ40" s="47" t="b">
        <f>if(countifs('Falling_Waters, USA'!$Q:$Q,$A40,'Falling_Waters, USA'!$I:$I,TRUE),TRUE,FALSE)</f>
        <v>1</v>
      </c>
      <c r="AR40" s="47" t="b">
        <f>if(countifs('Kelmscott, AUS'!Q:Q,$A40,'Kelmscott, AUS'!$I:$I,TRUE),TRUE,FALSE)</f>
        <v>1</v>
      </c>
    </row>
    <row r="41">
      <c r="A41" s="47" t="str">
        <f>IFERROR(__xludf.DUMMYFUNCTION("""COMPUTED_VALUE"""),"123xilef")</f>
        <v>123xilef</v>
      </c>
      <c r="B41" s="47">
        <f t="shared" si="1"/>
        <v>36</v>
      </c>
      <c r="C41" s="47" t="b">
        <v>0</v>
      </c>
      <c r="D41" s="47" t="b">
        <v>0</v>
      </c>
      <c r="E41" s="47" t="b">
        <v>0</v>
      </c>
      <c r="F41" s="47" t="b">
        <v>0</v>
      </c>
      <c r="G41" s="96"/>
      <c r="H41" s="96" t="b">
        <f>if(countifs('Berlin, GER'!Q:Q,A41,'Berlin, GER'!I:I,TRUE),TRUE,FALSE)</f>
        <v>1</v>
      </c>
      <c r="I41" s="96" t="b">
        <f>if(countifs('Escondido, USA'!Q:Q,A41,'Escondido, USA'!I:I,TRUE),TRUE,FALSE)</f>
        <v>1</v>
      </c>
      <c r="J41" s="96" t="b">
        <f>if(countifs('Onkaparinga_Hills, AUS'!Q:Q,A41,'Onkaparinga_Hills, AUS'!I:I,TRUE),TRUE,FALSE)</f>
        <v>1</v>
      </c>
      <c r="K41" s="96" t="b">
        <f>if(countifs('Perth, AUS'!Q:Q,A41,'Perth, AUS'!I:I,TRUE),TRUE,FALSE)</f>
        <v>1</v>
      </c>
      <c r="L41" s="96" t="b">
        <f>if(countifs('Raleigh, USA'!Q:Q,A41,'Raleigh, USA'!I:I,TRUE),TRUE,FALSE)</f>
        <v>1</v>
      </c>
      <c r="M41" s="96" t="b">
        <f>if(countifs('Browns Plains, AUS'!Q:Q,A41,'Browns Plains, AUS'!I:I,TRUE),TRUE,FALSE)</f>
        <v>1</v>
      </c>
      <c r="N41" s="96" t="b">
        <f>if(countifs('Brossard, CAN'!Q:Q,A41,'Brossard, CAN'!I:I,TRUE),TRUE,FALSE)</f>
        <v>1</v>
      </c>
      <c r="O41" s="96" t="b">
        <f>if(countifs('Gouda, NL'!Q:Q,$A41,'Gouda, NL'!$I:$I,TRUE),TRUE,FALSE)</f>
        <v>1</v>
      </c>
      <c r="P41" s="47" t="b">
        <f>if(countifs('Plympton, UK'!Q:Q,$A41,'Plympton, UK'!$I:$I,TRUE),TRUE,FALSE)</f>
        <v>1</v>
      </c>
      <c r="Q41" s="47" t="b">
        <f>if(countifs('Glen Oaks, USA'!Q:Q,$A41,'Glen Oaks, USA'!$I:$I,TRUE),TRUE,FALSE)</f>
        <v>1</v>
      </c>
      <c r="R41" s="47" t="b">
        <f>if(countifs('Chemnitz, GER'!Q:Q,$A41,'Chemnitz, GER'!I:I,TRUE),TRUE,FALSE)</f>
        <v>1</v>
      </c>
      <c r="S41" s="47" t="b">
        <f>if(countifs('Vosselaar, BE'!Q:Q,$A41,'Vosselaar, BE'!$I:$I,TRUE),TRUE,FALSE)</f>
        <v>1</v>
      </c>
      <c r="T41" s="47" t="b">
        <f>if(countifs('MHQ, USA'!Q:Q,$A41,'MHQ, USA'!$I:$I,TRUE),TRUE,FALSE)</f>
        <v>1</v>
      </c>
      <c r="U41" s="47" t="b">
        <f>if(countifs('Morayfield, AUS'!Q:Q,$A41,'Morayfield, AUS'!$I:$I,TRUE),TRUE,FALSE)</f>
        <v>1</v>
      </c>
      <c r="V41" s="11" t="b">
        <f>if(countifs('Arnhem, NL'!Q:Q,$A41,'Arnhem, NL'!$I:$I,TRUE),TRUE,FALSE)</f>
        <v>1</v>
      </c>
      <c r="W41" s="47" t="b">
        <f>if(countifs('Gotenborg, SW'!Q:Q,$A41,'Gotenborg, SW'!$I:$I,TRUE),TRUE,FALSE)</f>
        <v>1</v>
      </c>
      <c r="X41" s="47" t="b">
        <f>if(countifs('Shepparton, AUS'!Q:Q,$A41,'Shepparton, AUS'!$I:$I,TRUE),TRUE,FALSE)</f>
        <v>1</v>
      </c>
      <c r="Y41" s="47" t="b">
        <f>if(countifs('Hoofddorp, NL'!Q:Q,$A41,'Hoofddorp, NL'!$I:$I,TRUE),TRUE,FALSE)</f>
        <v>1</v>
      </c>
      <c r="Z41" s="47" t="b">
        <f>if(countifs('Bedford, UK'!Q:Q,$A41,'Bedford, UK'!$I:$I,TRUE),TRUE,FALSE)</f>
        <v>1</v>
      </c>
      <c r="AA41" s="47" t="b">
        <f>IF(COUNTIFS('Desert Lodge, USA'!Q:Q,$A41,'Desert Lodge, USA'!I:I,TRUE),TRUE,FALSE)</f>
        <v>1</v>
      </c>
      <c r="AB41" s="47" t="b">
        <f>if(countifs('Dapto, AUS'!Q:Q,$A41,'Dapto, AUS'!$I:$I,TRUE),TRUE,FALSE)</f>
        <v>1</v>
      </c>
      <c r="AC41" s="47" t="b">
        <f>if(countifs('New Westminster, CAN'!Q:Q,$A41,'New Westminster, CAN'!$I:$I,TRUE),TRUE,FALSE)</f>
        <v>1</v>
      </c>
      <c r="AD41" s="47" t="b">
        <f>if(countifs('Georgetown, CAN'!Q:Q,$A41,'Georgetown, CAN'!$I:$I,TRUE),TRUE,FALSE)</f>
        <v>1</v>
      </c>
      <c r="AE41" s="47" t="b">
        <f>if(countifs('Kingswood, UK'!Q:Q,$A41,'Kingswood, UK'!$I:$I,TRUE),TRUE,FALSE)</f>
        <v>1</v>
      </c>
      <c r="AF41" s="47" t="b">
        <f>if(countifs('Hagerstown, USA'!Q:Q,$A41,'Hagerstown, USA'!$I:$I,TRUE),TRUE,FALSE)</f>
        <v>1</v>
      </c>
      <c r="AG41" s="47" t="b">
        <f>if(countifs('Felsogalla, HU'!Q:Q,$A41,'Felsogalla, HU'!$I:$I,TRUE),TRUE,FALSE)</f>
        <v>1</v>
      </c>
      <c r="AH41" s="47" t="b">
        <f>if(countifs('Norlane, AUS'!Q:Q,$A41,'Norlane, AUS'!$I:$I,TRUE),TRUE,FALSE)</f>
        <v>1</v>
      </c>
      <c r="AI41" s="47" t="b">
        <f>if(countifs('Meitingen, GER'!Q:Q,$A41,'Meitingen, GER'!$I:$I,TRUE),TRUE,FALSE)</f>
        <v>1</v>
      </c>
      <c r="AJ41" s="47" t="b">
        <f>if(countifs('Groningen, NL'!Q:Q,$A41,'Groningen, NL'!$I:$I,TRUE),TRUE,FALSE)</f>
        <v>1</v>
      </c>
      <c r="AK41" s="47" t="b">
        <f>if(countifs('Linköping, SW'!Q:Q,$A41,'Linköping, SW'!$I:$I,TRUE),TRUE,FALSE)</f>
        <v>1</v>
      </c>
      <c r="AL41" s="47" t="b">
        <f>if(countifs('Austin, USA'!Q:Q,$A41,'Austin, USA'!$I:$I,TRUE),TRUE,FALSE)</f>
        <v>0</v>
      </c>
      <c r="AM41" s="47" t="b">
        <f>if(countifs('Thringstone, UK'!Q:Q,$A41,'Thringstone, UK'!$I:$I,TRUE),TRUE,FALSE)</f>
        <v>1</v>
      </c>
      <c r="AN41" s="47" t="b">
        <f>if(countifs('Andover, UK'!Q:Q,$A41,'Andover, UK'!$I:$I,TRUE),TRUE,FALSE)</f>
        <v>1</v>
      </c>
      <c r="AO41" s="47" t="b">
        <f>if(countifs('Ospel, NL'!Q:Q,$A41,'Ospel, NL'!$I:$I,TRUE),TRUE,FALSE)</f>
        <v>1</v>
      </c>
      <c r="AP41" s="47" t="b">
        <f>if(countifs('Wonthaggi, AUS'!Q:Q,$A41,'Wonthaggi, AUS'!$I:$I,TRUE),TRUE,FALSE)</f>
        <v>1</v>
      </c>
      <c r="AQ41" s="47" t="b">
        <f>if(countifs('Falling_Waters, USA'!$Q:$Q,$A41,'Falling_Waters, USA'!$I:$I,TRUE),TRUE,FALSE)</f>
        <v>1</v>
      </c>
      <c r="AR41" s="47" t="b">
        <f>if(countifs('Kelmscott, AUS'!Q:Q,$A41,'Kelmscott, AUS'!$I:$I,TRUE),TRUE,FALSE)</f>
        <v>1</v>
      </c>
    </row>
    <row r="42">
      <c r="A42" s="47" t="str">
        <f>IFERROR(__xludf.DUMMYFUNCTION("""COMPUTED_VALUE"""),"amigoth2de")</f>
        <v>amigoth2de</v>
      </c>
      <c r="B42" s="47">
        <f t="shared" si="1"/>
        <v>2</v>
      </c>
      <c r="C42" s="47" t="b">
        <v>0</v>
      </c>
      <c r="D42" s="47" t="b">
        <v>0</v>
      </c>
      <c r="E42" s="47" t="b">
        <v>0</v>
      </c>
      <c r="F42" s="47" t="b">
        <v>0</v>
      </c>
      <c r="G42" s="96"/>
      <c r="H42" s="96" t="b">
        <f>if(countifs('Berlin, GER'!Q:Q,A42,'Berlin, GER'!I:I,TRUE),TRUE,FALSE)</f>
        <v>1</v>
      </c>
      <c r="I42" s="96" t="b">
        <f>if(countifs('Escondido, USA'!Q:Q,A42,'Escondido, USA'!I:I,TRUE),TRUE,FALSE)</f>
        <v>1</v>
      </c>
      <c r="J42" s="96" t="b">
        <f>if(countifs('Onkaparinga_Hills, AUS'!Q:Q,A42,'Onkaparinga_Hills, AUS'!I:I,TRUE),TRUE,FALSE)</f>
        <v>0</v>
      </c>
      <c r="K42" s="96" t="b">
        <f>if(countifs('Perth, AUS'!Q:Q,A42,'Perth, AUS'!I:I,TRUE),TRUE,FALSE)</f>
        <v>0</v>
      </c>
      <c r="L42" s="96" t="b">
        <f>if(countifs('Raleigh, USA'!Q:Q,A42,'Raleigh, USA'!I:I,TRUE),TRUE,FALSE)</f>
        <v>0</v>
      </c>
      <c r="M42" s="96" t="b">
        <f>if(countifs('Browns Plains, AUS'!Q:Q,A42,'Browns Plains, AUS'!I:I,TRUE),TRUE,FALSE)</f>
        <v>0</v>
      </c>
      <c r="N42" s="96" t="b">
        <f>if(countifs('Brossard, CAN'!Q:Q,A42,'Brossard, CAN'!I:I,TRUE),TRUE,FALSE)</f>
        <v>0</v>
      </c>
      <c r="O42" s="96" t="b">
        <f>if(countifs('Gouda, NL'!Q:Q,$A42,'Gouda, NL'!$I:$I,TRUE),TRUE,FALSE)</f>
        <v>0</v>
      </c>
      <c r="P42" s="47" t="b">
        <f>if(countifs('Plympton, UK'!Q:Q,$A42,'Plympton, UK'!$I:$I,TRUE),TRUE,FALSE)</f>
        <v>0</v>
      </c>
      <c r="Q42" s="47" t="b">
        <f>if(countifs('Glen Oaks, USA'!Q:Q,$A42,'Glen Oaks, USA'!$I:$I,TRUE),TRUE,FALSE)</f>
        <v>0</v>
      </c>
      <c r="R42" s="47" t="b">
        <f>if(countifs('Chemnitz, GER'!Q:Q,$A42,'Chemnitz, GER'!I:I,TRUE),TRUE,FALSE)</f>
        <v>0</v>
      </c>
      <c r="S42" s="47" t="b">
        <f>if(countifs('Vosselaar, BE'!Q:Q,$A42,'Vosselaar, BE'!$I:$I,TRUE),TRUE,FALSE)</f>
        <v>0</v>
      </c>
      <c r="T42" s="47" t="b">
        <f>if(countifs('MHQ, USA'!Q:Q,$A42,'MHQ, USA'!$I:$I,TRUE),TRUE,FALSE)</f>
        <v>0</v>
      </c>
      <c r="U42" s="47" t="b">
        <f>if(countifs('Morayfield, AUS'!Q:Q,$A42,'Morayfield, AUS'!$I:$I,TRUE),TRUE,FALSE)</f>
        <v>0</v>
      </c>
      <c r="V42" s="11" t="b">
        <f>if(countifs('Arnhem, NL'!Q:Q,$A42,'Arnhem, NL'!$I:$I,TRUE),TRUE,FALSE)</f>
        <v>0</v>
      </c>
      <c r="W42" s="47" t="b">
        <f>if(countifs('Gotenborg, SW'!Q:Q,$A42,'Gotenborg, SW'!$I:$I,TRUE),TRUE,FALSE)</f>
        <v>0</v>
      </c>
      <c r="X42" s="47" t="b">
        <f>if(countifs('Shepparton, AUS'!Q:Q,$A42,'Shepparton, AUS'!$I:$I,TRUE),TRUE,FALSE)</f>
        <v>0</v>
      </c>
      <c r="Y42" s="47" t="b">
        <f>if(countifs('Hoofddorp, NL'!Q:Q,$A42,'Hoofddorp, NL'!$I:$I,TRUE),TRUE,FALSE)</f>
        <v>0</v>
      </c>
      <c r="Z42" s="47" t="b">
        <f>if(countifs('Bedford, UK'!Q:Q,$A42,'Bedford, UK'!$I:$I,TRUE),TRUE,FALSE)</f>
        <v>0</v>
      </c>
      <c r="AA42" s="47" t="b">
        <f>IF(COUNTIFS('Desert Lodge, USA'!Q:Q,$A42,'Desert Lodge, USA'!I:I,TRUE),TRUE,FALSE)</f>
        <v>0</v>
      </c>
      <c r="AB42" s="47" t="b">
        <f>if(countifs('Dapto, AUS'!Q:Q,$A42,'Dapto, AUS'!$I:$I,TRUE),TRUE,FALSE)</f>
        <v>0</v>
      </c>
      <c r="AC42" s="47" t="b">
        <f>if(countifs('New Westminster, CAN'!Q:Q,$A42,'New Westminster, CAN'!$I:$I,TRUE),TRUE,FALSE)</f>
        <v>0</v>
      </c>
      <c r="AD42" s="47" t="b">
        <f>if(countifs('Georgetown, CAN'!Q:Q,$A42,'Georgetown, CAN'!$I:$I,TRUE),TRUE,FALSE)</f>
        <v>0</v>
      </c>
      <c r="AE42" s="47" t="b">
        <f>if(countifs('Kingswood, UK'!Q:Q,$A42,'Kingswood, UK'!$I:$I,TRUE),TRUE,FALSE)</f>
        <v>0</v>
      </c>
      <c r="AF42" s="47" t="b">
        <f>if(countifs('Hagerstown, USA'!Q:Q,$A42,'Hagerstown, USA'!$I:$I,TRUE),TRUE,FALSE)</f>
        <v>0</v>
      </c>
      <c r="AG42" s="47" t="b">
        <f>if(countifs('Felsogalla, HU'!Q:Q,$A42,'Felsogalla, HU'!$I:$I,TRUE),TRUE,FALSE)</f>
        <v>0</v>
      </c>
      <c r="AH42" s="47" t="b">
        <f>if(countifs('Norlane, AUS'!Q:Q,$A42,'Norlane, AUS'!$I:$I,TRUE),TRUE,FALSE)</f>
        <v>0</v>
      </c>
      <c r="AI42" s="47" t="b">
        <f>if(countifs('Meitingen, GER'!Q:Q,$A42,'Meitingen, GER'!$I:$I,TRUE),TRUE,FALSE)</f>
        <v>0</v>
      </c>
      <c r="AJ42" s="47" t="b">
        <f>if(countifs('Groningen, NL'!Q:Q,$A42,'Groningen, NL'!$I:$I,TRUE),TRUE,FALSE)</f>
        <v>0</v>
      </c>
      <c r="AK42" s="47" t="b">
        <f>if(countifs('Linköping, SW'!Q:Q,$A42,'Linköping, SW'!$I:$I,TRUE),TRUE,FALSE)</f>
        <v>0</v>
      </c>
      <c r="AL42" s="47" t="b">
        <f>if(countifs('Austin, USA'!Q:Q,$A42,'Austin, USA'!$I:$I,TRUE),TRUE,FALSE)</f>
        <v>0</v>
      </c>
      <c r="AM42" s="47" t="b">
        <f>if(countifs('Thringstone, UK'!Q:Q,$A42,'Thringstone, UK'!$I:$I,TRUE),TRUE,FALSE)</f>
        <v>0</v>
      </c>
      <c r="AN42" s="47" t="b">
        <f>if(countifs('Andover, UK'!Q:Q,$A42,'Andover, UK'!$I:$I,TRUE),TRUE,FALSE)</f>
        <v>0</v>
      </c>
      <c r="AO42" s="47" t="b">
        <f>if(countifs('Ospel, NL'!Q:Q,$A42,'Ospel, NL'!$I:$I,TRUE),TRUE,FALSE)</f>
        <v>0</v>
      </c>
      <c r="AP42" s="47" t="b">
        <f>if(countifs('Wonthaggi, AUS'!Q:Q,$A42,'Wonthaggi, AUS'!$I:$I,TRUE),TRUE,FALSE)</f>
        <v>0</v>
      </c>
      <c r="AQ42" s="47" t="b">
        <f>if(countifs('Falling_Waters, USA'!$Q:$Q,$A42,'Falling_Waters, USA'!$I:$I,TRUE),TRUE,FALSE)</f>
        <v>0</v>
      </c>
      <c r="AR42" s="47" t="b">
        <f>if(countifs('Kelmscott, AUS'!Q:Q,$A42,'Kelmscott, AUS'!$I:$I,TRUE),TRUE,FALSE)</f>
        <v>0</v>
      </c>
    </row>
    <row r="43">
      <c r="A43" s="47" t="str">
        <f>IFERROR(__xludf.DUMMYFUNCTION("""COMPUTED_VALUE"""),"halizwein")</f>
        <v>halizwein</v>
      </c>
      <c r="B43" s="47">
        <f t="shared" si="1"/>
        <v>2</v>
      </c>
      <c r="C43" s="47" t="b">
        <v>0</v>
      </c>
      <c r="D43" s="47" t="b">
        <v>0</v>
      </c>
      <c r="E43" s="47" t="b">
        <v>0</v>
      </c>
      <c r="F43" s="47" t="b">
        <v>0</v>
      </c>
      <c r="G43" s="96"/>
      <c r="H43" s="96" t="b">
        <f>if(countifs('Berlin, GER'!Q:Q,A43,'Berlin, GER'!I:I,TRUE),TRUE,FALSE)</f>
        <v>1</v>
      </c>
      <c r="I43" s="96" t="b">
        <f>if(countifs('Escondido, USA'!Q:Q,A43,'Escondido, USA'!I:I,TRUE),TRUE,FALSE)</f>
        <v>0</v>
      </c>
      <c r="J43" s="96" t="b">
        <f>if(countifs('Onkaparinga_Hills, AUS'!Q:Q,A43,'Onkaparinga_Hills, AUS'!I:I,TRUE),TRUE,FALSE)</f>
        <v>0</v>
      </c>
      <c r="K43" s="96" t="b">
        <f>if(countifs('Perth, AUS'!Q:Q,A43,'Perth, AUS'!I:I,TRUE),TRUE,FALSE)</f>
        <v>0</v>
      </c>
      <c r="L43" s="96" t="b">
        <f>if(countifs('Raleigh, USA'!Q:Q,A43,'Raleigh, USA'!I:I,TRUE),TRUE,FALSE)</f>
        <v>0</v>
      </c>
      <c r="M43" s="96" t="b">
        <f>if(countifs('Browns Plains, AUS'!Q:Q,A43,'Browns Plains, AUS'!I:I,TRUE),TRUE,FALSE)</f>
        <v>0</v>
      </c>
      <c r="N43" s="96" t="b">
        <f>if(countifs('Brossard, CAN'!Q:Q,A43,'Brossard, CAN'!I:I,TRUE),TRUE,FALSE)</f>
        <v>0</v>
      </c>
      <c r="O43" s="96" t="b">
        <f>if(countifs('Gouda, NL'!Q:Q,$A43,'Gouda, NL'!$I:$I,TRUE),TRUE,FALSE)</f>
        <v>0</v>
      </c>
      <c r="P43" s="47" t="b">
        <f>if(countifs('Plympton, UK'!Q:Q,$A43,'Plympton, UK'!$I:$I,TRUE),TRUE,FALSE)</f>
        <v>0</v>
      </c>
      <c r="Q43" s="47" t="b">
        <f>if(countifs('Glen Oaks, USA'!Q:Q,$A43,'Glen Oaks, USA'!$I:$I,TRUE),TRUE,FALSE)</f>
        <v>0</v>
      </c>
      <c r="R43" s="47" t="b">
        <f>if(countifs('Chemnitz, GER'!Q:Q,$A43,'Chemnitz, GER'!I:I,TRUE),TRUE,FALSE)</f>
        <v>0</v>
      </c>
      <c r="S43" s="47" t="b">
        <f>if(countifs('Vosselaar, BE'!Q:Q,$A43,'Vosselaar, BE'!$I:$I,TRUE),TRUE,FALSE)</f>
        <v>0</v>
      </c>
      <c r="T43" s="47" t="b">
        <f>if(countifs('MHQ, USA'!Q:Q,$A43,'MHQ, USA'!$I:$I,TRUE),TRUE,FALSE)</f>
        <v>1</v>
      </c>
      <c r="U43" s="47" t="b">
        <f>if(countifs('Morayfield, AUS'!Q:Q,$A43,'Morayfield, AUS'!$I:$I,TRUE),TRUE,FALSE)</f>
        <v>0</v>
      </c>
      <c r="V43" s="11" t="b">
        <f>if(countifs('Arnhem, NL'!Q:Q,$A43,'Arnhem, NL'!$I:$I,TRUE),TRUE,FALSE)</f>
        <v>0</v>
      </c>
      <c r="W43" s="47" t="b">
        <f>if(countifs('Gotenborg, SW'!Q:Q,$A43,'Gotenborg, SW'!$I:$I,TRUE),TRUE,FALSE)</f>
        <v>0</v>
      </c>
      <c r="X43" s="47" t="b">
        <f>if(countifs('Shepparton, AUS'!Q:Q,$A43,'Shepparton, AUS'!$I:$I,TRUE),TRUE,FALSE)</f>
        <v>0</v>
      </c>
      <c r="Y43" s="47" t="b">
        <f>if(countifs('Hoofddorp, NL'!Q:Q,$A43,'Hoofddorp, NL'!$I:$I,TRUE),TRUE,FALSE)</f>
        <v>0</v>
      </c>
      <c r="Z43" s="47" t="b">
        <f>if(countifs('Bedford, UK'!Q:Q,$A43,'Bedford, UK'!$I:$I,TRUE),TRUE,FALSE)</f>
        <v>0</v>
      </c>
      <c r="AA43" s="47" t="b">
        <f>IF(COUNTIFS('Desert Lodge, USA'!Q:Q,$A43,'Desert Lodge, USA'!I:I,TRUE),TRUE,FALSE)</f>
        <v>0</v>
      </c>
      <c r="AB43" s="47" t="b">
        <f>if(countifs('Dapto, AUS'!Q:Q,$A43,'Dapto, AUS'!$I:$I,TRUE),TRUE,FALSE)</f>
        <v>0</v>
      </c>
      <c r="AC43" s="47" t="b">
        <f>if(countifs('New Westminster, CAN'!Q:Q,$A43,'New Westminster, CAN'!$I:$I,TRUE),TRUE,FALSE)</f>
        <v>0</v>
      </c>
      <c r="AD43" s="47" t="b">
        <f>if(countifs('Georgetown, CAN'!Q:Q,$A43,'Georgetown, CAN'!$I:$I,TRUE),TRUE,FALSE)</f>
        <v>0</v>
      </c>
      <c r="AE43" s="47" t="b">
        <f>if(countifs('Kingswood, UK'!Q:Q,$A43,'Kingswood, UK'!$I:$I,TRUE),TRUE,FALSE)</f>
        <v>0</v>
      </c>
      <c r="AF43" s="47" t="b">
        <f>if(countifs('Hagerstown, USA'!Q:Q,$A43,'Hagerstown, USA'!$I:$I,TRUE),TRUE,FALSE)</f>
        <v>0</v>
      </c>
      <c r="AG43" s="47" t="b">
        <f>if(countifs('Felsogalla, HU'!Q:Q,$A43,'Felsogalla, HU'!$I:$I,TRUE),TRUE,FALSE)</f>
        <v>0</v>
      </c>
      <c r="AH43" s="47" t="b">
        <f>if(countifs('Norlane, AUS'!Q:Q,$A43,'Norlane, AUS'!$I:$I,TRUE),TRUE,FALSE)</f>
        <v>0</v>
      </c>
      <c r="AI43" s="47" t="b">
        <f>if(countifs('Meitingen, GER'!Q:Q,$A43,'Meitingen, GER'!$I:$I,TRUE),TRUE,FALSE)</f>
        <v>0</v>
      </c>
      <c r="AJ43" s="47" t="b">
        <f>if(countifs('Groningen, NL'!Q:Q,$A43,'Groningen, NL'!$I:$I,TRUE),TRUE,FALSE)</f>
        <v>0</v>
      </c>
      <c r="AK43" s="47" t="b">
        <f>if(countifs('Linköping, SW'!Q:Q,$A43,'Linköping, SW'!$I:$I,TRUE),TRUE,FALSE)</f>
        <v>0</v>
      </c>
      <c r="AL43" s="47" t="b">
        <f>if(countifs('Austin, USA'!Q:Q,$A43,'Austin, USA'!$I:$I,TRUE),TRUE,FALSE)</f>
        <v>0</v>
      </c>
      <c r="AM43" s="47" t="b">
        <f>if(countifs('Thringstone, UK'!Q:Q,$A43,'Thringstone, UK'!$I:$I,TRUE),TRUE,FALSE)</f>
        <v>0</v>
      </c>
      <c r="AN43" s="47" t="b">
        <f>if(countifs('Andover, UK'!Q:Q,$A43,'Andover, UK'!$I:$I,TRUE),TRUE,FALSE)</f>
        <v>0</v>
      </c>
      <c r="AO43" s="47" t="b">
        <f>if(countifs('Ospel, NL'!Q:Q,$A43,'Ospel, NL'!$I:$I,TRUE),TRUE,FALSE)</f>
        <v>0</v>
      </c>
      <c r="AP43" s="47" t="b">
        <f>if(countifs('Wonthaggi, AUS'!Q:Q,$A43,'Wonthaggi, AUS'!$I:$I,TRUE),TRUE,FALSE)</f>
        <v>0</v>
      </c>
      <c r="AQ43" s="47" t="b">
        <f>if(countifs('Falling_Waters, USA'!$Q:$Q,$A43,'Falling_Waters, USA'!$I:$I,TRUE),TRUE,FALSE)</f>
        <v>0</v>
      </c>
      <c r="AR43" s="47" t="b">
        <f>if(countifs('Kelmscott, AUS'!Q:Q,$A43,'Kelmscott, AUS'!$I:$I,TRUE),TRUE,FALSE)</f>
        <v>0</v>
      </c>
    </row>
    <row r="44">
      <c r="A44" s="47" t="str">
        <f>IFERROR(__xludf.DUMMYFUNCTION("""COMPUTED_VALUE"""),"Tinake1309")</f>
        <v>Tinake1309</v>
      </c>
      <c r="B44" s="47">
        <f t="shared" si="1"/>
        <v>35</v>
      </c>
      <c r="C44" s="47" t="b">
        <v>0</v>
      </c>
      <c r="D44" s="47" t="b">
        <v>0</v>
      </c>
      <c r="E44" s="47" t="b">
        <v>0</v>
      </c>
      <c r="F44" s="47" t="b">
        <v>0</v>
      </c>
      <c r="G44" s="96"/>
      <c r="H44" s="96" t="b">
        <f>if(countifs('Berlin, GER'!Q:Q,A44,'Berlin, GER'!I:I,TRUE),TRUE,FALSE)</f>
        <v>1</v>
      </c>
      <c r="I44" s="96" t="b">
        <f>if(countifs('Escondido, USA'!Q:Q,A44,'Escondido, USA'!I:I,TRUE),TRUE,FALSE)</f>
        <v>1</v>
      </c>
      <c r="J44" s="96" t="b">
        <f>if(countifs('Onkaparinga_Hills, AUS'!Q:Q,A44,'Onkaparinga_Hills, AUS'!I:I,TRUE),TRUE,FALSE)</f>
        <v>1</v>
      </c>
      <c r="K44" s="96" t="b">
        <f>if(countifs('Perth, AUS'!Q:Q,A44,'Perth, AUS'!I:I,TRUE),TRUE,FALSE)</f>
        <v>1</v>
      </c>
      <c r="L44" s="96" t="b">
        <f>if(countifs('Raleigh, USA'!Q:Q,A44,'Raleigh, USA'!I:I,TRUE),TRUE,FALSE)</f>
        <v>1</v>
      </c>
      <c r="M44" s="96" t="b">
        <f>if(countifs('Browns Plains, AUS'!Q:Q,A44,'Browns Plains, AUS'!I:I,TRUE),TRUE,FALSE)</f>
        <v>1</v>
      </c>
      <c r="N44" s="96" t="b">
        <f>if(countifs('Brossard, CAN'!Q:Q,A44,'Brossard, CAN'!I:I,TRUE),TRUE,FALSE)</f>
        <v>1</v>
      </c>
      <c r="O44" s="96" t="b">
        <f>if(countifs('Gouda, NL'!Q:Q,$A44,'Gouda, NL'!$I:$I,TRUE),TRUE,FALSE)</f>
        <v>1</v>
      </c>
      <c r="P44" s="47" t="b">
        <f>if(countifs('Plympton, UK'!Q:Q,$A44,'Plympton, UK'!$I:$I,TRUE),TRUE,FALSE)</f>
        <v>1</v>
      </c>
      <c r="Q44" s="47" t="b">
        <f>if(countifs('Glen Oaks, USA'!Q:Q,$A44,'Glen Oaks, USA'!$I:$I,TRUE),TRUE,FALSE)</f>
        <v>1</v>
      </c>
      <c r="R44" s="47" t="b">
        <f>if(countifs('Chemnitz, GER'!Q:Q,$A44,'Chemnitz, GER'!I:I,TRUE),TRUE,FALSE)</f>
        <v>1</v>
      </c>
      <c r="S44" s="47" t="b">
        <f>if(countifs('Vosselaar, BE'!Q:Q,$A44,'Vosselaar, BE'!$I:$I,TRUE),TRUE,FALSE)</f>
        <v>1</v>
      </c>
      <c r="T44" s="47" t="b">
        <f>if(countifs('MHQ, USA'!Q:Q,$A44,'MHQ, USA'!$I:$I,TRUE),TRUE,FALSE)</f>
        <v>1</v>
      </c>
      <c r="U44" s="47" t="b">
        <f>if(countifs('Morayfield, AUS'!Q:Q,$A44,'Morayfield, AUS'!$I:$I,TRUE),TRUE,FALSE)</f>
        <v>1</v>
      </c>
      <c r="V44" s="11" t="b">
        <f>if(countifs('Arnhem, NL'!Q:Q,$A44,'Arnhem, NL'!$I:$I,TRUE),TRUE,FALSE)</f>
        <v>0</v>
      </c>
      <c r="W44" s="47" t="b">
        <f>if(countifs('Gotenborg, SW'!Q:Q,$A44,'Gotenborg, SW'!$I:$I,TRUE),TRUE,FALSE)</f>
        <v>1</v>
      </c>
      <c r="X44" s="47" t="b">
        <f>if(countifs('Shepparton, AUS'!Q:Q,$A44,'Shepparton, AUS'!$I:$I,TRUE),TRUE,FALSE)</f>
        <v>1</v>
      </c>
      <c r="Y44" s="47" t="b">
        <f>if(countifs('Hoofddorp, NL'!Q:Q,$A44,'Hoofddorp, NL'!$I:$I,TRUE),TRUE,FALSE)</f>
        <v>1</v>
      </c>
      <c r="Z44" s="47" t="b">
        <f>if(countifs('Bedford, UK'!Q:Q,$A44,'Bedford, UK'!$I:$I,TRUE),TRUE,FALSE)</f>
        <v>1</v>
      </c>
      <c r="AA44" s="47" t="b">
        <f>IF(COUNTIFS('Desert Lodge, USA'!Q:Q,$A44,'Desert Lodge, USA'!I:I,TRUE),TRUE,FALSE)</f>
        <v>1</v>
      </c>
      <c r="AB44" s="47" t="b">
        <f>if(countifs('Dapto, AUS'!Q:Q,$A44,'Dapto, AUS'!$I:$I,TRUE),TRUE,FALSE)</f>
        <v>1</v>
      </c>
      <c r="AC44" s="47" t="b">
        <f>if(countifs('New Westminster, CAN'!Q:Q,$A44,'New Westminster, CAN'!$I:$I,TRUE),TRUE,FALSE)</f>
        <v>1</v>
      </c>
      <c r="AD44" s="47" t="b">
        <f>if(countifs('Georgetown, CAN'!Q:Q,$A44,'Georgetown, CAN'!$I:$I,TRUE),TRUE,FALSE)</f>
        <v>1</v>
      </c>
      <c r="AE44" s="47" t="b">
        <f>if(countifs('Kingswood, UK'!Q:Q,$A44,'Kingswood, UK'!$I:$I,TRUE),TRUE,FALSE)</f>
        <v>1</v>
      </c>
      <c r="AF44" s="47" t="b">
        <f>if(countifs('Hagerstown, USA'!Q:Q,$A44,'Hagerstown, USA'!$I:$I,TRUE),TRUE,FALSE)</f>
        <v>1</v>
      </c>
      <c r="AG44" s="47" t="b">
        <f>if(countifs('Felsogalla, HU'!Q:Q,$A44,'Felsogalla, HU'!$I:$I,TRUE),TRUE,FALSE)</f>
        <v>1</v>
      </c>
      <c r="AH44" s="47" t="b">
        <f>if(countifs('Norlane, AUS'!Q:Q,$A44,'Norlane, AUS'!$I:$I,TRUE),TRUE,FALSE)</f>
        <v>1</v>
      </c>
      <c r="AI44" s="47" t="b">
        <f>if(countifs('Meitingen, GER'!Q:Q,$A44,'Meitingen, GER'!$I:$I,TRUE),TRUE,FALSE)</f>
        <v>1</v>
      </c>
      <c r="AJ44" s="47" t="b">
        <f>if(countifs('Groningen, NL'!Q:Q,$A44,'Groningen, NL'!$I:$I,TRUE),TRUE,FALSE)</f>
        <v>1</v>
      </c>
      <c r="AK44" s="47" t="b">
        <f>if(countifs('Linköping, SW'!Q:Q,$A44,'Linköping, SW'!$I:$I,TRUE),TRUE,FALSE)</f>
        <v>1</v>
      </c>
      <c r="AL44" s="47" t="b">
        <f>if(countifs('Austin, USA'!Q:Q,$A44,'Austin, USA'!$I:$I,TRUE),TRUE,FALSE)</f>
        <v>0</v>
      </c>
      <c r="AM44" s="47" t="b">
        <f>if(countifs('Thringstone, UK'!Q:Q,$A44,'Thringstone, UK'!$I:$I,TRUE),TRUE,FALSE)</f>
        <v>1</v>
      </c>
      <c r="AN44" s="47" t="b">
        <f>if(countifs('Andover, UK'!Q:Q,$A44,'Andover, UK'!$I:$I,TRUE),TRUE,FALSE)</f>
        <v>1</v>
      </c>
      <c r="AO44" s="47" t="b">
        <f>if(countifs('Ospel, NL'!Q:Q,$A44,'Ospel, NL'!$I:$I,TRUE),TRUE,FALSE)</f>
        <v>1</v>
      </c>
      <c r="AP44" s="47" t="b">
        <f>if(countifs('Wonthaggi, AUS'!Q:Q,$A44,'Wonthaggi, AUS'!$I:$I,TRUE),TRUE,FALSE)</f>
        <v>1</v>
      </c>
      <c r="AQ44" s="47" t="b">
        <f>if(countifs('Falling_Waters, USA'!$Q:$Q,$A44,'Falling_Waters, USA'!$I:$I,TRUE),TRUE,FALSE)</f>
        <v>1</v>
      </c>
      <c r="AR44" s="47" t="b">
        <f>if(countifs('Kelmscott, AUS'!Q:Q,$A44,'Kelmscott, AUS'!$I:$I,TRUE),TRUE,FALSE)</f>
        <v>1</v>
      </c>
    </row>
    <row r="45">
      <c r="A45" s="47" t="str">
        <f>IFERROR(__xludf.DUMMYFUNCTION("""COMPUTED_VALUE"""),"Berg14")</f>
        <v>Berg14</v>
      </c>
      <c r="B45" s="47">
        <f t="shared" si="1"/>
        <v>35</v>
      </c>
      <c r="C45" s="47" t="b">
        <v>0</v>
      </c>
      <c r="D45" s="47" t="b">
        <v>0</v>
      </c>
      <c r="E45" s="47" t="b">
        <v>0</v>
      </c>
      <c r="F45" s="47" t="b">
        <v>0</v>
      </c>
      <c r="G45" s="96"/>
      <c r="H45" s="96" t="b">
        <f>if(countifs('Berlin, GER'!Q:Q,A45,'Berlin, GER'!I:I,TRUE),TRUE,FALSE)</f>
        <v>1</v>
      </c>
      <c r="I45" s="96" t="b">
        <f>if(countifs('Escondido, USA'!Q:Q,A45,'Escondido, USA'!I:I,TRUE),TRUE,FALSE)</f>
        <v>1</v>
      </c>
      <c r="J45" s="96" t="b">
        <f>if(countifs('Onkaparinga_Hills, AUS'!Q:Q,A45,'Onkaparinga_Hills, AUS'!I:I,TRUE),TRUE,FALSE)</f>
        <v>1</v>
      </c>
      <c r="K45" s="96" t="b">
        <f>if(countifs('Perth, AUS'!Q:Q,A45,'Perth, AUS'!I:I,TRUE),TRUE,FALSE)</f>
        <v>1</v>
      </c>
      <c r="L45" s="96" t="b">
        <f>if(countifs('Raleigh, USA'!Q:Q,A45,'Raleigh, USA'!I:I,TRUE),TRUE,FALSE)</f>
        <v>1</v>
      </c>
      <c r="M45" s="96" t="b">
        <f>if(countifs('Browns Plains, AUS'!Q:Q,A45,'Browns Plains, AUS'!I:I,TRUE),TRUE,FALSE)</f>
        <v>1</v>
      </c>
      <c r="N45" s="96" t="b">
        <f>if(countifs('Brossard, CAN'!Q:Q,A45,'Brossard, CAN'!I:I,TRUE),TRUE,FALSE)</f>
        <v>1</v>
      </c>
      <c r="O45" s="96" t="b">
        <f>if(countifs('Gouda, NL'!Q:Q,$A45,'Gouda, NL'!$I:$I,TRUE),TRUE,FALSE)</f>
        <v>1</v>
      </c>
      <c r="P45" s="47" t="b">
        <f>if(countifs('Plympton, UK'!Q:Q,$A45,'Plympton, UK'!$I:$I,TRUE),TRUE,FALSE)</f>
        <v>1</v>
      </c>
      <c r="Q45" s="47" t="b">
        <f>if(countifs('Glen Oaks, USA'!Q:Q,$A45,'Glen Oaks, USA'!$I:$I,TRUE),TRUE,FALSE)</f>
        <v>1</v>
      </c>
      <c r="R45" s="47" t="b">
        <f>if(countifs('Chemnitz, GER'!Q:Q,$A45,'Chemnitz, GER'!I:I,TRUE),TRUE,FALSE)</f>
        <v>1</v>
      </c>
      <c r="S45" s="47" t="b">
        <f>if(countifs('Vosselaar, BE'!Q:Q,$A45,'Vosselaar, BE'!$I:$I,TRUE),TRUE,FALSE)</f>
        <v>1</v>
      </c>
      <c r="T45" s="47" t="b">
        <f>if(countifs('MHQ, USA'!Q:Q,$A45,'MHQ, USA'!$I:$I,TRUE),TRUE,FALSE)</f>
        <v>1</v>
      </c>
      <c r="U45" s="47" t="b">
        <f>if(countifs('Morayfield, AUS'!Q:Q,$A45,'Morayfield, AUS'!$I:$I,TRUE),TRUE,FALSE)</f>
        <v>1</v>
      </c>
      <c r="V45" s="11" t="b">
        <f>if(countifs('Arnhem, NL'!Q:Q,$A45,'Arnhem, NL'!$I:$I,TRUE),TRUE,FALSE)</f>
        <v>0</v>
      </c>
      <c r="W45" s="47" t="b">
        <f>if(countifs('Gotenborg, SW'!Q:Q,$A45,'Gotenborg, SW'!$I:$I,TRUE),TRUE,FALSE)</f>
        <v>1</v>
      </c>
      <c r="X45" s="47" t="b">
        <f>if(countifs('Shepparton, AUS'!Q:Q,$A45,'Shepparton, AUS'!$I:$I,TRUE),TRUE,FALSE)</f>
        <v>1</v>
      </c>
      <c r="Y45" s="47" t="b">
        <f>if(countifs('Hoofddorp, NL'!Q:Q,$A45,'Hoofddorp, NL'!$I:$I,TRUE),TRUE,FALSE)</f>
        <v>1</v>
      </c>
      <c r="Z45" s="47" t="b">
        <f>if(countifs('Bedford, UK'!Q:Q,$A45,'Bedford, UK'!$I:$I,TRUE),TRUE,FALSE)</f>
        <v>1</v>
      </c>
      <c r="AA45" s="47" t="b">
        <f>IF(COUNTIFS('Desert Lodge, USA'!Q:Q,$A45,'Desert Lodge, USA'!I:I,TRUE),TRUE,FALSE)</f>
        <v>1</v>
      </c>
      <c r="AB45" s="47" t="b">
        <f>if(countifs('Dapto, AUS'!Q:Q,$A45,'Dapto, AUS'!$I:$I,TRUE),TRUE,FALSE)</f>
        <v>1</v>
      </c>
      <c r="AC45" s="47" t="b">
        <f>if(countifs('New Westminster, CAN'!Q:Q,$A45,'New Westminster, CAN'!$I:$I,TRUE),TRUE,FALSE)</f>
        <v>1</v>
      </c>
      <c r="AD45" s="47" t="b">
        <f>if(countifs('Georgetown, CAN'!Q:Q,$A45,'Georgetown, CAN'!$I:$I,TRUE),TRUE,FALSE)</f>
        <v>1</v>
      </c>
      <c r="AE45" s="47" t="b">
        <f>if(countifs('Kingswood, UK'!Q:Q,$A45,'Kingswood, UK'!$I:$I,TRUE),TRUE,FALSE)</f>
        <v>1</v>
      </c>
      <c r="AF45" s="47" t="b">
        <f>if(countifs('Hagerstown, USA'!Q:Q,$A45,'Hagerstown, USA'!$I:$I,TRUE),TRUE,FALSE)</f>
        <v>1</v>
      </c>
      <c r="AG45" s="47" t="b">
        <f>if(countifs('Felsogalla, HU'!Q:Q,$A45,'Felsogalla, HU'!$I:$I,TRUE),TRUE,FALSE)</f>
        <v>1</v>
      </c>
      <c r="AH45" s="47" t="b">
        <f>if(countifs('Norlane, AUS'!Q:Q,$A45,'Norlane, AUS'!$I:$I,TRUE),TRUE,FALSE)</f>
        <v>1</v>
      </c>
      <c r="AI45" s="47" t="b">
        <f>if(countifs('Meitingen, GER'!Q:Q,$A45,'Meitingen, GER'!$I:$I,TRUE),TRUE,FALSE)</f>
        <v>1</v>
      </c>
      <c r="AJ45" s="47" t="b">
        <f>if(countifs('Groningen, NL'!Q:Q,$A45,'Groningen, NL'!$I:$I,TRUE),TRUE,FALSE)</f>
        <v>1</v>
      </c>
      <c r="AK45" s="47" t="b">
        <f>if(countifs('Linköping, SW'!Q:Q,$A45,'Linköping, SW'!$I:$I,TRUE),TRUE,FALSE)</f>
        <v>1</v>
      </c>
      <c r="AL45" s="47" t="b">
        <f>if(countifs('Austin, USA'!Q:Q,$A45,'Austin, USA'!$I:$I,TRUE),TRUE,FALSE)</f>
        <v>0</v>
      </c>
      <c r="AM45" s="47" t="b">
        <f>if(countifs('Thringstone, UK'!Q:Q,$A45,'Thringstone, UK'!$I:$I,TRUE),TRUE,FALSE)</f>
        <v>1</v>
      </c>
      <c r="AN45" s="47" t="b">
        <f>if(countifs('Andover, UK'!Q:Q,$A45,'Andover, UK'!$I:$I,TRUE),TRUE,FALSE)</f>
        <v>1</v>
      </c>
      <c r="AO45" s="47" t="b">
        <f>if(countifs('Ospel, NL'!Q:Q,$A45,'Ospel, NL'!$I:$I,TRUE),TRUE,FALSE)</f>
        <v>1</v>
      </c>
      <c r="AP45" s="47" t="b">
        <f>if(countifs('Wonthaggi, AUS'!Q:Q,$A45,'Wonthaggi, AUS'!$I:$I,TRUE),TRUE,FALSE)</f>
        <v>1</v>
      </c>
      <c r="AQ45" s="47" t="b">
        <f>if(countifs('Falling_Waters, USA'!$Q:$Q,$A45,'Falling_Waters, USA'!$I:$I,TRUE),TRUE,FALSE)</f>
        <v>1</v>
      </c>
      <c r="AR45" s="47" t="b">
        <f>if(countifs('Kelmscott, AUS'!Q:Q,$A45,'Kelmscott, AUS'!$I:$I,TRUE),TRUE,FALSE)</f>
        <v>1</v>
      </c>
    </row>
    <row r="46">
      <c r="A46" s="47" t="str">
        <f>IFERROR(__xludf.DUMMYFUNCTION("""COMPUTED_VALUE"""),"Niks13")</f>
        <v>Niks13</v>
      </c>
      <c r="B46" s="47">
        <f t="shared" si="1"/>
        <v>35</v>
      </c>
      <c r="C46" s="47" t="b">
        <v>0</v>
      </c>
      <c r="D46" s="47" t="b">
        <v>0</v>
      </c>
      <c r="E46" s="47" t="b">
        <v>0</v>
      </c>
      <c r="F46" s="47" t="b">
        <v>0</v>
      </c>
      <c r="G46" s="96"/>
      <c r="H46" s="96" t="b">
        <f>if(countifs('Berlin, GER'!Q:Q,A46,'Berlin, GER'!I:I,TRUE),TRUE,FALSE)</f>
        <v>1</v>
      </c>
      <c r="I46" s="96" t="b">
        <f>if(countifs('Escondido, USA'!Q:Q,A46,'Escondido, USA'!I:I,TRUE),TRUE,FALSE)</f>
        <v>1</v>
      </c>
      <c r="J46" s="96" t="b">
        <f>if(countifs('Onkaparinga_Hills, AUS'!Q:Q,A46,'Onkaparinga_Hills, AUS'!I:I,TRUE),TRUE,FALSE)</f>
        <v>1</v>
      </c>
      <c r="K46" s="96" t="b">
        <f>if(countifs('Perth, AUS'!Q:Q,A46,'Perth, AUS'!I:I,TRUE),TRUE,FALSE)</f>
        <v>1</v>
      </c>
      <c r="L46" s="96" t="b">
        <f>if(countifs('Raleigh, USA'!Q:Q,A46,'Raleigh, USA'!I:I,TRUE),TRUE,FALSE)</f>
        <v>1</v>
      </c>
      <c r="M46" s="96" t="b">
        <f>if(countifs('Browns Plains, AUS'!Q:Q,A46,'Browns Plains, AUS'!I:I,TRUE),TRUE,FALSE)</f>
        <v>1</v>
      </c>
      <c r="N46" s="96" t="b">
        <f>if(countifs('Brossard, CAN'!Q:Q,A46,'Brossard, CAN'!I:I,TRUE),TRUE,FALSE)</f>
        <v>1</v>
      </c>
      <c r="O46" s="96" t="b">
        <f>if(countifs('Gouda, NL'!Q:Q,$A46,'Gouda, NL'!$I:$I,TRUE),TRUE,FALSE)</f>
        <v>1</v>
      </c>
      <c r="P46" s="47" t="b">
        <f>if(countifs('Plympton, UK'!Q:Q,$A46,'Plympton, UK'!$I:$I,TRUE),TRUE,FALSE)</f>
        <v>1</v>
      </c>
      <c r="Q46" s="47" t="b">
        <f>if(countifs('Glen Oaks, USA'!Q:Q,$A46,'Glen Oaks, USA'!$I:$I,TRUE),TRUE,FALSE)</f>
        <v>1</v>
      </c>
      <c r="R46" s="47" t="b">
        <f>if(countifs('Chemnitz, GER'!Q:Q,$A46,'Chemnitz, GER'!I:I,TRUE),TRUE,FALSE)</f>
        <v>1</v>
      </c>
      <c r="S46" s="47" t="b">
        <f>if(countifs('Vosselaar, BE'!Q:Q,$A46,'Vosselaar, BE'!$I:$I,TRUE),TRUE,FALSE)</f>
        <v>1</v>
      </c>
      <c r="T46" s="47" t="b">
        <f>if(countifs('MHQ, USA'!Q:Q,$A46,'MHQ, USA'!$I:$I,TRUE),TRUE,FALSE)</f>
        <v>1</v>
      </c>
      <c r="U46" s="47" t="b">
        <f>if(countifs('Morayfield, AUS'!Q:Q,$A46,'Morayfield, AUS'!$I:$I,TRUE),TRUE,FALSE)</f>
        <v>1</v>
      </c>
      <c r="V46" s="11" t="b">
        <f>if(countifs('Arnhem, NL'!Q:Q,$A46,'Arnhem, NL'!$I:$I,TRUE),TRUE,FALSE)</f>
        <v>0</v>
      </c>
      <c r="W46" s="47" t="b">
        <f>if(countifs('Gotenborg, SW'!Q:Q,$A46,'Gotenborg, SW'!$I:$I,TRUE),TRUE,FALSE)</f>
        <v>1</v>
      </c>
      <c r="X46" s="47" t="b">
        <f>if(countifs('Shepparton, AUS'!Q:Q,$A46,'Shepparton, AUS'!$I:$I,TRUE),TRUE,FALSE)</f>
        <v>1</v>
      </c>
      <c r="Y46" s="47" t="b">
        <f>if(countifs('Hoofddorp, NL'!Q:Q,$A46,'Hoofddorp, NL'!$I:$I,TRUE),TRUE,FALSE)</f>
        <v>1</v>
      </c>
      <c r="Z46" s="47" t="b">
        <f>if(countifs('Bedford, UK'!Q:Q,$A46,'Bedford, UK'!$I:$I,TRUE),TRUE,FALSE)</f>
        <v>1</v>
      </c>
      <c r="AA46" s="47" t="b">
        <f>IF(COUNTIFS('Desert Lodge, USA'!Q:Q,$A46,'Desert Lodge, USA'!I:I,TRUE),TRUE,FALSE)</f>
        <v>1</v>
      </c>
      <c r="AB46" s="47" t="b">
        <f>if(countifs('Dapto, AUS'!Q:Q,$A46,'Dapto, AUS'!$I:$I,TRUE),TRUE,FALSE)</f>
        <v>1</v>
      </c>
      <c r="AC46" s="47" t="b">
        <f>if(countifs('New Westminster, CAN'!Q:Q,$A46,'New Westminster, CAN'!$I:$I,TRUE),TRUE,FALSE)</f>
        <v>1</v>
      </c>
      <c r="AD46" s="47" t="b">
        <f>if(countifs('Georgetown, CAN'!Q:Q,$A46,'Georgetown, CAN'!$I:$I,TRUE),TRUE,FALSE)</f>
        <v>1</v>
      </c>
      <c r="AE46" s="47" t="b">
        <f>if(countifs('Kingswood, UK'!Q:Q,$A46,'Kingswood, UK'!$I:$I,TRUE),TRUE,FALSE)</f>
        <v>1</v>
      </c>
      <c r="AF46" s="47" t="b">
        <f>if(countifs('Hagerstown, USA'!Q:Q,$A46,'Hagerstown, USA'!$I:$I,TRUE),TRUE,FALSE)</f>
        <v>1</v>
      </c>
      <c r="AG46" s="47" t="b">
        <f>if(countifs('Felsogalla, HU'!Q:Q,$A46,'Felsogalla, HU'!$I:$I,TRUE),TRUE,FALSE)</f>
        <v>1</v>
      </c>
      <c r="AH46" s="47" t="b">
        <f>if(countifs('Norlane, AUS'!Q:Q,$A46,'Norlane, AUS'!$I:$I,TRUE),TRUE,FALSE)</f>
        <v>1</v>
      </c>
      <c r="AI46" s="47" t="b">
        <f>if(countifs('Meitingen, GER'!Q:Q,$A46,'Meitingen, GER'!$I:$I,TRUE),TRUE,FALSE)</f>
        <v>1</v>
      </c>
      <c r="AJ46" s="47" t="b">
        <f>if(countifs('Groningen, NL'!Q:Q,$A46,'Groningen, NL'!$I:$I,TRUE),TRUE,FALSE)</f>
        <v>1</v>
      </c>
      <c r="AK46" s="47" t="b">
        <f>if(countifs('Linköping, SW'!Q:Q,$A46,'Linköping, SW'!$I:$I,TRUE),TRUE,FALSE)</f>
        <v>1</v>
      </c>
      <c r="AL46" s="47" t="b">
        <f>if(countifs('Austin, USA'!Q:Q,$A46,'Austin, USA'!$I:$I,TRUE),TRUE,FALSE)</f>
        <v>0</v>
      </c>
      <c r="AM46" s="47" t="b">
        <f>if(countifs('Thringstone, UK'!Q:Q,$A46,'Thringstone, UK'!$I:$I,TRUE),TRUE,FALSE)</f>
        <v>1</v>
      </c>
      <c r="AN46" s="47" t="b">
        <f>if(countifs('Andover, UK'!Q:Q,$A46,'Andover, UK'!$I:$I,TRUE),TRUE,FALSE)</f>
        <v>1</v>
      </c>
      <c r="AO46" s="47" t="b">
        <f>if(countifs('Ospel, NL'!Q:Q,$A46,'Ospel, NL'!$I:$I,TRUE),TRUE,FALSE)</f>
        <v>1</v>
      </c>
      <c r="AP46" s="47" t="b">
        <f>if(countifs('Wonthaggi, AUS'!Q:Q,$A46,'Wonthaggi, AUS'!$I:$I,TRUE),TRUE,FALSE)</f>
        <v>1</v>
      </c>
      <c r="AQ46" s="47" t="b">
        <f>if(countifs('Falling_Waters, USA'!$Q:$Q,$A46,'Falling_Waters, USA'!$I:$I,TRUE),TRUE,FALSE)</f>
        <v>1</v>
      </c>
      <c r="AR46" s="47" t="b">
        <f>if(countifs('Kelmscott, AUS'!Q:Q,$A46,'Kelmscott, AUS'!$I:$I,TRUE),TRUE,FALSE)</f>
        <v>1</v>
      </c>
    </row>
    <row r="47">
      <c r="A47" s="47" t="str">
        <f>IFERROR(__xludf.DUMMYFUNCTION("""COMPUTED_VALUE"""),"Derlame")</f>
        <v>Derlame</v>
      </c>
      <c r="B47" s="47">
        <f t="shared" si="1"/>
        <v>17</v>
      </c>
      <c r="C47" s="47" t="b">
        <v>0</v>
      </c>
      <c r="D47" s="47" t="b">
        <v>0</v>
      </c>
      <c r="E47" s="47" t="b">
        <v>0</v>
      </c>
      <c r="F47" s="47" t="b">
        <v>0</v>
      </c>
      <c r="G47" s="96"/>
      <c r="H47" s="96" t="b">
        <f>if(countifs('Berlin, GER'!Q:Q,A47,'Berlin, GER'!I:I,TRUE),TRUE,FALSE)</f>
        <v>1</v>
      </c>
      <c r="I47" s="96" t="b">
        <f>if(countifs('Escondido, USA'!Q:Q,A47,'Escondido, USA'!I:I,TRUE),TRUE,FALSE)</f>
        <v>0</v>
      </c>
      <c r="J47" s="96" t="b">
        <f>if(countifs('Onkaparinga_Hills, AUS'!Q:Q,A47,'Onkaparinga_Hills, AUS'!I:I,TRUE),TRUE,FALSE)</f>
        <v>0</v>
      </c>
      <c r="K47" s="96" t="b">
        <f>if(countifs('Perth, AUS'!Q:Q,A47,'Perth, AUS'!I:I,TRUE),TRUE,FALSE)</f>
        <v>1</v>
      </c>
      <c r="L47" s="96" t="b">
        <f>if(countifs('Raleigh, USA'!Q:Q,A47,'Raleigh, USA'!I:I,TRUE),TRUE,FALSE)</f>
        <v>0</v>
      </c>
      <c r="M47" s="96" t="b">
        <f>if(countifs('Browns Plains, AUS'!Q:Q,A47,'Browns Plains, AUS'!I:I,TRUE),TRUE,FALSE)</f>
        <v>1</v>
      </c>
      <c r="N47" s="96" t="b">
        <f>if(countifs('Brossard, CAN'!Q:Q,A47,'Brossard, CAN'!I:I,TRUE),TRUE,FALSE)</f>
        <v>0</v>
      </c>
      <c r="O47" s="96" t="b">
        <f>if(countifs('Gouda, NL'!Q:Q,$A47,'Gouda, NL'!$I:$I,TRUE),TRUE,FALSE)</f>
        <v>1</v>
      </c>
      <c r="P47" s="47" t="b">
        <f>if(countifs('Plympton, UK'!Q:Q,$A47,'Plympton, UK'!$I:$I,TRUE),TRUE,FALSE)</f>
        <v>1</v>
      </c>
      <c r="Q47" s="47" t="b">
        <f>if(countifs('Glen Oaks, USA'!Q:Q,$A47,'Glen Oaks, USA'!$I:$I,TRUE),TRUE,FALSE)</f>
        <v>0</v>
      </c>
      <c r="R47" s="47" t="b">
        <f>if(countifs('Chemnitz, GER'!Q:Q,$A47,'Chemnitz, GER'!I:I,TRUE),TRUE,FALSE)</f>
        <v>1</v>
      </c>
      <c r="S47" s="47" t="b">
        <f>if(countifs('Vosselaar, BE'!Q:Q,$A47,'Vosselaar, BE'!$I:$I,TRUE),TRUE,FALSE)</f>
        <v>1</v>
      </c>
      <c r="T47" s="47" t="b">
        <f>if(countifs('MHQ, USA'!Q:Q,$A47,'MHQ, USA'!$I:$I,TRUE),TRUE,FALSE)</f>
        <v>1</v>
      </c>
      <c r="U47" s="47" t="b">
        <f>if(countifs('Morayfield, AUS'!Q:Q,$A47,'Morayfield, AUS'!$I:$I,TRUE),TRUE,FALSE)</f>
        <v>0</v>
      </c>
      <c r="V47" s="11" t="b">
        <f>if(countifs('Arnhem, NL'!Q:Q,$A47,'Arnhem, NL'!$I:$I,TRUE),TRUE,FALSE)</f>
        <v>0</v>
      </c>
      <c r="W47" s="47" t="b">
        <f>if(countifs('Gotenborg, SW'!Q:Q,$A47,'Gotenborg, SW'!$I:$I,TRUE),TRUE,FALSE)</f>
        <v>1</v>
      </c>
      <c r="X47" s="47" t="b">
        <f>if(countifs('Shepparton, AUS'!Q:Q,$A47,'Shepparton, AUS'!$I:$I,TRUE),TRUE,FALSE)</f>
        <v>1</v>
      </c>
      <c r="Y47" s="47" t="b">
        <f>if(countifs('Hoofddorp, NL'!Q:Q,$A47,'Hoofddorp, NL'!$I:$I,TRUE),TRUE,FALSE)</f>
        <v>1</v>
      </c>
      <c r="Z47" s="47" t="b">
        <f>if(countifs('Bedford, UK'!Q:Q,$A47,'Bedford, UK'!$I:$I,TRUE),TRUE,FALSE)</f>
        <v>1</v>
      </c>
      <c r="AA47" s="47" t="b">
        <f>IF(COUNTIFS('Desert Lodge, USA'!Q:Q,$A47,'Desert Lodge, USA'!I:I,TRUE),TRUE,FALSE)</f>
        <v>1</v>
      </c>
      <c r="AB47" s="47" t="b">
        <f>if(countifs('Dapto, AUS'!Q:Q,$A47,'Dapto, AUS'!$I:$I,TRUE),TRUE,FALSE)</f>
        <v>0</v>
      </c>
      <c r="AC47" s="47" t="b">
        <f>if(countifs('New Westminster, CAN'!Q:Q,$A47,'New Westminster, CAN'!$I:$I,TRUE),TRUE,FALSE)</f>
        <v>1</v>
      </c>
      <c r="AD47" s="47" t="b">
        <f>if(countifs('Georgetown, CAN'!Q:Q,$A47,'Georgetown, CAN'!$I:$I,TRUE),TRUE,FALSE)</f>
        <v>1</v>
      </c>
      <c r="AE47" s="47" t="b">
        <f>if(countifs('Kingswood, UK'!Q:Q,$A47,'Kingswood, UK'!$I:$I,TRUE),TRUE,FALSE)</f>
        <v>0</v>
      </c>
      <c r="AF47" s="47" t="b">
        <f>if(countifs('Hagerstown, USA'!Q:Q,$A47,'Hagerstown, USA'!$I:$I,TRUE),TRUE,FALSE)</f>
        <v>0</v>
      </c>
      <c r="AG47" s="47" t="b">
        <f>if(countifs('Felsogalla, HU'!Q:Q,$A47,'Felsogalla, HU'!$I:$I,TRUE),TRUE,FALSE)</f>
        <v>1</v>
      </c>
      <c r="AH47" s="47" t="b">
        <f>if(countifs('Norlane, AUS'!Q:Q,$A47,'Norlane, AUS'!$I:$I,TRUE),TRUE,FALSE)</f>
        <v>0</v>
      </c>
      <c r="AI47" s="47" t="b">
        <f>if(countifs('Meitingen, GER'!Q:Q,$A47,'Meitingen, GER'!$I:$I,TRUE),TRUE,FALSE)</f>
        <v>1</v>
      </c>
      <c r="AJ47" s="47" t="b">
        <f>if(countifs('Groningen, NL'!Q:Q,$A47,'Groningen, NL'!$I:$I,TRUE),TRUE,FALSE)</f>
        <v>0</v>
      </c>
      <c r="AK47" s="47" t="b">
        <f>if(countifs('Linköping, SW'!Q:Q,$A47,'Linköping, SW'!$I:$I,TRUE),TRUE,FALSE)</f>
        <v>0</v>
      </c>
      <c r="AL47" s="47" t="b">
        <f>if(countifs('Austin, USA'!Q:Q,$A47,'Austin, USA'!$I:$I,TRUE),TRUE,FALSE)</f>
        <v>0</v>
      </c>
      <c r="AM47" s="47" t="b">
        <f>if(countifs('Thringstone, UK'!Q:Q,$A47,'Thringstone, UK'!$I:$I,TRUE),TRUE,FALSE)</f>
        <v>0</v>
      </c>
      <c r="AN47" s="47" t="b">
        <f>if(countifs('Andover, UK'!Q:Q,$A47,'Andover, UK'!$I:$I,TRUE),TRUE,FALSE)</f>
        <v>0</v>
      </c>
      <c r="AO47" s="47" t="b">
        <f>if(countifs('Ospel, NL'!Q:Q,$A47,'Ospel, NL'!$I:$I,TRUE),TRUE,FALSE)</f>
        <v>0</v>
      </c>
      <c r="AP47" s="47" t="b">
        <f>if(countifs('Wonthaggi, AUS'!Q:Q,$A47,'Wonthaggi, AUS'!$I:$I,TRUE),TRUE,FALSE)</f>
        <v>0</v>
      </c>
      <c r="AQ47" s="47" t="b">
        <f>if(countifs('Falling_Waters, USA'!$Q:$Q,$A47,'Falling_Waters, USA'!$I:$I,TRUE),TRUE,FALSE)</f>
        <v>0</v>
      </c>
      <c r="AR47" s="47" t="b">
        <f>if(countifs('Kelmscott, AUS'!Q:Q,$A47,'Kelmscott, AUS'!$I:$I,TRUE),TRUE,FALSE)</f>
        <v>0</v>
      </c>
    </row>
    <row r="48">
      <c r="A48" s="47" t="str">
        <f>IFERROR(__xludf.DUMMYFUNCTION("""COMPUTED_VALUE"""),"Aniara")</f>
        <v>Aniara</v>
      </c>
      <c r="B48" s="47">
        <f t="shared" si="1"/>
        <v>20</v>
      </c>
      <c r="C48" s="11" t="b">
        <v>0</v>
      </c>
      <c r="D48" s="47" t="b">
        <v>0</v>
      </c>
      <c r="E48" s="47" t="b">
        <v>0</v>
      </c>
      <c r="F48" s="47" t="b">
        <v>0</v>
      </c>
      <c r="G48" s="96"/>
      <c r="H48" s="96" t="b">
        <f>if(countifs('Berlin, GER'!Q:Q,A48,'Berlin, GER'!I:I,TRUE),TRUE,FALSE)</f>
        <v>1</v>
      </c>
      <c r="I48" s="96" t="b">
        <f>if(countifs('Escondido, USA'!Q:Q,A48,'Escondido, USA'!I:I,TRUE),TRUE,FALSE)</f>
        <v>1</v>
      </c>
      <c r="J48" s="96" t="b">
        <f>if(countifs('Onkaparinga_Hills, AUS'!Q:Q,A48,'Onkaparinga_Hills, AUS'!I:I,TRUE),TRUE,FALSE)</f>
        <v>1</v>
      </c>
      <c r="K48" s="96" t="b">
        <f>if(countifs('Perth, AUS'!Q:Q,A48,'Perth, AUS'!I:I,TRUE),TRUE,FALSE)</f>
        <v>1</v>
      </c>
      <c r="L48" s="96" t="b">
        <f>if(countifs('Raleigh, USA'!Q:Q,A48,'Raleigh, USA'!I:I,TRUE),TRUE,FALSE)</f>
        <v>1</v>
      </c>
      <c r="M48" s="96" t="b">
        <f>if(countifs('Browns Plains, AUS'!Q:Q,A48,'Browns Plains, AUS'!I:I,TRUE),TRUE,FALSE)</f>
        <v>1</v>
      </c>
      <c r="N48" s="96" t="b">
        <f>if(countifs('Brossard, CAN'!Q:Q,A48,'Brossard, CAN'!I:I,TRUE),TRUE,FALSE)</f>
        <v>0</v>
      </c>
      <c r="O48" s="96" t="b">
        <f>if(countifs('Gouda, NL'!Q:Q,$A48,'Gouda, NL'!$I:$I,TRUE),TRUE,FALSE)</f>
        <v>1</v>
      </c>
      <c r="P48" s="47" t="b">
        <f>if(countifs('Plympton, UK'!Q:Q,$A48,'Plympton, UK'!$I:$I,TRUE),TRUE,FALSE)</f>
        <v>1</v>
      </c>
      <c r="Q48" s="47" t="b">
        <f>if(countifs('Glen Oaks, USA'!Q:Q,$A48,'Glen Oaks, USA'!$I:$I,TRUE),TRUE,FALSE)</f>
        <v>1</v>
      </c>
      <c r="R48" s="47" t="b">
        <f>if(countifs('Chemnitz, GER'!Q:Q,$A48,'Chemnitz, GER'!I:I,TRUE),TRUE,FALSE)</f>
        <v>1</v>
      </c>
      <c r="S48" s="47" t="b">
        <f>if(countifs('Vosselaar, BE'!Q:Q,$A48,'Vosselaar, BE'!$I:$I,TRUE),TRUE,FALSE)</f>
        <v>1</v>
      </c>
      <c r="T48" s="47" t="b">
        <f>if(countifs('MHQ, USA'!Q:Q,$A48,'MHQ, USA'!$I:$I,TRUE),TRUE,FALSE)</f>
        <v>1</v>
      </c>
      <c r="U48" s="47" t="b">
        <f>if(countifs('Morayfield, AUS'!Q:Q,$A48,'Morayfield, AUS'!$I:$I,TRUE),TRUE,FALSE)</f>
        <v>0</v>
      </c>
      <c r="V48" s="11" t="b">
        <f>if(countifs('Arnhem, NL'!Q:Q,$A48,'Arnhem, NL'!$I:$I,TRUE),TRUE,FALSE)</f>
        <v>1</v>
      </c>
      <c r="W48" s="47" t="b">
        <f>if(countifs('Gotenborg, SW'!Q:Q,$A48,'Gotenborg, SW'!$I:$I,TRUE),TRUE,FALSE)</f>
        <v>1</v>
      </c>
      <c r="X48" s="47" t="b">
        <f>if(countifs('Shepparton, AUS'!Q:Q,$A48,'Shepparton, AUS'!$I:$I,TRUE),TRUE,FALSE)</f>
        <v>0</v>
      </c>
      <c r="Y48" s="47" t="b">
        <f>if(countifs('Hoofddorp, NL'!Q:Q,$A48,'Hoofddorp, NL'!$I:$I,TRUE),TRUE,FALSE)</f>
        <v>1</v>
      </c>
      <c r="Z48" s="47" t="b">
        <f>if(countifs('Bedford, UK'!Q:Q,$A48,'Bedford, UK'!$I:$I,TRUE),TRUE,FALSE)</f>
        <v>1</v>
      </c>
      <c r="AA48" s="47" t="b">
        <f>IF(COUNTIFS('Desert Lodge, USA'!Q:Q,$A48,'Desert Lodge, USA'!I:I,TRUE),TRUE,FALSE)</f>
        <v>0</v>
      </c>
      <c r="AB48" s="47" t="b">
        <f>if(countifs('Dapto, AUS'!Q:Q,$A48,'Dapto, AUS'!$I:$I,TRUE),TRUE,FALSE)</f>
        <v>0</v>
      </c>
      <c r="AC48" s="47" t="b">
        <f>if(countifs('New Westminster, CAN'!Q:Q,$A48,'New Westminster, CAN'!$I:$I,TRUE),TRUE,FALSE)</f>
        <v>0</v>
      </c>
      <c r="AD48" s="47" t="b">
        <f>if(countifs('Georgetown, CAN'!Q:Q,$A48,'Georgetown, CAN'!$I:$I,TRUE),TRUE,FALSE)</f>
        <v>0</v>
      </c>
      <c r="AE48" s="47" t="b">
        <f>if(countifs('Kingswood, UK'!Q:Q,$A48,'Kingswood, UK'!$I:$I,TRUE),TRUE,FALSE)</f>
        <v>0</v>
      </c>
      <c r="AF48" s="47" t="b">
        <f>if(countifs('Hagerstown, USA'!Q:Q,$A48,'Hagerstown, USA'!$I:$I,TRUE),TRUE,FALSE)</f>
        <v>0</v>
      </c>
      <c r="AG48" s="47" t="b">
        <f>if(countifs('Felsogalla, HU'!Q:Q,$A48,'Felsogalla, HU'!$I:$I,TRUE),TRUE,FALSE)</f>
        <v>1</v>
      </c>
      <c r="AH48" s="47" t="b">
        <f>if(countifs('Norlane, AUS'!Q:Q,$A48,'Norlane, AUS'!$I:$I,TRUE),TRUE,FALSE)</f>
        <v>0</v>
      </c>
      <c r="AI48" s="47" t="b">
        <f>if(countifs('Meitingen, GER'!Q:Q,$A48,'Meitingen, GER'!$I:$I,TRUE),TRUE,FALSE)</f>
        <v>0</v>
      </c>
      <c r="AJ48" s="47" t="b">
        <f>if(countifs('Groningen, NL'!Q:Q,$A48,'Groningen, NL'!$I:$I,TRUE),TRUE,FALSE)</f>
        <v>0</v>
      </c>
      <c r="AK48" s="47" t="b">
        <f>if(countifs('Linköping, SW'!Q:Q,$A48,'Linköping, SW'!$I:$I,TRUE),TRUE,FALSE)</f>
        <v>1</v>
      </c>
      <c r="AL48" s="47" t="b">
        <f>if(countifs('Austin, USA'!Q:Q,$A48,'Austin, USA'!$I:$I,TRUE),TRUE,FALSE)</f>
        <v>0</v>
      </c>
      <c r="AM48" s="47" t="b">
        <f>if(countifs('Thringstone, UK'!Q:Q,$A48,'Thringstone, UK'!$I:$I,TRUE),TRUE,FALSE)</f>
        <v>0</v>
      </c>
      <c r="AN48" s="47" t="b">
        <f>if(countifs('Andover, UK'!Q:Q,$A48,'Andover, UK'!$I:$I,TRUE),TRUE,FALSE)</f>
        <v>0</v>
      </c>
      <c r="AO48" s="47" t="b">
        <f>if(countifs('Ospel, NL'!Q:Q,$A48,'Ospel, NL'!$I:$I,TRUE),TRUE,FALSE)</f>
        <v>1</v>
      </c>
      <c r="AP48" s="47" t="b">
        <f>if(countifs('Wonthaggi, AUS'!Q:Q,$A48,'Wonthaggi, AUS'!$I:$I,TRUE),TRUE,FALSE)</f>
        <v>0</v>
      </c>
      <c r="AQ48" s="47" t="b">
        <f>if(countifs('Falling_Waters, USA'!$Q:$Q,$A48,'Falling_Waters, USA'!$I:$I,TRUE),TRUE,FALSE)</f>
        <v>1</v>
      </c>
      <c r="AR48" s="47" t="b">
        <f>if(countifs('Kelmscott, AUS'!Q:Q,$A48,'Kelmscott, AUS'!$I:$I,TRUE),TRUE,FALSE)</f>
        <v>0</v>
      </c>
    </row>
    <row r="49">
      <c r="A49" s="47" t="str">
        <f>IFERROR(__xludf.DUMMYFUNCTION("""COMPUTED_VALUE"""),"LonelyWalker")</f>
        <v>LonelyWalker</v>
      </c>
      <c r="B49" s="47">
        <f t="shared" si="1"/>
        <v>4</v>
      </c>
      <c r="C49" s="47" t="b">
        <v>0</v>
      </c>
      <c r="D49" s="47" t="b">
        <v>0</v>
      </c>
      <c r="E49" s="47" t="b">
        <v>0</v>
      </c>
      <c r="F49" s="47" t="b">
        <v>0</v>
      </c>
      <c r="G49" s="96"/>
      <c r="H49" s="96" t="b">
        <f>if(countifs('Berlin, GER'!Q:Q,A49,'Berlin, GER'!I:I,TRUE),TRUE,FALSE)</f>
        <v>1</v>
      </c>
      <c r="I49" s="96" t="b">
        <f>if(countifs('Escondido, USA'!Q:Q,A49,'Escondido, USA'!I:I,TRUE),TRUE,FALSE)</f>
        <v>1</v>
      </c>
      <c r="J49" s="96" t="b">
        <f>if(countifs('Onkaparinga_Hills, AUS'!Q:Q,A49,'Onkaparinga_Hills, AUS'!I:I,TRUE),TRUE,FALSE)</f>
        <v>1</v>
      </c>
      <c r="K49" s="96" t="b">
        <f>if(countifs('Perth, AUS'!Q:Q,A49,'Perth, AUS'!I:I,TRUE),TRUE,FALSE)</f>
        <v>1</v>
      </c>
      <c r="L49" s="96" t="b">
        <f>if(countifs('Raleigh, USA'!Q:Q,A49,'Raleigh, USA'!I:I,TRUE),TRUE,FALSE)</f>
        <v>0</v>
      </c>
      <c r="M49" s="96" t="b">
        <f>if(countifs('Browns Plains, AUS'!Q:Q,A49,'Browns Plains, AUS'!I:I,TRUE),TRUE,FALSE)</f>
        <v>0</v>
      </c>
      <c r="N49" s="96" t="b">
        <f>if(countifs('Brossard, CAN'!Q:Q,A49,'Brossard, CAN'!I:I,TRUE),TRUE,FALSE)</f>
        <v>0</v>
      </c>
      <c r="O49" s="96" t="b">
        <f>if(countifs('Gouda, NL'!Q:Q,$A49,'Gouda, NL'!$I:$I,TRUE),TRUE,FALSE)</f>
        <v>0</v>
      </c>
      <c r="P49" s="47" t="b">
        <f>if(countifs('Plympton, UK'!Q:Q,$A49,'Plympton, UK'!$I:$I,TRUE),TRUE,FALSE)</f>
        <v>0</v>
      </c>
      <c r="Q49" s="47" t="b">
        <f>if(countifs('Glen Oaks, USA'!Q:Q,$A49,'Glen Oaks, USA'!$I:$I,TRUE),TRUE,FALSE)</f>
        <v>0</v>
      </c>
      <c r="R49" s="47" t="b">
        <f>if(countifs('Chemnitz, GER'!Q:Q,$A49,'Chemnitz, GER'!I:I,TRUE),TRUE,FALSE)</f>
        <v>0</v>
      </c>
      <c r="S49" s="47" t="b">
        <f>if(countifs('Vosselaar, BE'!Q:Q,$A49,'Vosselaar, BE'!$I:$I,TRUE),TRUE,FALSE)</f>
        <v>0</v>
      </c>
      <c r="T49" s="47" t="b">
        <f>if(countifs('MHQ, USA'!Q:Q,$A49,'MHQ, USA'!$I:$I,TRUE),TRUE,FALSE)</f>
        <v>0</v>
      </c>
      <c r="U49" s="47" t="b">
        <f>if(countifs('Morayfield, AUS'!Q:Q,$A49,'Morayfield, AUS'!$I:$I,TRUE),TRUE,FALSE)</f>
        <v>0</v>
      </c>
      <c r="V49" s="11" t="b">
        <f>if(countifs('Arnhem, NL'!Q:Q,$A49,'Arnhem, NL'!$I:$I,TRUE),TRUE,FALSE)</f>
        <v>0</v>
      </c>
      <c r="W49" s="47" t="b">
        <f>if(countifs('Gotenborg, SW'!Q:Q,$A49,'Gotenborg, SW'!$I:$I,TRUE),TRUE,FALSE)</f>
        <v>0</v>
      </c>
      <c r="X49" s="47" t="b">
        <f>if(countifs('Shepparton, AUS'!Q:Q,$A49,'Shepparton, AUS'!$I:$I,TRUE),TRUE,FALSE)</f>
        <v>0</v>
      </c>
      <c r="Y49" s="47" t="b">
        <f>if(countifs('Hoofddorp, NL'!Q:Q,$A49,'Hoofddorp, NL'!$I:$I,TRUE),TRUE,FALSE)</f>
        <v>0</v>
      </c>
      <c r="Z49" s="47" t="b">
        <f>if(countifs('Bedford, UK'!Q:Q,$A49,'Bedford, UK'!$I:$I,TRUE),TRUE,FALSE)</f>
        <v>0</v>
      </c>
      <c r="AA49" s="47" t="b">
        <f>IF(COUNTIFS('Desert Lodge, USA'!Q:Q,$A49,'Desert Lodge, USA'!I:I,TRUE),TRUE,FALSE)</f>
        <v>0</v>
      </c>
      <c r="AB49" s="47" t="b">
        <f>if(countifs('Dapto, AUS'!Q:Q,$A49,'Dapto, AUS'!$I:$I,TRUE),TRUE,FALSE)</f>
        <v>0</v>
      </c>
      <c r="AC49" s="47" t="b">
        <f>if(countifs('New Westminster, CAN'!Q:Q,$A49,'New Westminster, CAN'!$I:$I,TRUE),TRUE,FALSE)</f>
        <v>0</v>
      </c>
      <c r="AD49" s="47" t="b">
        <f>if(countifs('Georgetown, CAN'!Q:Q,$A49,'Georgetown, CAN'!$I:$I,TRUE),TRUE,FALSE)</f>
        <v>0</v>
      </c>
      <c r="AE49" s="47" t="b">
        <f>if(countifs('Kingswood, UK'!Q:Q,$A49,'Kingswood, UK'!$I:$I,TRUE),TRUE,FALSE)</f>
        <v>0</v>
      </c>
      <c r="AF49" s="47" t="b">
        <f>if(countifs('Hagerstown, USA'!Q:Q,$A49,'Hagerstown, USA'!$I:$I,TRUE),TRUE,FALSE)</f>
        <v>0</v>
      </c>
      <c r="AG49" s="47" t="b">
        <f>if(countifs('Felsogalla, HU'!Q:Q,$A49,'Felsogalla, HU'!$I:$I,TRUE),TRUE,FALSE)</f>
        <v>0</v>
      </c>
      <c r="AH49" s="47" t="b">
        <f>if(countifs('Norlane, AUS'!Q:Q,$A49,'Norlane, AUS'!$I:$I,TRUE),TRUE,FALSE)</f>
        <v>0</v>
      </c>
      <c r="AI49" s="47" t="b">
        <f>if(countifs('Meitingen, GER'!Q:Q,$A49,'Meitingen, GER'!$I:$I,TRUE),TRUE,FALSE)</f>
        <v>0</v>
      </c>
      <c r="AJ49" s="47" t="b">
        <f>if(countifs('Groningen, NL'!Q:Q,$A49,'Groningen, NL'!$I:$I,TRUE),TRUE,FALSE)</f>
        <v>0</v>
      </c>
      <c r="AK49" s="47" t="b">
        <f>if(countifs('Linköping, SW'!Q:Q,$A49,'Linköping, SW'!$I:$I,TRUE),TRUE,FALSE)</f>
        <v>0</v>
      </c>
      <c r="AL49" s="47" t="b">
        <f>if(countifs('Austin, USA'!Q:Q,$A49,'Austin, USA'!$I:$I,TRUE),TRUE,FALSE)</f>
        <v>0</v>
      </c>
      <c r="AM49" s="47" t="b">
        <f>if(countifs('Thringstone, UK'!Q:Q,$A49,'Thringstone, UK'!$I:$I,TRUE),TRUE,FALSE)</f>
        <v>0</v>
      </c>
      <c r="AN49" s="47" t="b">
        <f>if(countifs('Andover, UK'!Q:Q,$A49,'Andover, UK'!$I:$I,TRUE),TRUE,FALSE)</f>
        <v>0</v>
      </c>
      <c r="AO49" s="47" t="b">
        <f>if(countifs('Ospel, NL'!Q:Q,$A49,'Ospel, NL'!$I:$I,TRUE),TRUE,FALSE)</f>
        <v>0</v>
      </c>
      <c r="AP49" s="47" t="b">
        <f>if(countifs('Wonthaggi, AUS'!Q:Q,$A49,'Wonthaggi, AUS'!$I:$I,TRUE),TRUE,FALSE)</f>
        <v>0</v>
      </c>
      <c r="AQ49" s="47" t="b">
        <f>if(countifs('Falling_Waters, USA'!$Q:$Q,$A49,'Falling_Waters, USA'!$I:$I,TRUE),TRUE,FALSE)</f>
        <v>0</v>
      </c>
      <c r="AR49" s="47" t="b">
        <f>if(countifs('Kelmscott, AUS'!Q:Q,$A49,'Kelmscott, AUS'!$I:$I,TRUE),TRUE,FALSE)</f>
        <v>0</v>
      </c>
    </row>
    <row r="50">
      <c r="A50" s="47" t="str">
        <f>IFERROR(__xludf.DUMMYFUNCTION("""COMPUTED_VALUE"""),"Andrew81")</f>
        <v>Andrew81</v>
      </c>
      <c r="B50" s="47">
        <f t="shared" si="1"/>
        <v>4</v>
      </c>
      <c r="C50" s="47" t="b">
        <v>0</v>
      </c>
      <c r="D50" s="47" t="b">
        <v>0</v>
      </c>
      <c r="E50" s="47" t="b">
        <v>0</v>
      </c>
      <c r="F50" s="47" t="b">
        <v>0</v>
      </c>
      <c r="G50" s="96"/>
      <c r="H50" s="96" t="b">
        <f>if(countifs('Berlin, GER'!Q:Q,A50,'Berlin, GER'!I:I,TRUE),TRUE,FALSE)</f>
        <v>0</v>
      </c>
      <c r="I50" s="96" t="b">
        <f>if(countifs('Escondido, USA'!Q:Q,A50,'Escondido, USA'!I:I,TRUE),TRUE,FALSE)</f>
        <v>1</v>
      </c>
      <c r="J50" s="96" t="b">
        <f>if(countifs('Onkaparinga_Hills, AUS'!Q:Q,A50,'Onkaparinga_Hills, AUS'!I:I,TRUE),TRUE,FALSE)</f>
        <v>0</v>
      </c>
      <c r="K50" s="96" t="b">
        <f>if(countifs('Perth, AUS'!Q:Q,A50,'Perth, AUS'!I:I,TRUE),TRUE,FALSE)</f>
        <v>1</v>
      </c>
      <c r="L50" s="96" t="b">
        <f>if(countifs('Raleigh, USA'!Q:Q,A50,'Raleigh, USA'!I:I,TRUE),TRUE,FALSE)</f>
        <v>1</v>
      </c>
      <c r="M50" s="96" t="b">
        <f>if(countifs('Browns Plains, AUS'!Q:Q,A50,'Browns Plains, AUS'!I:I,TRUE),TRUE,FALSE)</f>
        <v>0</v>
      </c>
      <c r="N50" s="96" t="b">
        <f>if(countifs('Brossard, CAN'!Q:Q,A50,'Brossard, CAN'!I:I,TRUE),TRUE,FALSE)</f>
        <v>0</v>
      </c>
      <c r="O50" s="96" t="b">
        <f>if(countifs('Gouda, NL'!Q:Q,$A50,'Gouda, NL'!$I:$I,TRUE),TRUE,FALSE)</f>
        <v>0</v>
      </c>
      <c r="P50" s="47" t="b">
        <f>if(countifs('Plympton, UK'!Q:Q,$A50,'Plympton, UK'!$I:$I,TRUE),TRUE,FALSE)</f>
        <v>0</v>
      </c>
      <c r="Q50" s="47" t="b">
        <f>if(countifs('Glen Oaks, USA'!Q:Q,$A50,'Glen Oaks, USA'!$I:$I,TRUE),TRUE,FALSE)</f>
        <v>0</v>
      </c>
      <c r="R50" s="47" t="b">
        <f>if(countifs('Chemnitz, GER'!Q:Q,$A50,'Chemnitz, GER'!I:I,TRUE),TRUE,FALSE)</f>
        <v>0</v>
      </c>
      <c r="S50" s="47" t="b">
        <f>if(countifs('Vosselaar, BE'!Q:Q,$A50,'Vosselaar, BE'!$I:$I,TRUE),TRUE,FALSE)</f>
        <v>0</v>
      </c>
      <c r="T50" s="47" t="b">
        <f>if(countifs('MHQ, USA'!Q:Q,$A50,'MHQ, USA'!$I:$I,TRUE),TRUE,FALSE)</f>
        <v>0</v>
      </c>
      <c r="U50" s="47" t="b">
        <f>if(countifs('Morayfield, AUS'!Q:Q,$A50,'Morayfield, AUS'!$I:$I,TRUE),TRUE,FALSE)</f>
        <v>0</v>
      </c>
      <c r="V50" s="11" t="b">
        <f>if(countifs('Arnhem, NL'!Q:Q,$A50,'Arnhem, NL'!$I:$I,TRUE),TRUE,FALSE)</f>
        <v>0</v>
      </c>
      <c r="W50" s="47" t="b">
        <f>if(countifs('Gotenborg, SW'!Q:Q,$A50,'Gotenborg, SW'!$I:$I,TRUE),TRUE,FALSE)</f>
        <v>0</v>
      </c>
      <c r="X50" s="47" t="b">
        <f>if(countifs('Shepparton, AUS'!Q:Q,$A50,'Shepparton, AUS'!$I:$I,TRUE),TRUE,FALSE)</f>
        <v>0</v>
      </c>
      <c r="Y50" s="47" t="b">
        <f>if(countifs('Hoofddorp, NL'!Q:Q,$A50,'Hoofddorp, NL'!$I:$I,TRUE),TRUE,FALSE)</f>
        <v>0</v>
      </c>
      <c r="Z50" s="47" t="b">
        <f>if(countifs('Bedford, UK'!Q:Q,$A50,'Bedford, UK'!$I:$I,TRUE),TRUE,FALSE)</f>
        <v>0</v>
      </c>
      <c r="AA50" s="47" t="b">
        <f>IF(COUNTIFS('Desert Lodge, USA'!Q:Q,$A50,'Desert Lodge, USA'!I:I,TRUE),TRUE,FALSE)</f>
        <v>0</v>
      </c>
      <c r="AB50" s="47" t="b">
        <f>if(countifs('Dapto, AUS'!Q:Q,$A50,'Dapto, AUS'!$I:$I,TRUE),TRUE,FALSE)</f>
        <v>0</v>
      </c>
      <c r="AC50" s="47" t="b">
        <f>if(countifs('New Westminster, CAN'!Q:Q,$A50,'New Westminster, CAN'!$I:$I,TRUE),TRUE,FALSE)</f>
        <v>0</v>
      </c>
      <c r="AD50" s="47" t="b">
        <f>if(countifs('Georgetown, CAN'!Q:Q,$A50,'Georgetown, CAN'!$I:$I,TRUE),TRUE,FALSE)</f>
        <v>0</v>
      </c>
      <c r="AE50" s="47" t="b">
        <f>if(countifs('Kingswood, UK'!Q:Q,$A50,'Kingswood, UK'!$I:$I,TRUE),TRUE,FALSE)</f>
        <v>0</v>
      </c>
      <c r="AF50" s="47" t="b">
        <f>if(countifs('Hagerstown, USA'!Q:Q,$A50,'Hagerstown, USA'!$I:$I,TRUE),TRUE,FALSE)</f>
        <v>0</v>
      </c>
      <c r="AG50" s="47" t="b">
        <f>if(countifs('Felsogalla, HU'!Q:Q,$A50,'Felsogalla, HU'!$I:$I,TRUE),TRUE,FALSE)</f>
        <v>0</v>
      </c>
      <c r="AH50" s="47" t="b">
        <f>if(countifs('Norlane, AUS'!Q:Q,$A50,'Norlane, AUS'!$I:$I,TRUE),TRUE,FALSE)</f>
        <v>0</v>
      </c>
      <c r="AI50" s="47" t="b">
        <f>if(countifs('Meitingen, GER'!Q:Q,$A50,'Meitingen, GER'!$I:$I,TRUE),TRUE,FALSE)</f>
        <v>0</v>
      </c>
      <c r="AJ50" s="47" t="b">
        <f>if(countifs('Groningen, NL'!Q:Q,$A50,'Groningen, NL'!$I:$I,TRUE),TRUE,FALSE)</f>
        <v>0</v>
      </c>
      <c r="AK50" s="47" t="b">
        <f>if(countifs('Linköping, SW'!Q:Q,$A50,'Linköping, SW'!$I:$I,TRUE),TRUE,FALSE)</f>
        <v>0</v>
      </c>
      <c r="AL50" s="47" t="b">
        <f>if(countifs('Austin, USA'!Q:Q,$A50,'Austin, USA'!$I:$I,TRUE),TRUE,FALSE)</f>
        <v>0</v>
      </c>
      <c r="AM50" s="47" t="b">
        <f>if(countifs('Thringstone, UK'!Q:Q,$A50,'Thringstone, UK'!$I:$I,TRUE),TRUE,FALSE)</f>
        <v>0</v>
      </c>
      <c r="AN50" s="47" t="b">
        <f>if(countifs('Andover, UK'!Q:Q,$A50,'Andover, UK'!$I:$I,TRUE),TRUE,FALSE)</f>
        <v>0</v>
      </c>
      <c r="AO50" s="47" t="b">
        <f>if(countifs('Ospel, NL'!Q:Q,$A50,'Ospel, NL'!$I:$I,TRUE),TRUE,FALSE)</f>
        <v>1</v>
      </c>
      <c r="AP50" s="47" t="b">
        <f>if(countifs('Wonthaggi, AUS'!Q:Q,$A50,'Wonthaggi, AUS'!$I:$I,TRUE),TRUE,FALSE)</f>
        <v>0</v>
      </c>
      <c r="AQ50" s="47" t="b">
        <f>if(countifs('Falling_Waters, USA'!$Q:$Q,$A50,'Falling_Waters, USA'!$I:$I,TRUE),TRUE,FALSE)</f>
        <v>0</v>
      </c>
      <c r="AR50" s="47" t="b">
        <f>if(countifs('Kelmscott, AUS'!Q:Q,$A50,'Kelmscott, AUS'!$I:$I,TRUE),TRUE,FALSE)</f>
        <v>0</v>
      </c>
    </row>
    <row r="51">
      <c r="A51" s="47" t="str">
        <f>IFERROR(__xludf.DUMMYFUNCTION("""COMPUTED_VALUE"""),"Questing4")</f>
        <v>Questing4</v>
      </c>
      <c r="B51" s="47">
        <f t="shared" si="1"/>
        <v>5</v>
      </c>
      <c r="C51" s="47" t="b">
        <v>0</v>
      </c>
      <c r="D51" s="47" t="b">
        <v>0</v>
      </c>
      <c r="E51" s="47" t="b">
        <v>0</v>
      </c>
      <c r="F51" s="47" t="b">
        <v>0</v>
      </c>
      <c r="G51" s="96"/>
      <c r="H51" s="96" t="b">
        <f>if(countifs('Berlin, GER'!Q:Q,A51,'Berlin, GER'!I:I,TRUE),TRUE,FALSE)</f>
        <v>0</v>
      </c>
      <c r="I51" s="96" t="b">
        <f>if(countifs('Escondido, USA'!Q:Q,A51,'Escondido, USA'!I:I,TRUE),TRUE,FALSE)</f>
        <v>1</v>
      </c>
      <c r="J51" s="96" t="b">
        <f>if(countifs('Onkaparinga_Hills, AUS'!Q:Q,A51,'Onkaparinga_Hills, AUS'!I:I,TRUE),TRUE,FALSE)</f>
        <v>1</v>
      </c>
      <c r="K51" s="96" t="b">
        <f>if(countifs('Perth, AUS'!Q:Q,A51,'Perth, AUS'!I:I,TRUE),TRUE,FALSE)</f>
        <v>1</v>
      </c>
      <c r="L51" s="96" t="b">
        <f>if(countifs('Raleigh, USA'!Q:Q,A51,'Raleigh, USA'!I:I,TRUE),TRUE,FALSE)</f>
        <v>1</v>
      </c>
      <c r="M51" s="96" t="b">
        <f>if(countifs('Browns Plains, AUS'!Q:Q,A51,'Browns Plains, AUS'!I:I,TRUE),TRUE,FALSE)</f>
        <v>1</v>
      </c>
      <c r="N51" s="96" t="b">
        <f>if(countifs('Brossard, CAN'!Q:Q,A51,'Brossard, CAN'!I:I,TRUE),TRUE,FALSE)</f>
        <v>0</v>
      </c>
      <c r="O51" s="96" t="b">
        <f>if(countifs('Gouda, NL'!Q:Q,$A51,'Gouda, NL'!$I:$I,TRUE),TRUE,FALSE)</f>
        <v>0</v>
      </c>
      <c r="P51" s="47" t="b">
        <f>if(countifs('Plympton, UK'!Q:Q,$A51,'Plympton, UK'!$I:$I,TRUE),TRUE,FALSE)</f>
        <v>0</v>
      </c>
      <c r="Q51" s="47" t="b">
        <f>if(countifs('Glen Oaks, USA'!Q:Q,$A51,'Glen Oaks, USA'!$I:$I,TRUE),TRUE,FALSE)</f>
        <v>0</v>
      </c>
      <c r="R51" s="47" t="b">
        <f>if(countifs('Chemnitz, GER'!Q:Q,$A51,'Chemnitz, GER'!I:I,TRUE),TRUE,FALSE)</f>
        <v>0</v>
      </c>
      <c r="S51" s="47" t="b">
        <f>if(countifs('Vosselaar, BE'!Q:Q,$A51,'Vosselaar, BE'!$I:$I,TRUE),TRUE,FALSE)</f>
        <v>0</v>
      </c>
      <c r="T51" s="47" t="b">
        <f>if(countifs('MHQ, USA'!Q:Q,$A51,'MHQ, USA'!$I:$I,TRUE),TRUE,FALSE)</f>
        <v>0</v>
      </c>
      <c r="U51" s="47" t="b">
        <f>if(countifs('Morayfield, AUS'!Q:Q,$A51,'Morayfield, AUS'!$I:$I,TRUE),TRUE,FALSE)</f>
        <v>0</v>
      </c>
      <c r="V51" s="11" t="b">
        <f>if(countifs('Arnhem, NL'!Q:Q,$A51,'Arnhem, NL'!$I:$I,TRUE),TRUE,FALSE)</f>
        <v>0</v>
      </c>
      <c r="W51" s="47" t="b">
        <f>if(countifs('Gotenborg, SW'!Q:Q,$A51,'Gotenborg, SW'!$I:$I,TRUE),TRUE,FALSE)</f>
        <v>0</v>
      </c>
      <c r="X51" s="47" t="b">
        <f>if(countifs('Shepparton, AUS'!Q:Q,$A51,'Shepparton, AUS'!$I:$I,TRUE),TRUE,FALSE)</f>
        <v>0</v>
      </c>
      <c r="Y51" s="47" t="b">
        <f>if(countifs('Hoofddorp, NL'!Q:Q,$A51,'Hoofddorp, NL'!$I:$I,TRUE),TRUE,FALSE)</f>
        <v>0</v>
      </c>
      <c r="Z51" s="47" t="b">
        <f>if(countifs('Bedford, UK'!Q:Q,$A51,'Bedford, UK'!$I:$I,TRUE),TRUE,FALSE)</f>
        <v>0</v>
      </c>
      <c r="AA51" s="47" t="b">
        <f>IF(COUNTIFS('Desert Lodge, USA'!Q:Q,$A51,'Desert Lodge, USA'!I:I,TRUE),TRUE,FALSE)</f>
        <v>0</v>
      </c>
      <c r="AB51" s="47" t="b">
        <f>if(countifs('Dapto, AUS'!Q:Q,$A51,'Dapto, AUS'!$I:$I,TRUE),TRUE,FALSE)</f>
        <v>0</v>
      </c>
      <c r="AC51" s="47" t="b">
        <f>if(countifs('New Westminster, CAN'!Q:Q,$A51,'New Westminster, CAN'!$I:$I,TRUE),TRUE,FALSE)</f>
        <v>0</v>
      </c>
      <c r="AD51" s="47" t="b">
        <f>if(countifs('Georgetown, CAN'!Q:Q,$A51,'Georgetown, CAN'!$I:$I,TRUE),TRUE,FALSE)</f>
        <v>0</v>
      </c>
      <c r="AE51" s="47" t="b">
        <f>if(countifs('Kingswood, UK'!Q:Q,$A51,'Kingswood, UK'!$I:$I,TRUE),TRUE,FALSE)</f>
        <v>0</v>
      </c>
      <c r="AF51" s="47" t="b">
        <f>if(countifs('Hagerstown, USA'!Q:Q,$A51,'Hagerstown, USA'!$I:$I,TRUE),TRUE,FALSE)</f>
        <v>0</v>
      </c>
      <c r="AG51" s="47" t="b">
        <f>if(countifs('Felsogalla, HU'!Q:Q,$A51,'Felsogalla, HU'!$I:$I,TRUE),TRUE,FALSE)</f>
        <v>0</v>
      </c>
      <c r="AH51" s="47" t="b">
        <f>if(countifs('Norlane, AUS'!Q:Q,$A51,'Norlane, AUS'!$I:$I,TRUE),TRUE,FALSE)</f>
        <v>0</v>
      </c>
      <c r="AI51" s="47" t="b">
        <f>if(countifs('Meitingen, GER'!Q:Q,$A51,'Meitingen, GER'!$I:$I,TRUE),TRUE,FALSE)</f>
        <v>0</v>
      </c>
      <c r="AJ51" s="47" t="b">
        <f>if(countifs('Groningen, NL'!Q:Q,$A51,'Groningen, NL'!$I:$I,TRUE),TRUE,FALSE)</f>
        <v>0</v>
      </c>
      <c r="AK51" s="47" t="b">
        <f>if(countifs('Linköping, SW'!Q:Q,$A51,'Linköping, SW'!$I:$I,TRUE),TRUE,FALSE)</f>
        <v>0</v>
      </c>
      <c r="AL51" s="47" t="b">
        <f>if(countifs('Austin, USA'!Q:Q,$A51,'Austin, USA'!$I:$I,TRUE),TRUE,FALSE)</f>
        <v>0</v>
      </c>
      <c r="AM51" s="47" t="b">
        <f>if(countifs('Thringstone, UK'!Q:Q,$A51,'Thringstone, UK'!$I:$I,TRUE),TRUE,FALSE)</f>
        <v>0</v>
      </c>
      <c r="AN51" s="47" t="b">
        <f>if(countifs('Andover, UK'!Q:Q,$A51,'Andover, UK'!$I:$I,TRUE),TRUE,FALSE)</f>
        <v>0</v>
      </c>
      <c r="AO51" s="47" t="b">
        <f>if(countifs('Ospel, NL'!Q:Q,$A51,'Ospel, NL'!$I:$I,TRUE),TRUE,FALSE)</f>
        <v>0</v>
      </c>
      <c r="AP51" s="47" t="b">
        <f>if(countifs('Wonthaggi, AUS'!Q:Q,$A51,'Wonthaggi, AUS'!$I:$I,TRUE),TRUE,FALSE)</f>
        <v>0</v>
      </c>
      <c r="AQ51" s="47" t="b">
        <f>if(countifs('Falling_Waters, USA'!$Q:$Q,$A51,'Falling_Waters, USA'!$I:$I,TRUE),TRUE,FALSE)</f>
        <v>0</v>
      </c>
      <c r="AR51" s="47" t="b">
        <f>if(countifs('Kelmscott, AUS'!Q:Q,$A51,'Kelmscott, AUS'!$I:$I,TRUE),TRUE,FALSE)</f>
        <v>0</v>
      </c>
    </row>
    <row r="52">
      <c r="A52" s="47" t="str">
        <f>IFERROR(__xludf.DUMMYFUNCTION("""COMPUTED_VALUE"""),"rgforsythe")</f>
        <v>rgforsythe</v>
      </c>
      <c r="B52" s="47">
        <f t="shared" si="1"/>
        <v>1</v>
      </c>
      <c r="C52" s="47" t="b">
        <v>0</v>
      </c>
      <c r="D52" s="47" t="b">
        <v>0</v>
      </c>
      <c r="E52" s="47" t="b">
        <v>0</v>
      </c>
      <c r="F52" s="47" t="b">
        <v>0</v>
      </c>
      <c r="G52" s="96"/>
      <c r="H52" s="96" t="b">
        <f>if(countifs('Berlin, GER'!Q:Q,A52,'Berlin, GER'!I:I,TRUE),TRUE,FALSE)</f>
        <v>0</v>
      </c>
      <c r="I52" s="96" t="b">
        <f>if(countifs('Escondido, USA'!Q:Q,A52,'Escondido, USA'!I:I,TRUE),TRUE,FALSE)</f>
        <v>1</v>
      </c>
      <c r="J52" s="96" t="b">
        <f>if(countifs('Onkaparinga_Hills, AUS'!Q:Q,A52,'Onkaparinga_Hills, AUS'!I:I,TRUE),TRUE,FALSE)</f>
        <v>0</v>
      </c>
      <c r="K52" s="96" t="b">
        <f>if(countifs('Perth, AUS'!Q:Q,A52,'Perth, AUS'!I:I,TRUE),TRUE,FALSE)</f>
        <v>0</v>
      </c>
      <c r="L52" s="96" t="b">
        <f>if(countifs('Raleigh, USA'!Q:Q,A52,'Raleigh, USA'!I:I,TRUE),TRUE,FALSE)</f>
        <v>0</v>
      </c>
      <c r="M52" s="96" t="b">
        <f>if(countifs('Browns Plains, AUS'!Q:Q,A52,'Browns Plains, AUS'!I:I,TRUE),TRUE,FALSE)</f>
        <v>0</v>
      </c>
      <c r="N52" s="96" t="b">
        <f>if(countifs('Brossard, CAN'!Q:Q,A52,'Brossard, CAN'!I:I,TRUE),TRUE,FALSE)</f>
        <v>0</v>
      </c>
      <c r="O52" s="96" t="b">
        <f>if(countifs('Gouda, NL'!Q:Q,$A52,'Gouda, NL'!$I:$I,TRUE),TRUE,FALSE)</f>
        <v>0</v>
      </c>
      <c r="P52" s="47" t="b">
        <f>if(countifs('Plympton, UK'!Q:Q,$A52,'Plympton, UK'!$I:$I,TRUE),TRUE,FALSE)</f>
        <v>0</v>
      </c>
      <c r="Q52" s="47" t="b">
        <f>if(countifs('Glen Oaks, USA'!Q:Q,$A52,'Glen Oaks, USA'!$I:$I,TRUE),TRUE,FALSE)</f>
        <v>0</v>
      </c>
      <c r="R52" s="47" t="b">
        <f>if(countifs('Chemnitz, GER'!Q:Q,$A52,'Chemnitz, GER'!I:I,TRUE),TRUE,FALSE)</f>
        <v>0</v>
      </c>
      <c r="S52" s="47" t="b">
        <f>if(countifs('Vosselaar, BE'!Q:Q,$A52,'Vosselaar, BE'!$I:$I,TRUE),TRUE,FALSE)</f>
        <v>0</v>
      </c>
      <c r="T52" s="47" t="b">
        <f>if(countifs('MHQ, USA'!Q:Q,$A52,'MHQ, USA'!$I:$I,TRUE),TRUE,FALSE)</f>
        <v>0</v>
      </c>
      <c r="U52" s="47" t="b">
        <f>if(countifs('Morayfield, AUS'!Q:Q,$A52,'Morayfield, AUS'!$I:$I,TRUE),TRUE,FALSE)</f>
        <v>0</v>
      </c>
      <c r="V52" s="11" t="b">
        <f>if(countifs('Arnhem, NL'!Q:Q,$A52,'Arnhem, NL'!$I:$I,TRUE),TRUE,FALSE)</f>
        <v>0</v>
      </c>
      <c r="W52" s="47" t="b">
        <f>if(countifs('Gotenborg, SW'!Q:Q,$A52,'Gotenborg, SW'!$I:$I,TRUE),TRUE,FALSE)</f>
        <v>0</v>
      </c>
      <c r="X52" s="47" t="b">
        <f>if(countifs('Shepparton, AUS'!Q:Q,$A52,'Shepparton, AUS'!$I:$I,TRUE),TRUE,FALSE)</f>
        <v>0</v>
      </c>
      <c r="Y52" s="47" t="b">
        <f>if(countifs('Hoofddorp, NL'!Q:Q,$A52,'Hoofddorp, NL'!$I:$I,TRUE),TRUE,FALSE)</f>
        <v>0</v>
      </c>
      <c r="Z52" s="47" t="b">
        <f>if(countifs('Bedford, UK'!Q:Q,$A52,'Bedford, UK'!$I:$I,TRUE),TRUE,FALSE)</f>
        <v>0</v>
      </c>
      <c r="AA52" s="47" t="b">
        <f>IF(COUNTIFS('Desert Lodge, USA'!Q:Q,$A52,'Desert Lodge, USA'!I:I,TRUE),TRUE,FALSE)</f>
        <v>0</v>
      </c>
      <c r="AB52" s="47" t="b">
        <f>if(countifs('Dapto, AUS'!Q:Q,$A52,'Dapto, AUS'!$I:$I,TRUE),TRUE,FALSE)</f>
        <v>0</v>
      </c>
      <c r="AC52" s="47" t="b">
        <f>if(countifs('New Westminster, CAN'!Q:Q,$A52,'New Westminster, CAN'!$I:$I,TRUE),TRUE,FALSE)</f>
        <v>0</v>
      </c>
      <c r="AD52" s="47" t="b">
        <f>if(countifs('Georgetown, CAN'!Q:Q,$A52,'Georgetown, CAN'!$I:$I,TRUE),TRUE,FALSE)</f>
        <v>0</v>
      </c>
      <c r="AE52" s="47" t="b">
        <f>if(countifs('Kingswood, UK'!Q:Q,$A52,'Kingswood, UK'!$I:$I,TRUE),TRUE,FALSE)</f>
        <v>0</v>
      </c>
      <c r="AF52" s="47" t="b">
        <f>if(countifs('Hagerstown, USA'!Q:Q,$A52,'Hagerstown, USA'!$I:$I,TRUE),TRUE,FALSE)</f>
        <v>0</v>
      </c>
      <c r="AG52" s="47" t="b">
        <f>if(countifs('Felsogalla, HU'!Q:Q,$A52,'Felsogalla, HU'!$I:$I,TRUE),TRUE,FALSE)</f>
        <v>0</v>
      </c>
      <c r="AH52" s="47" t="b">
        <f>if(countifs('Norlane, AUS'!Q:Q,$A52,'Norlane, AUS'!$I:$I,TRUE),TRUE,FALSE)</f>
        <v>0</v>
      </c>
      <c r="AI52" s="47" t="b">
        <f>if(countifs('Meitingen, GER'!Q:Q,$A52,'Meitingen, GER'!$I:$I,TRUE),TRUE,FALSE)</f>
        <v>0</v>
      </c>
      <c r="AJ52" s="47" t="b">
        <f>if(countifs('Groningen, NL'!Q:Q,$A52,'Groningen, NL'!$I:$I,TRUE),TRUE,FALSE)</f>
        <v>0</v>
      </c>
      <c r="AK52" s="47" t="b">
        <f>if(countifs('Linköping, SW'!Q:Q,$A52,'Linköping, SW'!$I:$I,TRUE),TRUE,FALSE)</f>
        <v>0</v>
      </c>
      <c r="AL52" s="47" t="b">
        <f>if(countifs('Austin, USA'!Q:Q,$A52,'Austin, USA'!$I:$I,TRUE),TRUE,FALSE)</f>
        <v>0</v>
      </c>
      <c r="AM52" s="47" t="b">
        <f>if(countifs('Thringstone, UK'!Q:Q,$A52,'Thringstone, UK'!$I:$I,TRUE),TRUE,FALSE)</f>
        <v>0</v>
      </c>
      <c r="AN52" s="47" t="b">
        <f>if(countifs('Andover, UK'!Q:Q,$A52,'Andover, UK'!$I:$I,TRUE),TRUE,FALSE)</f>
        <v>0</v>
      </c>
      <c r="AO52" s="47" t="b">
        <f>if(countifs('Ospel, NL'!Q:Q,$A52,'Ospel, NL'!$I:$I,TRUE),TRUE,FALSE)</f>
        <v>0</v>
      </c>
      <c r="AP52" s="47" t="b">
        <f>if(countifs('Wonthaggi, AUS'!Q:Q,$A52,'Wonthaggi, AUS'!$I:$I,TRUE),TRUE,FALSE)</f>
        <v>0</v>
      </c>
      <c r="AQ52" s="47" t="b">
        <f>if(countifs('Falling_Waters, USA'!$Q:$Q,$A52,'Falling_Waters, USA'!$I:$I,TRUE),TRUE,FALSE)</f>
        <v>0</v>
      </c>
      <c r="AR52" s="47" t="b">
        <f>if(countifs('Kelmscott, AUS'!Q:Q,$A52,'Kelmscott, AUS'!$I:$I,TRUE),TRUE,FALSE)</f>
        <v>0</v>
      </c>
    </row>
    <row r="53">
      <c r="A53" s="47" t="str">
        <f>IFERROR(__xludf.DUMMYFUNCTION("""COMPUTED_VALUE"""),"OdinsFiRe")</f>
        <v>OdinsFiRe</v>
      </c>
      <c r="B53" s="47">
        <f t="shared" si="1"/>
        <v>34</v>
      </c>
      <c r="C53" s="47" t="b">
        <v>0</v>
      </c>
      <c r="D53" s="47" t="b">
        <v>0</v>
      </c>
      <c r="E53" s="47" t="b">
        <v>0</v>
      </c>
      <c r="F53" s="47" t="b">
        <v>0</v>
      </c>
      <c r="G53" s="96"/>
      <c r="H53" s="96" t="b">
        <f>if(countifs('Berlin, GER'!Q:Q,A53,'Berlin, GER'!I:I,TRUE),TRUE,FALSE)</f>
        <v>0</v>
      </c>
      <c r="I53" s="96" t="b">
        <f>if(countifs('Escondido, USA'!Q:Q,A53,'Escondido, USA'!I:I,TRUE),TRUE,FALSE)</f>
        <v>1</v>
      </c>
      <c r="J53" s="96" t="b">
        <f>if(countifs('Onkaparinga_Hills, AUS'!Q:Q,A53,'Onkaparinga_Hills, AUS'!I:I,TRUE),TRUE,FALSE)</f>
        <v>1</v>
      </c>
      <c r="K53" s="96" t="b">
        <f>if(countifs('Perth, AUS'!Q:Q,A53,'Perth, AUS'!I:I,TRUE),TRUE,FALSE)</f>
        <v>1</v>
      </c>
      <c r="L53" s="96" t="b">
        <f>if(countifs('Raleigh, USA'!Q:Q,A53,'Raleigh, USA'!I:I,TRUE),TRUE,FALSE)</f>
        <v>1</v>
      </c>
      <c r="M53" s="96" t="b">
        <f>if(countifs('Browns Plains, AUS'!Q:Q,A53,'Browns Plains, AUS'!I:I,TRUE),TRUE,FALSE)</f>
        <v>1</v>
      </c>
      <c r="N53" s="96" t="b">
        <f>if(countifs('Brossard, CAN'!Q:Q,A53,'Brossard, CAN'!I:I,TRUE),TRUE,FALSE)</f>
        <v>1</v>
      </c>
      <c r="O53" s="96" t="b">
        <f>if(countifs('Gouda, NL'!Q:Q,$A53,'Gouda, NL'!$I:$I,TRUE),TRUE,FALSE)</f>
        <v>1</v>
      </c>
      <c r="P53" s="47" t="b">
        <f>if(countifs('Plympton, UK'!Q:Q,$A53,'Plympton, UK'!$I:$I,TRUE),TRUE,FALSE)</f>
        <v>1</v>
      </c>
      <c r="Q53" s="47" t="b">
        <f>if(countifs('Glen Oaks, USA'!Q:Q,$A53,'Glen Oaks, USA'!$I:$I,TRUE),TRUE,FALSE)</f>
        <v>1</v>
      </c>
      <c r="R53" s="47" t="b">
        <f>if(countifs('Chemnitz, GER'!Q:Q,$A53,'Chemnitz, GER'!I:I,TRUE),TRUE,FALSE)</f>
        <v>1</v>
      </c>
      <c r="S53" s="47" t="b">
        <f>if(countifs('Vosselaar, BE'!Q:Q,$A53,'Vosselaar, BE'!$I:$I,TRUE),TRUE,FALSE)</f>
        <v>1</v>
      </c>
      <c r="T53" s="47" t="b">
        <f>if(countifs('MHQ, USA'!Q:Q,$A53,'MHQ, USA'!$I:$I,TRUE),TRUE,FALSE)</f>
        <v>1</v>
      </c>
      <c r="U53" s="47" t="b">
        <f>if(countifs('Morayfield, AUS'!Q:Q,$A53,'Morayfield, AUS'!$I:$I,TRUE),TRUE,FALSE)</f>
        <v>1</v>
      </c>
      <c r="V53" s="11" t="b">
        <f>if(countifs('Arnhem, NL'!Q:Q,$A53,'Arnhem, NL'!$I:$I,TRUE),TRUE,FALSE)</f>
        <v>0</v>
      </c>
      <c r="W53" s="47" t="b">
        <f>if(countifs('Gotenborg, SW'!Q:Q,$A53,'Gotenborg, SW'!$I:$I,TRUE),TRUE,FALSE)</f>
        <v>1</v>
      </c>
      <c r="X53" s="47" t="b">
        <f>if(countifs('Shepparton, AUS'!Q:Q,$A53,'Shepparton, AUS'!$I:$I,TRUE),TRUE,FALSE)</f>
        <v>1</v>
      </c>
      <c r="Y53" s="47" t="b">
        <f>if(countifs('Hoofddorp, NL'!Q:Q,$A53,'Hoofddorp, NL'!$I:$I,TRUE),TRUE,FALSE)</f>
        <v>1</v>
      </c>
      <c r="Z53" s="47" t="b">
        <f>if(countifs('Bedford, UK'!Q:Q,$A53,'Bedford, UK'!$I:$I,TRUE),TRUE,FALSE)</f>
        <v>1</v>
      </c>
      <c r="AA53" s="47" t="b">
        <f>IF(COUNTIFS('Desert Lodge, USA'!Q:Q,$A53,'Desert Lodge, USA'!I:I,TRUE),TRUE,FALSE)</f>
        <v>1</v>
      </c>
      <c r="AB53" s="47" t="b">
        <f>if(countifs('Dapto, AUS'!Q:Q,$A53,'Dapto, AUS'!$I:$I,TRUE),TRUE,FALSE)</f>
        <v>1</v>
      </c>
      <c r="AC53" s="47" t="b">
        <f>if(countifs('New Westminster, CAN'!Q:Q,$A53,'New Westminster, CAN'!$I:$I,TRUE),TRUE,FALSE)</f>
        <v>1</v>
      </c>
      <c r="AD53" s="47" t="b">
        <f>if(countifs('Georgetown, CAN'!Q:Q,$A53,'Georgetown, CAN'!$I:$I,TRUE),TRUE,FALSE)</f>
        <v>1</v>
      </c>
      <c r="AE53" s="47" t="b">
        <f>if(countifs('Kingswood, UK'!Q:Q,$A53,'Kingswood, UK'!$I:$I,TRUE),TRUE,FALSE)</f>
        <v>1</v>
      </c>
      <c r="AF53" s="47" t="b">
        <f>if(countifs('Hagerstown, USA'!Q:Q,$A53,'Hagerstown, USA'!$I:$I,TRUE),TRUE,FALSE)</f>
        <v>1</v>
      </c>
      <c r="AG53" s="47" t="b">
        <f>if(countifs('Felsogalla, HU'!Q:Q,$A53,'Felsogalla, HU'!$I:$I,TRUE),TRUE,FALSE)</f>
        <v>1</v>
      </c>
      <c r="AH53" s="47" t="b">
        <f>if(countifs('Norlane, AUS'!Q:Q,$A53,'Norlane, AUS'!$I:$I,TRUE),TRUE,FALSE)</f>
        <v>1</v>
      </c>
      <c r="AI53" s="47" t="b">
        <f>if(countifs('Meitingen, GER'!Q:Q,$A53,'Meitingen, GER'!$I:$I,TRUE),TRUE,FALSE)</f>
        <v>1</v>
      </c>
      <c r="AJ53" s="47" t="b">
        <f>if(countifs('Groningen, NL'!Q:Q,$A53,'Groningen, NL'!$I:$I,TRUE),TRUE,FALSE)</f>
        <v>1</v>
      </c>
      <c r="AK53" s="47" t="b">
        <f>if(countifs('Linköping, SW'!Q:Q,$A53,'Linköping, SW'!$I:$I,TRUE),TRUE,FALSE)</f>
        <v>1</v>
      </c>
      <c r="AL53" s="47" t="b">
        <f>if(countifs('Austin, USA'!Q:Q,$A53,'Austin, USA'!$I:$I,TRUE),TRUE,FALSE)</f>
        <v>0</v>
      </c>
      <c r="AM53" s="47" t="b">
        <f>if(countifs('Thringstone, UK'!Q:Q,$A53,'Thringstone, UK'!$I:$I,TRUE),TRUE,FALSE)</f>
        <v>1</v>
      </c>
      <c r="AN53" s="47" t="b">
        <f>if(countifs('Andover, UK'!Q:Q,$A53,'Andover, UK'!$I:$I,TRUE),TRUE,FALSE)</f>
        <v>1</v>
      </c>
      <c r="AO53" s="47" t="b">
        <f>if(countifs('Ospel, NL'!Q:Q,$A53,'Ospel, NL'!$I:$I,TRUE),TRUE,FALSE)</f>
        <v>1</v>
      </c>
      <c r="AP53" s="47" t="b">
        <f>if(countifs('Wonthaggi, AUS'!Q:Q,$A53,'Wonthaggi, AUS'!$I:$I,TRUE),TRUE,FALSE)</f>
        <v>1</v>
      </c>
      <c r="AQ53" s="47" t="b">
        <f>if(countifs('Falling_Waters, USA'!$Q:$Q,$A53,'Falling_Waters, USA'!$I:$I,TRUE),TRUE,FALSE)</f>
        <v>1</v>
      </c>
      <c r="AR53" s="47" t="b">
        <f>if(countifs('Kelmscott, AUS'!Q:Q,$A53,'Kelmscott, AUS'!$I:$I,TRUE),TRUE,FALSE)</f>
        <v>1</v>
      </c>
    </row>
    <row r="54">
      <c r="A54" s="47" t="str">
        <f>IFERROR(__xludf.DUMMYFUNCTION("""COMPUTED_VALUE"""),"roxiemama")</f>
        <v>roxiemama</v>
      </c>
      <c r="B54" s="47">
        <f t="shared" si="1"/>
        <v>1</v>
      </c>
      <c r="C54" s="47" t="b">
        <v>0</v>
      </c>
      <c r="D54" s="47" t="b">
        <v>0</v>
      </c>
      <c r="E54" s="47" t="b">
        <v>0</v>
      </c>
      <c r="F54" s="47" t="b">
        <v>0</v>
      </c>
      <c r="G54" s="96"/>
      <c r="H54" s="96" t="b">
        <f>if(countifs('Berlin, GER'!Q:Q,A54,'Berlin, GER'!I:I,TRUE),TRUE,FALSE)</f>
        <v>0</v>
      </c>
      <c r="I54" s="96" t="b">
        <f>if(countifs('Escondido, USA'!Q:Q,A54,'Escondido, USA'!I:I,TRUE),TRUE,FALSE)</f>
        <v>1</v>
      </c>
      <c r="J54" s="96" t="b">
        <f>if(countifs('Onkaparinga_Hills, AUS'!Q:Q,A54,'Onkaparinga_Hills, AUS'!I:I,TRUE),TRUE,FALSE)</f>
        <v>0</v>
      </c>
      <c r="K54" s="96" t="b">
        <f>if(countifs('Perth, AUS'!Q:Q,A54,'Perth, AUS'!I:I,TRUE),TRUE,FALSE)</f>
        <v>0</v>
      </c>
      <c r="L54" s="96" t="b">
        <f>if(countifs('Raleigh, USA'!Q:Q,A54,'Raleigh, USA'!I:I,TRUE),TRUE,FALSE)</f>
        <v>0</v>
      </c>
      <c r="M54" s="96" t="b">
        <f>if(countifs('Browns Plains, AUS'!Q:Q,A54,'Browns Plains, AUS'!I:I,TRUE),TRUE,FALSE)</f>
        <v>0</v>
      </c>
      <c r="N54" s="96" t="b">
        <f>if(countifs('Brossard, CAN'!Q:Q,A54,'Brossard, CAN'!I:I,TRUE),TRUE,FALSE)</f>
        <v>0</v>
      </c>
      <c r="O54" s="96" t="b">
        <f>if(countifs('Gouda, NL'!Q:Q,$A54,'Gouda, NL'!$I:$I,TRUE),TRUE,FALSE)</f>
        <v>0</v>
      </c>
      <c r="P54" s="47" t="b">
        <f>if(countifs('Plympton, UK'!Q:Q,$A54,'Plympton, UK'!$I:$I,TRUE),TRUE,FALSE)</f>
        <v>0</v>
      </c>
      <c r="Q54" s="47" t="b">
        <f>if(countifs('Glen Oaks, USA'!Q:Q,$A54,'Glen Oaks, USA'!$I:$I,TRUE),TRUE,FALSE)</f>
        <v>0</v>
      </c>
      <c r="R54" s="47" t="b">
        <f>if(countifs('Chemnitz, GER'!Q:Q,$A54,'Chemnitz, GER'!I:I,TRUE),TRUE,FALSE)</f>
        <v>0</v>
      </c>
      <c r="S54" s="47" t="b">
        <f>if(countifs('Vosselaar, BE'!Q:Q,$A54,'Vosselaar, BE'!$I:$I,TRUE),TRUE,FALSE)</f>
        <v>0</v>
      </c>
      <c r="T54" s="47" t="b">
        <f>if(countifs('MHQ, USA'!Q:Q,$A54,'MHQ, USA'!$I:$I,TRUE),TRUE,FALSE)</f>
        <v>0</v>
      </c>
      <c r="U54" s="47" t="b">
        <f>if(countifs('Morayfield, AUS'!Q:Q,$A54,'Morayfield, AUS'!$I:$I,TRUE),TRUE,FALSE)</f>
        <v>0</v>
      </c>
      <c r="V54" s="11" t="b">
        <f>if(countifs('Arnhem, NL'!Q:Q,$A54,'Arnhem, NL'!$I:$I,TRUE),TRUE,FALSE)</f>
        <v>0</v>
      </c>
      <c r="W54" s="47" t="b">
        <f>if(countifs('Gotenborg, SW'!Q:Q,$A54,'Gotenborg, SW'!$I:$I,TRUE),TRUE,FALSE)</f>
        <v>0</v>
      </c>
      <c r="X54" s="47" t="b">
        <f>if(countifs('Shepparton, AUS'!Q:Q,$A54,'Shepparton, AUS'!$I:$I,TRUE),TRUE,FALSE)</f>
        <v>0</v>
      </c>
      <c r="Y54" s="47" t="b">
        <f>if(countifs('Hoofddorp, NL'!Q:Q,$A54,'Hoofddorp, NL'!$I:$I,TRUE),TRUE,FALSE)</f>
        <v>0</v>
      </c>
      <c r="Z54" s="47" t="b">
        <f>if(countifs('Bedford, UK'!Q:Q,$A54,'Bedford, UK'!$I:$I,TRUE),TRUE,FALSE)</f>
        <v>0</v>
      </c>
      <c r="AA54" s="47" t="b">
        <f>IF(COUNTIFS('Desert Lodge, USA'!Q:Q,$A54,'Desert Lodge, USA'!I:I,TRUE),TRUE,FALSE)</f>
        <v>0</v>
      </c>
      <c r="AB54" s="47" t="b">
        <f>if(countifs('Dapto, AUS'!Q:Q,$A54,'Dapto, AUS'!$I:$I,TRUE),TRUE,FALSE)</f>
        <v>0</v>
      </c>
      <c r="AC54" s="47" t="b">
        <f>if(countifs('New Westminster, CAN'!Q:Q,$A54,'New Westminster, CAN'!$I:$I,TRUE),TRUE,FALSE)</f>
        <v>0</v>
      </c>
      <c r="AD54" s="47" t="b">
        <f>if(countifs('Georgetown, CAN'!Q:Q,$A54,'Georgetown, CAN'!$I:$I,TRUE),TRUE,FALSE)</f>
        <v>0</v>
      </c>
      <c r="AE54" s="47" t="b">
        <f>if(countifs('Kingswood, UK'!Q:Q,$A54,'Kingswood, UK'!$I:$I,TRUE),TRUE,FALSE)</f>
        <v>0</v>
      </c>
      <c r="AF54" s="47" t="b">
        <f>if(countifs('Hagerstown, USA'!Q:Q,$A54,'Hagerstown, USA'!$I:$I,TRUE),TRUE,FALSE)</f>
        <v>0</v>
      </c>
      <c r="AG54" s="47" t="b">
        <f>if(countifs('Felsogalla, HU'!Q:Q,$A54,'Felsogalla, HU'!$I:$I,TRUE),TRUE,FALSE)</f>
        <v>0</v>
      </c>
      <c r="AH54" s="47" t="b">
        <f>if(countifs('Norlane, AUS'!Q:Q,$A54,'Norlane, AUS'!$I:$I,TRUE),TRUE,FALSE)</f>
        <v>0</v>
      </c>
      <c r="AI54" s="47" t="b">
        <f>if(countifs('Meitingen, GER'!Q:Q,$A54,'Meitingen, GER'!$I:$I,TRUE),TRUE,FALSE)</f>
        <v>0</v>
      </c>
      <c r="AJ54" s="47" t="b">
        <f>if(countifs('Groningen, NL'!Q:Q,$A54,'Groningen, NL'!$I:$I,TRUE),TRUE,FALSE)</f>
        <v>0</v>
      </c>
      <c r="AK54" s="47" t="b">
        <f>if(countifs('Linköping, SW'!Q:Q,$A54,'Linköping, SW'!$I:$I,TRUE),TRUE,FALSE)</f>
        <v>0</v>
      </c>
      <c r="AL54" s="47" t="b">
        <f>if(countifs('Austin, USA'!Q:Q,$A54,'Austin, USA'!$I:$I,TRUE),TRUE,FALSE)</f>
        <v>0</v>
      </c>
      <c r="AM54" s="47" t="b">
        <f>if(countifs('Thringstone, UK'!Q:Q,$A54,'Thringstone, UK'!$I:$I,TRUE),TRUE,FALSE)</f>
        <v>0</v>
      </c>
      <c r="AN54" s="47" t="b">
        <f>if(countifs('Andover, UK'!Q:Q,$A54,'Andover, UK'!$I:$I,TRUE),TRUE,FALSE)</f>
        <v>0</v>
      </c>
      <c r="AO54" s="47" t="b">
        <f>if(countifs('Ospel, NL'!Q:Q,$A54,'Ospel, NL'!$I:$I,TRUE),TRUE,FALSE)</f>
        <v>0</v>
      </c>
      <c r="AP54" s="47" t="b">
        <f>if(countifs('Wonthaggi, AUS'!Q:Q,$A54,'Wonthaggi, AUS'!$I:$I,TRUE),TRUE,FALSE)</f>
        <v>0</v>
      </c>
      <c r="AQ54" s="47" t="b">
        <f>if(countifs('Falling_Waters, USA'!$Q:$Q,$A54,'Falling_Waters, USA'!$I:$I,TRUE),TRUE,FALSE)</f>
        <v>0</v>
      </c>
      <c r="AR54" s="47" t="b">
        <f>if(countifs('Kelmscott, AUS'!Q:Q,$A54,'Kelmscott, AUS'!$I:$I,TRUE),TRUE,FALSE)</f>
        <v>0</v>
      </c>
    </row>
    <row r="55">
      <c r="A55" s="47" t="str">
        <f>IFERROR(__xludf.DUMMYFUNCTION("""COMPUTED_VALUE"""),"PhatCapper")</f>
        <v>PhatCapper</v>
      </c>
      <c r="B55" s="47">
        <f t="shared" si="1"/>
        <v>1</v>
      </c>
      <c r="C55" s="47" t="b">
        <v>0</v>
      </c>
      <c r="D55" s="47" t="b">
        <v>0</v>
      </c>
      <c r="E55" s="47" t="b">
        <v>0</v>
      </c>
      <c r="F55" s="47" t="b">
        <v>0</v>
      </c>
      <c r="G55" s="96"/>
      <c r="H55" s="96" t="b">
        <f>if(countifs('Berlin, GER'!Q:Q,A55,'Berlin, GER'!I:I,TRUE),TRUE,FALSE)</f>
        <v>0</v>
      </c>
      <c r="I55" s="96" t="b">
        <f>if(countifs('Escondido, USA'!Q:Q,A55,'Escondido, USA'!I:I,TRUE),TRUE,FALSE)</f>
        <v>0</v>
      </c>
      <c r="J55" s="96" t="b">
        <f>if(countifs('Onkaparinga_Hills, AUS'!Q:Q,A55,'Onkaparinga_Hills, AUS'!I:I,TRUE),TRUE,FALSE)</f>
        <v>1</v>
      </c>
      <c r="K55" s="96" t="b">
        <f>if(countifs('Perth, AUS'!Q:Q,A55,'Perth, AUS'!I:I,TRUE),TRUE,FALSE)</f>
        <v>0</v>
      </c>
      <c r="L55" s="96" t="b">
        <f>if(countifs('Raleigh, USA'!Q:Q,A55,'Raleigh, USA'!I:I,TRUE),TRUE,FALSE)</f>
        <v>0</v>
      </c>
      <c r="M55" s="96" t="b">
        <f>if(countifs('Browns Plains, AUS'!Q:Q,A55,'Browns Plains, AUS'!I:I,TRUE),TRUE,FALSE)</f>
        <v>0</v>
      </c>
      <c r="N55" s="96" t="b">
        <f>if(countifs('Brossard, CAN'!Q:Q,A55,'Brossard, CAN'!I:I,TRUE),TRUE,FALSE)</f>
        <v>0</v>
      </c>
      <c r="O55" s="96" t="b">
        <f>if(countifs('Gouda, NL'!Q:Q,$A55,'Gouda, NL'!$I:$I,TRUE),TRUE,FALSE)</f>
        <v>0</v>
      </c>
      <c r="P55" s="47" t="b">
        <f>if(countifs('Plympton, UK'!Q:Q,$A55,'Plympton, UK'!$I:$I,TRUE),TRUE,FALSE)</f>
        <v>0</v>
      </c>
      <c r="Q55" s="47" t="b">
        <f>if(countifs('Glen Oaks, USA'!Q:Q,$A55,'Glen Oaks, USA'!$I:$I,TRUE),TRUE,FALSE)</f>
        <v>0</v>
      </c>
      <c r="R55" s="47" t="b">
        <f>if(countifs('Chemnitz, GER'!Q:Q,$A55,'Chemnitz, GER'!I:I,TRUE),TRUE,FALSE)</f>
        <v>0</v>
      </c>
      <c r="S55" s="47" t="b">
        <f>if(countifs('Vosselaar, BE'!Q:Q,$A55,'Vosselaar, BE'!$I:$I,TRUE),TRUE,FALSE)</f>
        <v>0</v>
      </c>
      <c r="T55" s="47" t="b">
        <f>if(countifs('MHQ, USA'!Q:Q,$A55,'MHQ, USA'!$I:$I,TRUE),TRUE,FALSE)</f>
        <v>0</v>
      </c>
      <c r="U55" s="47" t="b">
        <f>if(countifs('Morayfield, AUS'!Q:Q,$A55,'Morayfield, AUS'!$I:$I,TRUE),TRUE,FALSE)</f>
        <v>0</v>
      </c>
      <c r="V55" s="11" t="b">
        <f>if(countifs('Arnhem, NL'!Q:Q,$A55,'Arnhem, NL'!$I:$I,TRUE),TRUE,FALSE)</f>
        <v>0</v>
      </c>
      <c r="W55" s="47" t="b">
        <f>if(countifs('Gotenborg, SW'!Q:Q,$A55,'Gotenborg, SW'!$I:$I,TRUE),TRUE,FALSE)</f>
        <v>0</v>
      </c>
      <c r="X55" s="47" t="b">
        <f>if(countifs('Shepparton, AUS'!Q:Q,$A55,'Shepparton, AUS'!$I:$I,TRUE),TRUE,FALSE)</f>
        <v>0</v>
      </c>
      <c r="Y55" s="47" t="b">
        <f>if(countifs('Hoofddorp, NL'!Q:Q,$A55,'Hoofddorp, NL'!$I:$I,TRUE),TRUE,FALSE)</f>
        <v>0</v>
      </c>
      <c r="Z55" s="47" t="b">
        <f>if(countifs('Bedford, UK'!Q:Q,$A55,'Bedford, UK'!$I:$I,TRUE),TRUE,FALSE)</f>
        <v>0</v>
      </c>
      <c r="AA55" s="47" t="b">
        <f>IF(COUNTIFS('Desert Lodge, USA'!Q:Q,$A55,'Desert Lodge, USA'!I:I,TRUE),TRUE,FALSE)</f>
        <v>0</v>
      </c>
      <c r="AB55" s="47" t="b">
        <f>if(countifs('Dapto, AUS'!Q:Q,$A55,'Dapto, AUS'!$I:$I,TRUE),TRUE,FALSE)</f>
        <v>0</v>
      </c>
      <c r="AC55" s="47" t="b">
        <f>if(countifs('New Westminster, CAN'!Q:Q,$A55,'New Westminster, CAN'!$I:$I,TRUE),TRUE,FALSE)</f>
        <v>0</v>
      </c>
      <c r="AD55" s="47" t="b">
        <f>if(countifs('Georgetown, CAN'!Q:Q,$A55,'Georgetown, CAN'!$I:$I,TRUE),TRUE,FALSE)</f>
        <v>0</v>
      </c>
      <c r="AE55" s="47" t="b">
        <f>if(countifs('Kingswood, UK'!Q:Q,$A55,'Kingswood, UK'!$I:$I,TRUE),TRUE,FALSE)</f>
        <v>0</v>
      </c>
      <c r="AF55" s="47" t="b">
        <f>if(countifs('Hagerstown, USA'!Q:Q,$A55,'Hagerstown, USA'!$I:$I,TRUE),TRUE,FALSE)</f>
        <v>0</v>
      </c>
      <c r="AG55" s="47" t="b">
        <f>if(countifs('Felsogalla, HU'!Q:Q,$A55,'Felsogalla, HU'!$I:$I,TRUE),TRUE,FALSE)</f>
        <v>0</v>
      </c>
      <c r="AH55" s="47" t="b">
        <f>if(countifs('Norlane, AUS'!Q:Q,$A55,'Norlane, AUS'!$I:$I,TRUE),TRUE,FALSE)</f>
        <v>0</v>
      </c>
      <c r="AI55" s="47" t="b">
        <f>if(countifs('Meitingen, GER'!Q:Q,$A55,'Meitingen, GER'!$I:$I,TRUE),TRUE,FALSE)</f>
        <v>0</v>
      </c>
      <c r="AJ55" s="47" t="b">
        <f>if(countifs('Groningen, NL'!Q:Q,$A55,'Groningen, NL'!$I:$I,TRUE),TRUE,FALSE)</f>
        <v>0</v>
      </c>
      <c r="AK55" s="47" t="b">
        <f>if(countifs('Linköping, SW'!Q:Q,$A55,'Linköping, SW'!$I:$I,TRUE),TRUE,FALSE)</f>
        <v>0</v>
      </c>
      <c r="AL55" s="47" t="b">
        <f>if(countifs('Austin, USA'!Q:Q,$A55,'Austin, USA'!$I:$I,TRUE),TRUE,FALSE)</f>
        <v>0</v>
      </c>
      <c r="AM55" s="47" t="b">
        <f>if(countifs('Thringstone, UK'!Q:Q,$A55,'Thringstone, UK'!$I:$I,TRUE),TRUE,FALSE)</f>
        <v>0</v>
      </c>
      <c r="AN55" s="47" t="b">
        <f>if(countifs('Andover, UK'!Q:Q,$A55,'Andover, UK'!$I:$I,TRUE),TRUE,FALSE)</f>
        <v>0</v>
      </c>
      <c r="AO55" s="47" t="b">
        <f>if(countifs('Ospel, NL'!Q:Q,$A55,'Ospel, NL'!$I:$I,TRUE),TRUE,FALSE)</f>
        <v>0</v>
      </c>
      <c r="AP55" s="47" t="b">
        <f>if(countifs('Wonthaggi, AUS'!Q:Q,$A55,'Wonthaggi, AUS'!$I:$I,TRUE),TRUE,FALSE)</f>
        <v>0</v>
      </c>
      <c r="AQ55" s="47" t="b">
        <f>if(countifs('Falling_Waters, USA'!$Q:$Q,$A55,'Falling_Waters, USA'!$I:$I,TRUE),TRUE,FALSE)</f>
        <v>0</v>
      </c>
      <c r="AR55" s="47" t="b">
        <f>if(countifs('Kelmscott, AUS'!Q:Q,$A55,'Kelmscott, AUS'!$I:$I,TRUE),TRUE,FALSE)</f>
        <v>0</v>
      </c>
    </row>
    <row r="56">
      <c r="A56" s="47" t="str">
        <f>IFERROR(__xludf.DUMMYFUNCTION("""COMPUTED_VALUE"""),"upapou")</f>
        <v>upapou</v>
      </c>
      <c r="B56" s="47">
        <f t="shared" si="1"/>
        <v>7</v>
      </c>
      <c r="C56" s="47" t="b">
        <v>0</v>
      </c>
      <c r="D56" s="47" t="b">
        <v>0</v>
      </c>
      <c r="E56" s="47" t="b">
        <v>0</v>
      </c>
      <c r="F56" s="47" t="b">
        <v>0</v>
      </c>
      <c r="G56" s="96"/>
      <c r="H56" s="96" t="b">
        <f>if(countifs('Berlin, GER'!Q:Q,A56,'Berlin, GER'!I:I,TRUE),TRUE,FALSE)</f>
        <v>0</v>
      </c>
      <c r="I56" s="96" t="b">
        <f>if(countifs('Escondido, USA'!Q:Q,A56,'Escondido, USA'!I:I,TRUE),TRUE,FALSE)</f>
        <v>0</v>
      </c>
      <c r="J56" s="96" t="b">
        <f>if(countifs('Onkaparinga_Hills, AUS'!Q:Q,A56,'Onkaparinga_Hills, AUS'!I:I,TRUE),TRUE,FALSE)</f>
        <v>1</v>
      </c>
      <c r="K56" s="96" t="b">
        <f>if(countifs('Perth, AUS'!Q:Q,A56,'Perth, AUS'!I:I,TRUE),TRUE,FALSE)</f>
        <v>1</v>
      </c>
      <c r="L56" s="96" t="b">
        <f>if(countifs('Raleigh, USA'!Q:Q,A56,'Raleigh, USA'!I:I,TRUE),TRUE,FALSE)</f>
        <v>1</v>
      </c>
      <c r="M56" s="96" t="b">
        <f>if(countifs('Browns Plains, AUS'!Q:Q,A56,'Browns Plains, AUS'!I:I,TRUE),TRUE,FALSE)</f>
        <v>0</v>
      </c>
      <c r="N56" s="96" t="b">
        <f>if(countifs('Brossard, CAN'!Q:Q,A56,'Brossard, CAN'!I:I,TRUE),TRUE,FALSE)</f>
        <v>1</v>
      </c>
      <c r="O56" s="96" t="b">
        <f>if(countifs('Gouda, NL'!Q:Q,$A56,'Gouda, NL'!$I:$I,TRUE),TRUE,FALSE)</f>
        <v>1</v>
      </c>
      <c r="P56" s="47" t="b">
        <f>if(countifs('Plympton, UK'!Q:Q,$A56,'Plympton, UK'!$I:$I,TRUE),TRUE,FALSE)</f>
        <v>1</v>
      </c>
      <c r="Q56" s="47" t="b">
        <f>if(countifs('Glen Oaks, USA'!Q:Q,$A56,'Glen Oaks, USA'!$I:$I,TRUE),TRUE,FALSE)</f>
        <v>1</v>
      </c>
      <c r="R56" s="47" t="b">
        <f>if(countifs('Chemnitz, GER'!Q:Q,$A56,'Chemnitz, GER'!I:I,TRUE),TRUE,FALSE)</f>
        <v>0</v>
      </c>
      <c r="S56" s="47" t="b">
        <f>if(countifs('Vosselaar, BE'!Q:Q,$A56,'Vosselaar, BE'!$I:$I,TRUE),TRUE,FALSE)</f>
        <v>0</v>
      </c>
      <c r="T56" s="47" t="b">
        <f>if(countifs('MHQ, USA'!Q:Q,$A56,'MHQ, USA'!$I:$I,TRUE),TRUE,FALSE)</f>
        <v>0</v>
      </c>
      <c r="U56" s="47" t="b">
        <f>if(countifs('Morayfield, AUS'!Q:Q,$A56,'Morayfield, AUS'!$I:$I,TRUE),TRUE,FALSE)</f>
        <v>0</v>
      </c>
      <c r="V56" s="11" t="b">
        <f>if(countifs('Arnhem, NL'!Q:Q,$A56,'Arnhem, NL'!$I:$I,TRUE),TRUE,FALSE)</f>
        <v>0</v>
      </c>
      <c r="W56" s="47" t="b">
        <f>if(countifs('Gotenborg, SW'!Q:Q,$A56,'Gotenborg, SW'!$I:$I,TRUE),TRUE,FALSE)</f>
        <v>0</v>
      </c>
      <c r="X56" s="47" t="b">
        <f>if(countifs('Shepparton, AUS'!Q:Q,$A56,'Shepparton, AUS'!$I:$I,TRUE),TRUE,FALSE)</f>
        <v>0</v>
      </c>
      <c r="Y56" s="47" t="b">
        <f>if(countifs('Hoofddorp, NL'!Q:Q,$A56,'Hoofddorp, NL'!$I:$I,TRUE),TRUE,FALSE)</f>
        <v>0</v>
      </c>
      <c r="Z56" s="47" t="b">
        <f>if(countifs('Bedford, UK'!Q:Q,$A56,'Bedford, UK'!$I:$I,TRUE),TRUE,FALSE)</f>
        <v>0</v>
      </c>
      <c r="AA56" s="47" t="b">
        <f>IF(COUNTIFS('Desert Lodge, USA'!Q:Q,$A56,'Desert Lodge, USA'!I:I,TRUE),TRUE,FALSE)</f>
        <v>0</v>
      </c>
      <c r="AB56" s="47" t="b">
        <f>if(countifs('Dapto, AUS'!Q:Q,$A56,'Dapto, AUS'!$I:$I,TRUE),TRUE,FALSE)</f>
        <v>0</v>
      </c>
      <c r="AC56" s="47" t="b">
        <f>if(countifs('New Westminster, CAN'!Q:Q,$A56,'New Westminster, CAN'!$I:$I,TRUE),TRUE,FALSE)</f>
        <v>0</v>
      </c>
      <c r="AD56" s="47" t="b">
        <f>if(countifs('Georgetown, CAN'!Q:Q,$A56,'Georgetown, CAN'!$I:$I,TRUE),TRUE,FALSE)</f>
        <v>0</v>
      </c>
      <c r="AE56" s="47" t="b">
        <f>if(countifs('Kingswood, UK'!Q:Q,$A56,'Kingswood, UK'!$I:$I,TRUE),TRUE,FALSE)</f>
        <v>0</v>
      </c>
      <c r="AF56" s="47" t="b">
        <f>if(countifs('Hagerstown, USA'!Q:Q,$A56,'Hagerstown, USA'!$I:$I,TRUE),TRUE,FALSE)</f>
        <v>0</v>
      </c>
      <c r="AG56" s="47" t="b">
        <f>if(countifs('Felsogalla, HU'!Q:Q,$A56,'Felsogalla, HU'!$I:$I,TRUE),TRUE,FALSE)</f>
        <v>0</v>
      </c>
      <c r="AH56" s="47" t="b">
        <f>if(countifs('Norlane, AUS'!Q:Q,$A56,'Norlane, AUS'!$I:$I,TRUE),TRUE,FALSE)</f>
        <v>0</v>
      </c>
      <c r="AI56" s="47" t="b">
        <f>if(countifs('Meitingen, GER'!Q:Q,$A56,'Meitingen, GER'!$I:$I,TRUE),TRUE,FALSE)</f>
        <v>0</v>
      </c>
      <c r="AJ56" s="47" t="b">
        <f>if(countifs('Groningen, NL'!Q:Q,$A56,'Groningen, NL'!$I:$I,TRUE),TRUE,FALSE)</f>
        <v>0</v>
      </c>
      <c r="AK56" s="47" t="b">
        <f>if(countifs('Linköping, SW'!Q:Q,$A56,'Linköping, SW'!$I:$I,TRUE),TRUE,FALSE)</f>
        <v>0</v>
      </c>
      <c r="AL56" s="47" t="b">
        <f>if(countifs('Austin, USA'!Q:Q,$A56,'Austin, USA'!$I:$I,TRUE),TRUE,FALSE)</f>
        <v>0</v>
      </c>
      <c r="AM56" s="47" t="b">
        <f>if(countifs('Thringstone, UK'!Q:Q,$A56,'Thringstone, UK'!$I:$I,TRUE),TRUE,FALSE)</f>
        <v>0</v>
      </c>
      <c r="AN56" s="47" t="b">
        <f>if(countifs('Andover, UK'!Q:Q,$A56,'Andover, UK'!$I:$I,TRUE),TRUE,FALSE)</f>
        <v>0</v>
      </c>
      <c r="AO56" s="47" t="b">
        <f>if(countifs('Ospel, NL'!Q:Q,$A56,'Ospel, NL'!$I:$I,TRUE),TRUE,FALSE)</f>
        <v>0</v>
      </c>
      <c r="AP56" s="47" t="b">
        <f>if(countifs('Wonthaggi, AUS'!Q:Q,$A56,'Wonthaggi, AUS'!$I:$I,TRUE),TRUE,FALSE)</f>
        <v>0</v>
      </c>
      <c r="AQ56" s="47" t="b">
        <f>if(countifs('Falling_Waters, USA'!$Q:$Q,$A56,'Falling_Waters, USA'!$I:$I,TRUE),TRUE,FALSE)</f>
        <v>0</v>
      </c>
      <c r="AR56" s="47" t="b">
        <f>if(countifs('Kelmscott, AUS'!Q:Q,$A56,'Kelmscott, AUS'!$I:$I,TRUE),TRUE,FALSE)</f>
        <v>0</v>
      </c>
    </row>
    <row r="57">
      <c r="A57" s="47" t="str">
        <f>IFERROR(__xludf.DUMMYFUNCTION("""COMPUTED_VALUE"""),"Bungle")</f>
        <v>Bungle</v>
      </c>
      <c r="B57" s="47">
        <f t="shared" si="1"/>
        <v>17</v>
      </c>
      <c r="C57" s="47" t="b">
        <v>0</v>
      </c>
      <c r="D57" s="47" t="b">
        <v>0</v>
      </c>
      <c r="E57" s="47" t="b">
        <v>0</v>
      </c>
      <c r="F57" s="47" t="b">
        <v>0</v>
      </c>
      <c r="G57" s="96"/>
      <c r="H57" s="96" t="b">
        <f>if(countifs('Berlin, GER'!Q:Q,A57,'Berlin, GER'!I:I,TRUE),TRUE,FALSE)</f>
        <v>0</v>
      </c>
      <c r="I57" s="96" t="b">
        <f>if(countifs('Escondido, USA'!Q:Q,A57,'Escondido, USA'!I:I,TRUE),TRUE,FALSE)</f>
        <v>0</v>
      </c>
      <c r="J57" s="96" t="b">
        <f>if(countifs('Onkaparinga_Hills, AUS'!Q:Q,A57,'Onkaparinga_Hills, AUS'!I:I,TRUE),TRUE,FALSE)</f>
        <v>1</v>
      </c>
      <c r="K57" s="96" t="b">
        <f>if(countifs('Perth, AUS'!Q:Q,A57,'Perth, AUS'!I:I,TRUE),TRUE,FALSE)</f>
        <v>0</v>
      </c>
      <c r="L57" s="96" t="b">
        <f>if(countifs('Raleigh, USA'!Q:Q,A57,'Raleigh, USA'!I:I,TRUE),TRUE,FALSE)</f>
        <v>0</v>
      </c>
      <c r="M57" s="96" t="b">
        <f>if(countifs('Browns Plains, AUS'!Q:Q,A57,'Browns Plains, AUS'!I:I,TRUE),TRUE,FALSE)</f>
        <v>0</v>
      </c>
      <c r="N57" s="96" t="b">
        <f>if(countifs('Brossard, CAN'!Q:Q,A57,'Brossard, CAN'!I:I,TRUE),TRUE,FALSE)</f>
        <v>0</v>
      </c>
      <c r="O57" s="96" t="b">
        <f>if(countifs('Gouda, NL'!Q:Q,$A57,'Gouda, NL'!$I:$I,TRUE),TRUE,FALSE)</f>
        <v>0</v>
      </c>
      <c r="P57" s="47" t="b">
        <f>if(countifs('Plympton, UK'!Q:Q,$A57,'Plympton, UK'!$I:$I,TRUE),TRUE,FALSE)</f>
        <v>0</v>
      </c>
      <c r="Q57" s="47" t="b">
        <f>if(countifs('Glen Oaks, USA'!Q:Q,$A57,'Glen Oaks, USA'!$I:$I,TRUE),TRUE,FALSE)</f>
        <v>0</v>
      </c>
      <c r="R57" s="47" t="b">
        <f>if(countifs('Chemnitz, GER'!Q:Q,$A57,'Chemnitz, GER'!I:I,TRUE),TRUE,FALSE)</f>
        <v>1</v>
      </c>
      <c r="S57" s="47" t="b">
        <f>if(countifs('Vosselaar, BE'!Q:Q,$A57,'Vosselaar, BE'!$I:$I,TRUE),TRUE,FALSE)</f>
        <v>0</v>
      </c>
      <c r="T57" s="47" t="b">
        <f>if(countifs('MHQ, USA'!Q:Q,$A57,'MHQ, USA'!$I:$I,TRUE),TRUE,FALSE)</f>
        <v>0</v>
      </c>
      <c r="U57" s="47" t="b">
        <f>if(countifs('Morayfield, AUS'!Q:Q,$A57,'Morayfield, AUS'!$I:$I,TRUE),TRUE,FALSE)</f>
        <v>1</v>
      </c>
      <c r="V57" s="11" t="b">
        <f>if(countifs('Arnhem, NL'!Q:Q,$A57,'Arnhem, NL'!$I:$I,TRUE),TRUE,FALSE)</f>
        <v>0</v>
      </c>
      <c r="W57" s="47" t="b">
        <f>if(countifs('Gotenborg, SW'!Q:Q,$A57,'Gotenborg, SW'!$I:$I,TRUE),TRUE,FALSE)</f>
        <v>0</v>
      </c>
      <c r="X57" s="47" t="b">
        <f>if(countifs('Shepparton, AUS'!Q:Q,$A57,'Shepparton, AUS'!$I:$I,TRUE),TRUE,FALSE)</f>
        <v>0</v>
      </c>
      <c r="Y57" s="47" t="b">
        <f>if(countifs('Hoofddorp, NL'!Q:Q,$A57,'Hoofddorp, NL'!$I:$I,TRUE),TRUE,FALSE)</f>
        <v>0</v>
      </c>
      <c r="Z57" s="47" t="b">
        <f>if(countifs('Bedford, UK'!Q:Q,$A57,'Bedford, UK'!$I:$I,TRUE),TRUE,FALSE)</f>
        <v>0</v>
      </c>
      <c r="AA57" s="47" t="b">
        <f>IF(COUNTIFS('Desert Lodge, USA'!Q:Q,$A57,'Desert Lodge, USA'!I:I,TRUE),TRUE,FALSE)</f>
        <v>0</v>
      </c>
      <c r="AB57" s="47" t="b">
        <f>if(countifs('Dapto, AUS'!Q:Q,$A57,'Dapto, AUS'!$I:$I,TRUE),TRUE,FALSE)</f>
        <v>1</v>
      </c>
      <c r="AC57" s="47" t="b">
        <f>if(countifs('New Westminster, CAN'!Q:Q,$A57,'New Westminster, CAN'!$I:$I,TRUE),TRUE,FALSE)</f>
        <v>1</v>
      </c>
      <c r="AD57" s="47" t="b">
        <f>if(countifs('Georgetown, CAN'!Q:Q,$A57,'Georgetown, CAN'!$I:$I,TRUE),TRUE,FALSE)</f>
        <v>0</v>
      </c>
      <c r="AE57" s="47" t="b">
        <f>if(countifs('Kingswood, UK'!Q:Q,$A57,'Kingswood, UK'!$I:$I,TRUE),TRUE,FALSE)</f>
        <v>1</v>
      </c>
      <c r="AF57" s="47" t="b">
        <f>if(countifs('Hagerstown, USA'!Q:Q,$A57,'Hagerstown, USA'!$I:$I,TRUE),TRUE,FALSE)</f>
        <v>1</v>
      </c>
      <c r="AG57" s="47" t="b">
        <f>if(countifs('Felsogalla, HU'!Q:Q,$A57,'Felsogalla, HU'!$I:$I,TRUE),TRUE,FALSE)</f>
        <v>1</v>
      </c>
      <c r="AH57" s="47" t="b">
        <f>if(countifs('Norlane, AUS'!Q:Q,$A57,'Norlane, AUS'!$I:$I,TRUE),TRUE,FALSE)</f>
        <v>1</v>
      </c>
      <c r="AI57" s="47" t="b">
        <f>if(countifs('Meitingen, GER'!Q:Q,$A57,'Meitingen, GER'!$I:$I,TRUE),TRUE,FALSE)</f>
        <v>1</v>
      </c>
      <c r="AJ57" s="47" t="b">
        <f>if(countifs('Groningen, NL'!Q:Q,$A57,'Groningen, NL'!$I:$I,TRUE),TRUE,FALSE)</f>
        <v>0</v>
      </c>
      <c r="AK57" s="47" t="b">
        <f>if(countifs('Linköping, SW'!Q:Q,$A57,'Linköping, SW'!$I:$I,TRUE),TRUE,FALSE)</f>
        <v>1</v>
      </c>
      <c r="AL57" s="47" t="b">
        <f>if(countifs('Austin, USA'!Q:Q,$A57,'Austin, USA'!$I:$I,TRUE),TRUE,FALSE)</f>
        <v>0</v>
      </c>
      <c r="AM57" s="47" t="b">
        <f>if(countifs('Thringstone, UK'!Q:Q,$A57,'Thringstone, UK'!$I:$I,TRUE),TRUE,FALSE)</f>
        <v>1</v>
      </c>
      <c r="AN57" s="47" t="b">
        <f>if(countifs('Andover, UK'!Q:Q,$A57,'Andover, UK'!$I:$I,TRUE),TRUE,FALSE)</f>
        <v>1</v>
      </c>
      <c r="AO57" s="47" t="b">
        <f>if(countifs('Ospel, NL'!Q:Q,$A57,'Ospel, NL'!$I:$I,TRUE),TRUE,FALSE)</f>
        <v>1</v>
      </c>
      <c r="AP57" s="47" t="b">
        <f>if(countifs('Wonthaggi, AUS'!Q:Q,$A57,'Wonthaggi, AUS'!$I:$I,TRUE),TRUE,FALSE)</f>
        <v>1</v>
      </c>
      <c r="AQ57" s="47" t="b">
        <f>if(countifs('Falling_Waters, USA'!$Q:$Q,$A57,'Falling_Waters, USA'!$I:$I,TRUE),TRUE,FALSE)</f>
        <v>1</v>
      </c>
      <c r="AR57" s="47" t="b">
        <f>if(countifs('Kelmscott, AUS'!Q:Q,$A57,'Kelmscott, AUS'!$I:$I,TRUE),TRUE,FALSE)</f>
        <v>1</v>
      </c>
    </row>
    <row r="58">
      <c r="A58" s="47" t="str">
        <f>IFERROR(__xludf.DUMMYFUNCTION("""COMPUTED_VALUE"""),"TheFatCats")</f>
        <v>TheFatCats</v>
      </c>
      <c r="B58" s="47">
        <f t="shared" si="1"/>
        <v>15</v>
      </c>
      <c r="C58" s="47" t="b">
        <v>0</v>
      </c>
      <c r="D58" s="47" t="b">
        <v>0</v>
      </c>
      <c r="E58" s="47" t="b">
        <v>0</v>
      </c>
      <c r="F58" s="47" t="b">
        <v>0</v>
      </c>
      <c r="G58" s="96"/>
      <c r="H58" s="96" t="b">
        <f>if(countifs('Berlin, GER'!Q:Q,A58,'Berlin, GER'!I:I,TRUE),TRUE,FALSE)</f>
        <v>0</v>
      </c>
      <c r="I58" s="96" t="b">
        <f>if(countifs('Escondido, USA'!Q:Q,A58,'Escondido, USA'!I:I,TRUE),TRUE,FALSE)</f>
        <v>0</v>
      </c>
      <c r="J58" s="96" t="b">
        <f>if(countifs('Onkaparinga_Hills, AUS'!Q:Q,A58,'Onkaparinga_Hills, AUS'!I:I,TRUE),TRUE,FALSE)</f>
        <v>1</v>
      </c>
      <c r="K58" s="96" t="b">
        <f>if(countifs('Perth, AUS'!Q:Q,A58,'Perth, AUS'!I:I,TRUE),TRUE,FALSE)</f>
        <v>1</v>
      </c>
      <c r="L58" s="96" t="b">
        <f>if(countifs('Raleigh, USA'!Q:Q,A58,'Raleigh, USA'!I:I,TRUE),TRUE,FALSE)</f>
        <v>0</v>
      </c>
      <c r="M58" s="96" t="b">
        <f>if(countifs('Browns Plains, AUS'!Q:Q,A58,'Browns Plains, AUS'!I:I,TRUE),TRUE,FALSE)</f>
        <v>1</v>
      </c>
      <c r="N58" s="96" t="b">
        <f>if(countifs('Brossard, CAN'!Q:Q,A58,'Brossard, CAN'!I:I,TRUE),TRUE,FALSE)</f>
        <v>0</v>
      </c>
      <c r="O58" s="96" t="b">
        <f>if(countifs('Gouda, NL'!Q:Q,$A58,'Gouda, NL'!$I:$I,TRUE),TRUE,FALSE)</f>
        <v>1</v>
      </c>
      <c r="P58" s="47" t="b">
        <f>if(countifs('Plympton, UK'!Q:Q,$A58,'Plympton, UK'!$I:$I,TRUE),TRUE,FALSE)</f>
        <v>1</v>
      </c>
      <c r="Q58" s="47" t="b">
        <f>if(countifs('Glen Oaks, USA'!Q:Q,$A58,'Glen Oaks, USA'!$I:$I,TRUE),TRUE,FALSE)</f>
        <v>1</v>
      </c>
      <c r="R58" s="47" t="b">
        <f>if(countifs('Chemnitz, GER'!Q:Q,$A58,'Chemnitz, GER'!I:I,TRUE),TRUE,FALSE)</f>
        <v>1</v>
      </c>
      <c r="S58" s="47" t="b">
        <f>if(countifs('Vosselaar, BE'!Q:Q,$A58,'Vosselaar, BE'!$I:$I,TRUE),TRUE,FALSE)</f>
        <v>1</v>
      </c>
      <c r="T58" s="47" t="b">
        <f>if(countifs('MHQ, USA'!Q:Q,$A58,'MHQ, USA'!$I:$I,TRUE),TRUE,FALSE)</f>
        <v>1</v>
      </c>
      <c r="U58" s="47" t="b">
        <f>if(countifs('Morayfield, AUS'!Q:Q,$A58,'Morayfield, AUS'!$I:$I,TRUE),TRUE,FALSE)</f>
        <v>1</v>
      </c>
      <c r="V58" s="11" t="b">
        <f>if(countifs('Arnhem, NL'!Q:Q,$A58,'Arnhem, NL'!$I:$I,TRUE),TRUE,FALSE)</f>
        <v>0</v>
      </c>
      <c r="W58" s="47" t="b">
        <f>if(countifs('Gotenborg, SW'!Q:Q,$A58,'Gotenborg, SW'!$I:$I,TRUE),TRUE,FALSE)</f>
        <v>0</v>
      </c>
      <c r="X58" s="47" t="b">
        <f>if(countifs('Shepparton, AUS'!Q:Q,$A58,'Shepparton, AUS'!$I:$I,TRUE),TRUE,FALSE)</f>
        <v>1</v>
      </c>
      <c r="Y58" s="47" t="b">
        <f>if(countifs('Hoofddorp, NL'!Q:Q,$A58,'Hoofddorp, NL'!$I:$I,TRUE),TRUE,FALSE)</f>
        <v>1</v>
      </c>
      <c r="Z58" s="47" t="b">
        <f>if(countifs('Bedford, UK'!Q:Q,$A58,'Bedford, UK'!$I:$I,TRUE),TRUE,FALSE)</f>
        <v>1</v>
      </c>
      <c r="AA58" s="47" t="b">
        <f>IF(COUNTIFS('Desert Lodge, USA'!Q:Q,$A58,'Desert Lodge, USA'!I:I,TRUE),TRUE,FALSE)</f>
        <v>1</v>
      </c>
      <c r="AB58" s="47" t="b">
        <f>if(countifs('Dapto, AUS'!Q:Q,$A58,'Dapto, AUS'!$I:$I,TRUE),TRUE,FALSE)</f>
        <v>1</v>
      </c>
      <c r="AC58" s="47" t="b">
        <f>if(countifs('New Westminster, CAN'!Q:Q,$A58,'New Westminster, CAN'!$I:$I,TRUE),TRUE,FALSE)</f>
        <v>0</v>
      </c>
      <c r="AD58" s="47" t="b">
        <f>if(countifs('Georgetown, CAN'!Q:Q,$A58,'Georgetown, CAN'!$I:$I,TRUE),TRUE,FALSE)</f>
        <v>0</v>
      </c>
      <c r="AE58" s="47" t="b">
        <f>if(countifs('Kingswood, UK'!Q:Q,$A58,'Kingswood, UK'!$I:$I,TRUE),TRUE,FALSE)</f>
        <v>0</v>
      </c>
      <c r="AF58" s="47" t="b">
        <f>if(countifs('Hagerstown, USA'!Q:Q,$A58,'Hagerstown, USA'!$I:$I,TRUE),TRUE,FALSE)</f>
        <v>0</v>
      </c>
      <c r="AG58" s="47" t="b">
        <f>if(countifs('Felsogalla, HU'!Q:Q,$A58,'Felsogalla, HU'!$I:$I,TRUE),TRUE,FALSE)</f>
        <v>0</v>
      </c>
      <c r="AH58" s="47" t="b">
        <f>if(countifs('Norlane, AUS'!Q:Q,$A58,'Norlane, AUS'!$I:$I,TRUE),TRUE,FALSE)</f>
        <v>0</v>
      </c>
      <c r="AI58" s="47" t="b">
        <f>if(countifs('Meitingen, GER'!Q:Q,$A58,'Meitingen, GER'!$I:$I,TRUE),TRUE,FALSE)</f>
        <v>0</v>
      </c>
      <c r="AJ58" s="47" t="b">
        <f>if(countifs('Groningen, NL'!Q:Q,$A58,'Groningen, NL'!$I:$I,TRUE),TRUE,FALSE)</f>
        <v>0</v>
      </c>
      <c r="AK58" s="47" t="b">
        <f>if(countifs('Linköping, SW'!Q:Q,$A58,'Linköping, SW'!$I:$I,TRUE),TRUE,FALSE)</f>
        <v>0</v>
      </c>
      <c r="AL58" s="47" t="b">
        <f>if(countifs('Austin, USA'!Q:Q,$A58,'Austin, USA'!$I:$I,TRUE),TRUE,FALSE)</f>
        <v>0</v>
      </c>
      <c r="AM58" s="47" t="b">
        <f>if(countifs('Thringstone, UK'!Q:Q,$A58,'Thringstone, UK'!$I:$I,TRUE),TRUE,FALSE)</f>
        <v>0</v>
      </c>
      <c r="AN58" s="47" t="b">
        <f>if(countifs('Andover, UK'!Q:Q,$A58,'Andover, UK'!$I:$I,TRUE),TRUE,FALSE)</f>
        <v>0</v>
      </c>
      <c r="AO58" s="47" t="b">
        <f>if(countifs('Ospel, NL'!Q:Q,$A58,'Ospel, NL'!$I:$I,TRUE),TRUE,FALSE)</f>
        <v>0</v>
      </c>
      <c r="AP58" s="47" t="b">
        <f>if(countifs('Wonthaggi, AUS'!Q:Q,$A58,'Wonthaggi, AUS'!$I:$I,TRUE),TRUE,FALSE)</f>
        <v>0</v>
      </c>
      <c r="AQ58" s="47" t="b">
        <f>if(countifs('Falling_Waters, USA'!$Q:$Q,$A58,'Falling_Waters, USA'!$I:$I,TRUE),TRUE,FALSE)</f>
        <v>0</v>
      </c>
      <c r="AR58" s="47" t="b">
        <f>if(countifs('Kelmscott, AUS'!Q:Q,$A58,'Kelmscott, AUS'!$I:$I,TRUE),TRUE,FALSE)</f>
        <v>0</v>
      </c>
    </row>
    <row r="59">
      <c r="A59" s="47" t="str">
        <f>IFERROR(__xludf.DUMMYFUNCTION("""COMPUTED_VALUE"""),"KublaKhan")</f>
        <v>KublaKhan</v>
      </c>
      <c r="B59" s="47">
        <f t="shared" si="1"/>
        <v>3</v>
      </c>
      <c r="C59" s="47" t="b">
        <v>0</v>
      </c>
      <c r="D59" s="47" t="b">
        <v>0</v>
      </c>
      <c r="E59" s="47" t="b">
        <v>0</v>
      </c>
      <c r="F59" s="47" t="b">
        <v>0</v>
      </c>
      <c r="G59" s="96"/>
      <c r="H59" s="96" t="b">
        <f>if(countifs('Berlin, GER'!Q:Q,A59,'Berlin, GER'!I:I,TRUE),TRUE,FALSE)</f>
        <v>0</v>
      </c>
      <c r="I59" s="96" t="b">
        <f>if(countifs('Escondido, USA'!Q:Q,A59,'Escondido, USA'!I:I,TRUE),TRUE,FALSE)</f>
        <v>0</v>
      </c>
      <c r="J59" s="96" t="b">
        <f>if(countifs('Onkaparinga_Hills, AUS'!Q:Q,A59,'Onkaparinga_Hills, AUS'!I:I,TRUE),TRUE,FALSE)</f>
        <v>1</v>
      </c>
      <c r="K59" s="96" t="b">
        <f>if(countifs('Perth, AUS'!Q:Q,A59,'Perth, AUS'!I:I,TRUE),TRUE,FALSE)</f>
        <v>0</v>
      </c>
      <c r="L59" s="96" t="b">
        <f>if(countifs('Raleigh, USA'!Q:Q,A59,'Raleigh, USA'!I:I,TRUE),TRUE,FALSE)</f>
        <v>0</v>
      </c>
      <c r="M59" s="96" t="b">
        <f>if(countifs('Browns Plains, AUS'!Q:Q,A59,'Browns Plains, AUS'!I:I,TRUE),TRUE,FALSE)</f>
        <v>0</v>
      </c>
      <c r="N59" s="96" t="b">
        <f>if(countifs('Brossard, CAN'!Q:Q,A59,'Brossard, CAN'!I:I,TRUE),TRUE,FALSE)</f>
        <v>0</v>
      </c>
      <c r="O59" s="96" t="b">
        <f>if(countifs('Gouda, NL'!Q:Q,$A59,'Gouda, NL'!$I:$I,TRUE),TRUE,FALSE)</f>
        <v>0</v>
      </c>
      <c r="P59" s="47" t="b">
        <f>if(countifs('Plympton, UK'!Q:Q,$A59,'Plympton, UK'!$I:$I,TRUE),TRUE,FALSE)</f>
        <v>0</v>
      </c>
      <c r="Q59" s="47" t="b">
        <f>if(countifs('Glen Oaks, USA'!Q:Q,$A59,'Glen Oaks, USA'!$I:$I,TRUE),TRUE,FALSE)</f>
        <v>1</v>
      </c>
      <c r="R59" s="47" t="b">
        <f>if(countifs('Chemnitz, GER'!Q:Q,$A59,'Chemnitz, GER'!I:I,TRUE),TRUE,FALSE)</f>
        <v>0</v>
      </c>
      <c r="S59" s="47" t="b">
        <f>if(countifs('Vosselaar, BE'!Q:Q,$A59,'Vosselaar, BE'!$I:$I,TRUE),TRUE,FALSE)</f>
        <v>0</v>
      </c>
      <c r="T59" s="47" t="b">
        <f>if(countifs('MHQ, USA'!Q:Q,$A59,'MHQ, USA'!$I:$I,TRUE),TRUE,FALSE)</f>
        <v>0</v>
      </c>
      <c r="U59" s="47" t="b">
        <f>if(countifs('Morayfield, AUS'!Q:Q,$A59,'Morayfield, AUS'!$I:$I,TRUE),TRUE,FALSE)</f>
        <v>0</v>
      </c>
      <c r="V59" s="11" t="b">
        <f>if(countifs('Arnhem, NL'!Q:Q,$A59,'Arnhem, NL'!$I:$I,TRUE),TRUE,FALSE)</f>
        <v>0</v>
      </c>
      <c r="W59" s="47" t="b">
        <f>if(countifs('Gotenborg, SW'!Q:Q,$A59,'Gotenborg, SW'!$I:$I,TRUE),TRUE,FALSE)</f>
        <v>0</v>
      </c>
      <c r="X59" s="47" t="b">
        <f>if(countifs('Shepparton, AUS'!Q:Q,$A59,'Shepparton, AUS'!$I:$I,TRUE),TRUE,FALSE)</f>
        <v>0</v>
      </c>
      <c r="Y59" s="47" t="b">
        <f>if(countifs('Hoofddorp, NL'!Q:Q,$A59,'Hoofddorp, NL'!$I:$I,TRUE),TRUE,FALSE)</f>
        <v>0</v>
      </c>
      <c r="Z59" s="47" t="b">
        <f>if(countifs('Bedford, UK'!Q:Q,$A59,'Bedford, UK'!$I:$I,TRUE),TRUE,FALSE)</f>
        <v>0</v>
      </c>
      <c r="AA59" s="47" t="b">
        <f>IF(COUNTIFS('Desert Lodge, USA'!Q:Q,$A59,'Desert Lodge, USA'!I:I,TRUE),TRUE,FALSE)</f>
        <v>1</v>
      </c>
      <c r="AB59" s="47" t="b">
        <f>if(countifs('Dapto, AUS'!Q:Q,$A59,'Dapto, AUS'!$I:$I,TRUE),TRUE,FALSE)</f>
        <v>0</v>
      </c>
      <c r="AC59" s="47" t="b">
        <f>if(countifs('New Westminster, CAN'!Q:Q,$A59,'New Westminster, CAN'!$I:$I,TRUE),TRUE,FALSE)</f>
        <v>0</v>
      </c>
      <c r="AD59" s="47" t="b">
        <f>if(countifs('Georgetown, CAN'!Q:Q,$A59,'Georgetown, CAN'!$I:$I,TRUE),TRUE,FALSE)</f>
        <v>0</v>
      </c>
      <c r="AE59" s="47" t="b">
        <f>if(countifs('Kingswood, UK'!Q:Q,$A59,'Kingswood, UK'!$I:$I,TRUE),TRUE,FALSE)</f>
        <v>0</v>
      </c>
      <c r="AF59" s="47" t="b">
        <f>if(countifs('Hagerstown, USA'!Q:Q,$A59,'Hagerstown, USA'!$I:$I,TRUE),TRUE,FALSE)</f>
        <v>0</v>
      </c>
      <c r="AG59" s="47" t="b">
        <f>if(countifs('Felsogalla, HU'!Q:Q,$A59,'Felsogalla, HU'!$I:$I,TRUE),TRUE,FALSE)</f>
        <v>0</v>
      </c>
      <c r="AH59" s="47" t="b">
        <f>if(countifs('Norlane, AUS'!Q:Q,$A59,'Norlane, AUS'!$I:$I,TRUE),TRUE,FALSE)</f>
        <v>0</v>
      </c>
      <c r="AI59" s="47" t="b">
        <f>if(countifs('Meitingen, GER'!Q:Q,$A59,'Meitingen, GER'!$I:$I,TRUE),TRUE,FALSE)</f>
        <v>0</v>
      </c>
      <c r="AJ59" s="47" t="b">
        <f>if(countifs('Groningen, NL'!Q:Q,$A59,'Groningen, NL'!$I:$I,TRUE),TRUE,FALSE)</f>
        <v>0</v>
      </c>
      <c r="AK59" s="47" t="b">
        <f>if(countifs('Linköping, SW'!Q:Q,$A59,'Linköping, SW'!$I:$I,TRUE),TRUE,FALSE)</f>
        <v>0</v>
      </c>
      <c r="AL59" s="47" t="b">
        <f>if(countifs('Austin, USA'!Q:Q,$A59,'Austin, USA'!$I:$I,TRUE),TRUE,FALSE)</f>
        <v>0</v>
      </c>
      <c r="AM59" s="47" t="b">
        <f>if(countifs('Thringstone, UK'!Q:Q,$A59,'Thringstone, UK'!$I:$I,TRUE),TRUE,FALSE)</f>
        <v>0</v>
      </c>
      <c r="AN59" s="47" t="b">
        <f>if(countifs('Andover, UK'!Q:Q,$A59,'Andover, UK'!$I:$I,TRUE),TRUE,FALSE)</f>
        <v>0</v>
      </c>
      <c r="AO59" s="47" t="b">
        <f>if(countifs('Ospel, NL'!Q:Q,$A59,'Ospel, NL'!$I:$I,TRUE),TRUE,FALSE)</f>
        <v>0</v>
      </c>
      <c r="AP59" s="47" t="b">
        <f>if(countifs('Wonthaggi, AUS'!Q:Q,$A59,'Wonthaggi, AUS'!$I:$I,TRUE),TRUE,FALSE)</f>
        <v>0</v>
      </c>
      <c r="AQ59" s="47" t="b">
        <f>if(countifs('Falling_Waters, USA'!$Q:$Q,$A59,'Falling_Waters, USA'!$I:$I,TRUE),TRUE,FALSE)</f>
        <v>0</v>
      </c>
      <c r="AR59" s="47" t="b">
        <f>if(countifs('Kelmscott, AUS'!Q:Q,$A59,'Kelmscott, AUS'!$I:$I,TRUE),TRUE,FALSE)</f>
        <v>0</v>
      </c>
    </row>
    <row r="60">
      <c r="A60" s="47" t="str">
        <f>IFERROR(__xludf.DUMMYFUNCTION("""COMPUTED_VALUE"""),"Beermaven")</f>
        <v>Beermaven</v>
      </c>
      <c r="B60" s="47">
        <f t="shared" si="1"/>
        <v>2</v>
      </c>
      <c r="C60" s="47" t="b">
        <v>0</v>
      </c>
      <c r="D60" s="47" t="b">
        <v>0</v>
      </c>
      <c r="E60" s="47" t="b">
        <v>0</v>
      </c>
      <c r="F60" s="47" t="b">
        <v>0</v>
      </c>
      <c r="G60" s="96"/>
      <c r="H60" s="96" t="b">
        <f>if(countifs('Berlin, GER'!Q:Q,A60,'Berlin, GER'!I:I,TRUE),TRUE,FALSE)</f>
        <v>0</v>
      </c>
      <c r="I60" s="96" t="b">
        <f>if(countifs('Escondido, USA'!Q:Q,A60,'Escondido, USA'!I:I,TRUE),TRUE,FALSE)</f>
        <v>0</v>
      </c>
      <c r="J60" s="96" t="b">
        <f>if(countifs('Onkaparinga_Hills, AUS'!Q:Q,A60,'Onkaparinga_Hills, AUS'!I:I,TRUE),TRUE,FALSE)</f>
        <v>1</v>
      </c>
      <c r="K60" s="96" t="b">
        <f>if(countifs('Perth, AUS'!Q:Q,A60,'Perth, AUS'!I:I,TRUE),TRUE,FALSE)</f>
        <v>0</v>
      </c>
      <c r="L60" s="96" t="b">
        <f>if(countifs('Raleigh, USA'!Q:Q,A60,'Raleigh, USA'!I:I,TRUE),TRUE,FALSE)</f>
        <v>0</v>
      </c>
      <c r="M60" s="96" t="b">
        <f>if(countifs('Browns Plains, AUS'!Q:Q,A60,'Browns Plains, AUS'!I:I,TRUE),TRUE,FALSE)</f>
        <v>0</v>
      </c>
      <c r="N60" s="96" t="b">
        <f>if(countifs('Brossard, CAN'!Q:Q,A60,'Brossard, CAN'!I:I,TRUE),TRUE,FALSE)</f>
        <v>0</v>
      </c>
      <c r="O60" s="96" t="b">
        <f>if(countifs('Gouda, NL'!Q:Q,$A60,'Gouda, NL'!$I:$I,TRUE),TRUE,FALSE)</f>
        <v>0</v>
      </c>
      <c r="P60" s="47" t="b">
        <f>if(countifs('Plympton, UK'!Q:Q,$A60,'Plympton, UK'!$I:$I,TRUE),TRUE,FALSE)</f>
        <v>0</v>
      </c>
      <c r="Q60" s="47" t="b">
        <f>if(countifs('Glen Oaks, USA'!Q:Q,$A60,'Glen Oaks, USA'!$I:$I,TRUE),TRUE,FALSE)</f>
        <v>1</v>
      </c>
      <c r="R60" s="47" t="b">
        <f>if(countifs('Chemnitz, GER'!Q:Q,$A60,'Chemnitz, GER'!I:I,TRUE),TRUE,FALSE)</f>
        <v>0</v>
      </c>
      <c r="S60" s="47" t="b">
        <f>if(countifs('Vosselaar, BE'!Q:Q,$A60,'Vosselaar, BE'!$I:$I,TRUE),TRUE,FALSE)</f>
        <v>0</v>
      </c>
      <c r="T60" s="47" t="b">
        <f>if(countifs('MHQ, USA'!Q:Q,$A60,'MHQ, USA'!$I:$I,TRUE),TRUE,FALSE)</f>
        <v>0</v>
      </c>
      <c r="U60" s="47" t="b">
        <f>if(countifs('Morayfield, AUS'!Q:Q,$A60,'Morayfield, AUS'!$I:$I,TRUE),TRUE,FALSE)</f>
        <v>0</v>
      </c>
      <c r="V60" s="11" t="b">
        <f>if(countifs('Arnhem, NL'!Q:Q,$A60,'Arnhem, NL'!$I:$I,TRUE),TRUE,FALSE)</f>
        <v>0</v>
      </c>
      <c r="W60" s="47" t="b">
        <f>if(countifs('Gotenborg, SW'!Q:Q,$A60,'Gotenborg, SW'!$I:$I,TRUE),TRUE,FALSE)</f>
        <v>0</v>
      </c>
      <c r="X60" s="47" t="b">
        <f>if(countifs('Shepparton, AUS'!Q:Q,$A60,'Shepparton, AUS'!$I:$I,TRUE),TRUE,FALSE)</f>
        <v>0</v>
      </c>
      <c r="Y60" s="47" t="b">
        <f>if(countifs('Hoofddorp, NL'!Q:Q,$A60,'Hoofddorp, NL'!$I:$I,TRUE),TRUE,FALSE)</f>
        <v>0</v>
      </c>
      <c r="Z60" s="47" t="b">
        <f>if(countifs('Bedford, UK'!Q:Q,$A60,'Bedford, UK'!$I:$I,TRUE),TRUE,FALSE)</f>
        <v>0</v>
      </c>
      <c r="AA60" s="47" t="b">
        <f>IF(COUNTIFS('Desert Lodge, USA'!Q:Q,$A60,'Desert Lodge, USA'!I:I,TRUE),TRUE,FALSE)</f>
        <v>0</v>
      </c>
      <c r="AB60" s="47" t="b">
        <f>if(countifs('Dapto, AUS'!Q:Q,$A60,'Dapto, AUS'!$I:$I,TRUE),TRUE,FALSE)</f>
        <v>0</v>
      </c>
      <c r="AC60" s="47" t="b">
        <f>if(countifs('New Westminster, CAN'!Q:Q,$A60,'New Westminster, CAN'!$I:$I,TRUE),TRUE,FALSE)</f>
        <v>0</v>
      </c>
      <c r="AD60" s="47" t="b">
        <f>if(countifs('Georgetown, CAN'!Q:Q,$A60,'Georgetown, CAN'!$I:$I,TRUE),TRUE,FALSE)</f>
        <v>0</v>
      </c>
      <c r="AE60" s="47" t="b">
        <f>if(countifs('Kingswood, UK'!Q:Q,$A60,'Kingswood, UK'!$I:$I,TRUE),TRUE,FALSE)</f>
        <v>0</v>
      </c>
      <c r="AF60" s="47" t="b">
        <f>if(countifs('Hagerstown, USA'!Q:Q,$A60,'Hagerstown, USA'!$I:$I,TRUE),TRUE,FALSE)</f>
        <v>0</v>
      </c>
      <c r="AG60" s="47" t="b">
        <f>if(countifs('Felsogalla, HU'!Q:Q,$A60,'Felsogalla, HU'!$I:$I,TRUE),TRUE,FALSE)</f>
        <v>0</v>
      </c>
      <c r="AH60" s="47" t="b">
        <f>if(countifs('Norlane, AUS'!Q:Q,$A60,'Norlane, AUS'!$I:$I,TRUE),TRUE,FALSE)</f>
        <v>0</v>
      </c>
      <c r="AI60" s="47" t="b">
        <f>if(countifs('Meitingen, GER'!Q:Q,$A60,'Meitingen, GER'!$I:$I,TRUE),TRUE,FALSE)</f>
        <v>0</v>
      </c>
      <c r="AJ60" s="47" t="b">
        <f>if(countifs('Groningen, NL'!Q:Q,$A60,'Groningen, NL'!$I:$I,TRUE),TRUE,FALSE)</f>
        <v>0</v>
      </c>
      <c r="AK60" s="47" t="b">
        <f>if(countifs('Linköping, SW'!Q:Q,$A60,'Linköping, SW'!$I:$I,TRUE),TRUE,FALSE)</f>
        <v>0</v>
      </c>
      <c r="AL60" s="47" t="b">
        <f>if(countifs('Austin, USA'!Q:Q,$A60,'Austin, USA'!$I:$I,TRUE),TRUE,FALSE)</f>
        <v>0</v>
      </c>
      <c r="AM60" s="47" t="b">
        <f>if(countifs('Thringstone, UK'!Q:Q,$A60,'Thringstone, UK'!$I:$I,TRUE),TRUE,FALSE)</f>
        <v>0</v>
      </c>
      <c r="AN60" s="47" t="b">
        <f>if(countifs('Andover, UK'!Q:Q,$A60,'Andover, UK'!$I:$I,TRUE),TRUE,FALSE)</f>
        <v>0</v>
      </c>
      <c r="AO60" s="47" t="b">
        <f>if(countifs('Ospel, NL'!Q:Q,$A60,'Ospel, NL'!$I:$I,TRUE),TRUE,FALSE)</f>
        <v>0</v>
      </c>
      <c r="AP60" s="47" t="b">
        <f>if(countifs('Wonthaggi, AUS'!Q:Q,$A60,'Wonthaggi, AUS'!$I:$I,TRUE),TRUE,FALSE)</f>
        <v>0</v>
      </c>
      <c r="AQ60" s="47" t="b">
        <f>if(countifs('Falling_Waters, USA'!$Q:$Q,$A60,'Falling_Waters, USA'!$I:$I,TRUE),TRUE,FALSE)</f>
        <v>0</v>
      </c>
      <c r="AR60" s="47" t="b">
        <f>if(countifs('Kelmscott, AUS'!Q:Q,$A60,'Kelmscott, AUS'!$I:$I,TRUE),TRUE,FALSE)</f>
        <v>0</v>
      </c>
    </row>
    <row r="61">
      <c r="A61" s="47" t="str">
        <f>IFERROR(__xludf.DUMMYFUNCTION("""COMPUTED_VALUE"""),"CrazyLadyLisa")</f>
        <v>CrazyLadyLisa</v>
      </c>
      <c r="B61" s="47">
        <f t="shared" si="1"/>
        <v>1</v>
      </c>
      <c r="C61" s="47" t="b">
        <v>0</v>
      </c>
      <c r="D61" s="47" t="b">
        <v>0</v>
      </c>
      <c r="E61" s="47" t="b">
        <v>0</v>
      </c>
      <c r="F61" s="47" t="b">
        <v>0</v>
      </c>
      <c r="G61" s="96"/>
      <c r="H61" s="96" t="b">
        <f>if(countifs('Berlin, GER'!Q:Q,A61,'Berlin, GER'!I:I,TRUE),TRUE,FALSE)</f>
        <v>0</v>
      </c>
      <c r="I61" s="96" t="b">
        <f>if(countifs('Escondido, USA'!Q:Q,A61,'Escondido, USA'!I:I,TRUE),TRUE,FALSE)</f>
        <v>0</v>
      </c>
      <c r="J61" s="96" t="b">
        <f>if(countifs('Onkaparinga_Hills, AUS'!Q:Q,A61,'Onkaparinga_Hills, AUS'!I:I,TRUE),TRUE,FALSE)</f>
        <v>0</v>
      </c>
      <c r="K61" s="96" t="b">
        <f>if(countifs('Perth, AUS'!Q:Q,A61,'Perth, AUS'!I:I,TRUE),TRUE,FALSE)</f>
        <v>1</v>
      </c>
      <c r="L61" s="96" t="b">
        <f>if(countifs('Raleigh, USA'!Q:Q,A61,'Raleigh, USA'!I:I,TRUE),TRUE,FALSE)</f>
        <v>0</v>
      </c>
      <c r="M61" s="96" t="b">
        <f>if(countifs('Browns Plains, AUS'!Q:Q,A61,'Browns Plains, AUS'!I:I,TRUE),TRUE,FALSE)</f>
        <v>0</v>
      </c>
      <c r="N61" s="96" t="b">
        <f>if(countifs('Brossard, CAN'!Q:Q,A61,'Brossard, CAN'!I:I,TRUE),TRUE,FALSE)</f>
        <v>0</v>
      </c>
      <c r="O61" s="96" t="b">
        <f>if(countifs('Gouda, NL'!Q:Q,$A61,'Gouda, NL'!$I:$I,TRUE),TRUE,FALSE)</f>
        <v>0</v>
      </c>
      <c r="P61" s="47" t="b">
        <f>if(countifs('Plympton, UK'!Q:Q,$A61,'Plympton, UK'!$I:$I,TRUE),TRUE,FALSE)</f>
        <v>0</v>
      </c>
      <c r="Q61" s="47" t="b">
        <f>if(countifs('Glen Oaks, USA'!Q:Q,$A61,'Glen Oaks, USA'!$I:$I,TRUE),TRUE,FALSE)</f>
        <v>0</v>
      </c>
      <c r="R61" s="47" t="b">
        <f>if(countifs('Chemnitz, GER'!Q:Q,$A61,'Chemnitz, GER'!I:I,TRUE),TRUE,FALSE)</f>
        <v>0</v>
      </c>
      <c r="S61" s="47" t="b">
        <f>if(countifs('Vosselaar, BE'!Q:Q,$A61,'Vosselaar, BE'!$I:$I,TRUE),TRUE,FALSE)</f>
        <v>0</v>
      </c>
      <c r="T61" s="47" t="b">
        <f>if(countifs('MHQ, USA'!Q:Q,$A61,'MHQ, USA'!$I:$I,TRUE),TRUE,FALSE)</f>
        <v>0</v>
      </c>
      <c r="U61" s="47" t="b">
        <f>if(countifs('Morayfield, AUS'!Q:Q,$A61,'Morayfield, AUS'!$I:$I,TRUE),TRUE,FALSE)</f>
        <v>0</v>
      </c>
      <c r="V61" s="11" t="b">
        <f>if(countifs('Arnhem, NL'!Q:Q,$A61,'Arnhem, NL'!$I:$I,TRUE),TRUE,FALSE)</f>
        <v>0</v>
      </c>
      <c r="W61" s="47" t="b">
        <f>if(countifs('Gotenborg, SW'!Q:Q,$A61,'Gotenborg, SW'!$I:$I,TRUE),TRUE,FALSE)</f>
        <v>0</v>
      </c>
      <c r="X61" s="47" t="b">
        <f>if(countifs('Shepparton, AUS'!Q:Q,$A61,'Shepparton, AUS'!$I:$I,TRUE),TRUE,FALSE)</f>
        <v>0</v>
      </c>
      <c r="Y61" s="47" t="b">
        <f>if(countifs('Hoofddorp, NL'!Q:Q,$A61,'Hoofddorp, NL'!$I:$I,TRUE),TRUE,FALSE)</f>
        <v>0</v>
      </c>
      <c r="Z61" s="47" t="b">
        <f>if(countifs('Bedford, UK'!Q:Q,$A61,'Bedford, UK'!$I:$I,TRUE),TRUE,FALSE)</f>
        <v>0</v>
      </c>
      <c r="AA61" s="47" t="b">
        <f>IF(COUNTIFS('Desert Lodge, USA'!Q:Q,$A61,'Desert Lodge, USA'!I:I,TRUE),TRUE,FALSE)</f>
        <v>0</v>
      </c>
      <c r="AB61" s="47" t="b">
        <f>if(countifs('Dapto, AUS'!Q:Q,$A61,'Dapto, AUS'!$I:$I,TRUE),TRUE,FALSE)</f>
        <v>0</v>
      </c>
      <c r="AC61" s="47" t="b">
        <f>if(countifs('New Westminster, CAN'!Q:Q,$A61,'New Westminster, CAN'!$I:$I,TRUE),TRUE,FALSE)</f>
        <v>0</v>
      </c>
      <c r="AD61" s="47" t="b">
        <f>if(countifs('Georgetown, CAN'!Q:Q,$A61,'Georgetown, CAN'!$I:$I,TRUE),TRUE,FALSE)</f>
        <v>0</v>
      </c>
      <c r="AE61" s="47" t="b">
        <f>if(countifs('Kingswood, UK'!Q:Q,$A61,'Kingswood, UK'!$I:$I,TRUE),TRUE,FALSE)</f>
        <v>0</v>
      </c>
      <c r="AF61" s="47" t="b">
        <f>if(countifs('Hagerstown, USA'!Q:Q,$A61,'Hagerstown, USA'!$I:$I,TRUE),TRUE,FALSE)</f>
        <v>0</v>
      </c>
      <c r="AG61" s="47" t="b">
        <f>if(countifs('Felsogalla, HU'!Q:Q,$A61,'Felsogalla, HU'!$I:$I,TRUE),TRUE,FALSE)</f>
        <v>0</v>
      </c>
      <c r="AH61" s="47" t="b">
        <f>if(countifs('Norlane, AUS'!Q:Q,$A61,'Norlane, AUS'!$I:$I,TRUE),TRUE,FALSE)</f>
        <v>0</v>
      </c>
      <c r="AI61" s="47" t="b">
        <f>if(countifs('Meitingen, GER'!Q:Q,$A61,'Meitingen, GER'!$I:$I,TRUE),TRUE,FALSE)</f>
        <v>0</v>
      </c>
      <c r="AJ61" s="47" t="b">
        <f>if(countifs('Groningen, NL'!Q:Q,$A61,'Groningen, NL'!$I:$I,TRUE),TRUE,FALSE)</f>
        <v>0</v>
      </c>
      <c r="AK61" s="47" t="b">
        <f>if(countifs('Linköping, SW'!Q:Q,$A61,'Linköping, SW'!$I:$I,TRUE),TRUE,FALSE)</f>
        <v>0</v>
      </c>
      <c r="AL61" s="47" t="b">
        <f>if(countifs('Austin, USA'!Q:Q,$A61,'Austin, USA'!$I:$I,TRUE),TRUE,FALSE)</f>
        <v>0</v>
      </c>
      <c r="AM61" s="47" t="b">
        <f>if(countifs('Thringstone, UK'!Q:Q,$A61,'Thringstone, UK'!$I:$I,TRUE),TRUE,FALSE)</f>
        <v>0</v>
      </c>
      <c r="AN61" s="47" t="b">
        <f>if(countifs('Andover, UK'!Q:Q,$A61,'Andover, UK'!$I:$I,TRUE),TRUE,FALSE)</f>
        <v>0</v>
      </c>
      <c r="AO61" s="47" t="b">
        <f>if(countifs('Ospel, NL'!Q:Q,$A61,'Ospel, NL'!$I:$I,TRUE),TRUE,FALSE)</f>
        <v>0</v>
      </c>
      <c r="AP61" s="47" t="b">
        <f>if(countifs('Wonthaggi, AUS'!Q:Q,$A61,'Wonthaggi, AUS'!$I:$I,TRUE),TRUE,FALSE)</f>
        <v>0</v>
      </c>
      <c r="AQ61" s="47" t="b">
        <f>if(countifs('Falling_Waters, USA'!$Q:$Q,$A61,'Falling_Waters, USA'!$I:$I,TRUE),TRUE,FALSE)</f>
        <v>0</v>
      </c>
      <c r="AR61" s="47" t="b">
        <f>if(countifs('Kelmscott, AUS'!Q:Q,$A61,'Kelmscott, AUS'!$I:$I,TRUE),TRUE,FALSE)</f>
        <v>0</v>
      </c>
    </row>
    <row r="62">
      <c r="A62" s="47" t="str">
        <f>IFERROR(__xludf.DUMMYFUNCTION("""COMPUTED_VALUE"""),"IXE13")</f>
        <v>IXE13</v>
      </c>
      <c r="B62" s="47">
        <f t="shared" si="1"/>
        <v>2</v>
      </c>
      <c r="C62" s="47" t="b">
        <v>0</v>
      </c>
      <c r="D62" s="47" t="b">
        <v>0</v>
      </c>
      <c r="E62" s="47" t="b">
        <v>0</v>
      </c>
      <c r="F62" s="47" t="b">
        <v>0</v>
      </c>
      <c r="G62" s="96"/>
      <c r="H62" s="96" t="b">
        <f>if(countifs('Berlin, GER'!Q:Q,A62,'Berlin, GER'!I:I,TRUE),TRUE,FALSE)</f>
        <v>0</v>
      </c>
      <c r="I62" s="96" t="b">
        <f>if(countifs('Escondido, USA'!Q:Q,A62,'Escondido, USA'!I:I,TRUE),TRUE,FALSE)</f>
        <v>0</v>
      </c>
      <c r="J62" s="96" t="b">
        <f>if(countifs('Onkaparinga_Hills, AUS'!Q:Q,A62,'Onkaparinga_Hills, AUS'!I:I,TRUE),TRUE,FALSE)</f>
        <v>0</v>
      </c>
      <c r="K62" s="96" t="b">
        <f>if(countifs('Perth, AUS'!Q:Q,A62,'Perth, AUS'!I:I,TRUE),TRUE,FALSE)</f>
        <v>1</v>
      </c>
      <c r="L62" s="96" t="b">
        <f>if(countifs('Raleigh, USA'!Q:Q,A62,'Raleigh, USA'!I:I,TRUE),TRUE,FALSE)</f>
        <v>0</v>
      </c>
      <c r="M62" s="96" t="b">
        <f>if(countifs('Browns Plains, AUS'!Q:Q,A62,'Browns Plains, AUS'!I:I,TRUE),TRUE,FALSE)</f>
        <v>0</v>
      </c>
      <c r="N62" s="96" t="b">
        <f>if(countifs('Brossard, CAN'!Q:Q,A62,'Brossard, CAN'!I:I,TRUE),TRUE,FALSE)</f>
        <v>1</v>
      </c>
      <c r="O62" s="96" t="b">
        <f>if(countifs('Gouda, NL'!Q:Q,$A62,'Gouda, NL'!$I:$I,TRUE),TRUE,FALSE)</f>
        <v>0</v>
      </c>
      <c r="P62" s="47" t="b">
        <f>if(countifs('Plympton, UK'!Q:Q,$A62,'Plympton, UK'!$I:$I,TRUE),TRUE,FALSE)</f>
        <v>0</v>
      </c>
      <c r="Q62" s="47" t="b">
        <f>if(countifs('Glen Oaks, USA'!Q:Q,$A62,'Glen Oaks, USA'!$I:$I,TRUE),TRUE,FALSE)</f>
        <v>0</v>
      </c>
      <c r="R62" s="47" t="b">
        <f>if(countifs('Chemnitz, GER'!Q:Q,$A62,'Chemnitz, GER'!I:I,TRUE),TRUE,FALSE)</f>
        <v>0</v>
      </c>
      <c r="S62" s="47" t="b">
        <f>if(countifs('Vosselaar, BE'!Q:Q,$A62,'Vosselaar, BE'!$I:$I,TRUE),TRUE,FALSE)</f>
        <v>0</v>
      </c>
      <c r="T62" s="47" t="b">
        <f>if(countifs('MHQ, USA'!Q:Q,$A62,'MHQ, USA'!$I:$I,TRUE),TRUE,FALSE)</f>
        <v>0</v>
      </c>
      <c r="U62" s="47" t="b">
        <f>if(countifs('Morayfield, AUS'!Q:Q,$A62,'Morayfield, AUS'!$I:$I,TRUE),TRUE,FALSE)</f>
        <v>0</v>
      </c>
      <c r="V62" s="11" t="b">
        <f>if(countifs('Arnhem, NL'!Q:Q,$A62,'Arnhem, NL'!$I:$I,TRUE),TRUE,FALSE)</f>
        <v>0</v>
      </c>
      <c r="W62" s="47" t="b">
        <f>if(countifs('Gotenborg, SW'!Q:Q,$A62,'Gotenborg, SW'!$I:$I,TRUE),TRUE,FALSE)</f>
        <v>0</v>
      </c>
      <c r="X62" s="47" t="b">
        <f>if(countifs('Shepparton, AUS'!Q:Q,$A62,'Shepparton, AUS'!$I:$I,TRUE),TRUE,FALSE)</f>
        <v>0</v>
      </c>
      <c r="Y62" s="47" t="b">
        <f>if(countifs('Hoofddorp, NL'!Q:Q,$A62,'Hoofddorp, NL'!$I:$I,TRUE),TRUE,FALSE)</f>
        <v>0</v>
      </c>
      <c r="Z62" s="47" t="b">
        <f>if(countifs('Bedford, UK'!Q:Q,$A62,'Bedford, UK'!$I:$I,TRUE),TRUE,FALSE)</f>
        <v>0</v>
      </c>
      <c r="AA62" s="47" t="b">
        <f>IF(COUNTIFS('Desert Lodge, USA'!Q:Q,$A62,'Desert Lodge, USA'!I:I,TRUE),TRUE,FALSE)</f>
        <v>0</v>
      </c>
      <c r="AB62" s="47" t="b">
        <f>if(countifs('Dapto, AUS'!Q:Q,$A62,'Dapto, AUS'!$I:$I,TRUE),TRUE,FALSE)</f>
        <v>0</v>
      </c>
      <c r="AC62" s="47" t="b">
        <f>if(countifs('New Westminster, CAN'!Q:Q,$A62,'New Westminster, CAN'!$I:$I,TRUE),TRUE,FALSE)</f>
        <v>0</v>
      </c>
      <c r="AD62" s="47" t="b">
        <f>if(countifs('Georgetown, CAN'!Q:Q,$A62,'Georgetown, CAN'!$I:$I,TRUE),TRUE,FALSE)</f>
        <v>0</v>
      </c>
      <c r="AE62" s="47" t="b">
        <f>if(countifs('Kingswood, UK'!Q:Q,$A62,'Kingswood, UK'!$I:$I,TRUE),TRUE,FALSE)</f>
        <v>0</v>
      </c>
      <c r="AF62" s="47" t="b">
        <f>if(countifs('Hagerstown, USA'!Q:Q,$A62,'Hagerstown, USA'!$I:$I,TRUE),TRUE,FALSE)</f>
        <v>0</v>
      </c>
      <c r="AG62" s="47" t="b">
        <f>if(countifs('Felsogalla, HU'!Q:Q,$A62,'Felsogalla, HU'!$I:$I,TRUE),TRUE,FALSE)</f>
        <v>0</v>
      </c>
      <c r="AH62" s="47" t="b">
        <f>if(countifs('Norlane, AUS'!Q:Q,$A62,'Norlane, AUS'!$I:$I,TRUE),TRUE,FALSE)</f>
        <v>0</v>
      </c>
      <c r="AI62" s="47" t="b">
        <f>if(countifs('Meitingen, GER'!Q:Q,$A62,'Meitingen, GER'!$I:$I,TRUE),TRUE,FALSE)</f>
        <v>0</v>
      </c>
      <c r="AJ62" s="47" t="b">
        <f>if(countifs('Groningen, NL'!Q:Q,$A62,'Groningen, NL'!$I:$I,TRUE),TRUE,FALSE)</f>
        <v>0</v>
      </c>
      <c r="AK62" s="47" t="b">
        <f>if(countifs('Linköping, SW'!Q:Q,$A62,'Linköping, SW'!$I:$I,TRUE),TRUE,FALSE)</f>
        <v>0</v>
      </c>
      <c r="AL62" s="47" t="b">
        <f>if(countifs('Austin, USA'!Q:Q,$A62,'Austin, USA'!$I:$I,TRUE),TRUE,FALSE)</f>
        <v>0</v>
      </c>
      <c r="AM62" s="47" t="b">
        <f>if(countifs('Thringstone, UK'!Q:Q,$A62,'Thringstone, UK'!$I:$I,TRUE),TRUE,FALSE)</f>
        <v>0</v>
      </c>
      <c r="AN62" s="47" t="b">
        <f>if(countifs('Andover, UK'!Q:Q,$A62,'Andover, UK'!$I:$I,TRUE),TRUE,FALSE)</f>
        <v>0</v>
      </c>
      <c r="AO62" s="47" t="b">
        <f>if(countifs('Ospel, NL'!Q:Q,$A62,'Ospel, NL'!$I:$I,TRUE),TRUE,FALSE)</f>
        <v>0</v>
      </c>
      <c r="AP62" s="47" t="b">
        <f>if(countifs('Wonthaggi, AUS'!Q:Q,$A62,'Wonthaggi, AUS'!$I:$I,TRUE),TRUE,FALSE)</f>
        <v>0</v>
      </c>
      <c r="AQ62" s="47" t="b">
        <f>if(countifs('Falling_Waters, USA'!$Q:$Q,$A62,'Falling_Waters, USA'!$I:$I,TRUE),TRUE,FALSE)</f>
        <v>0</v>
      </c>
      <c r="AR62" s="47" t="b">
        <f>if(countifs('Kelmscott, AUS'!Q:Q,$A62,'Kelmscott, AUS'!$I:$I,TRUE),TRUE,FALSE)</f>
        <v>0</v>
      </c>
    </row>
    <row r="63">
      <c r="A63" s="47" t="str">
        <f>IFERROR(__xludf.DUMMYFUNCTION("""COMPUTED_VALUE"""),"Laouate")</f>
        <v>Laouate</v>
      </c>
      <c r="B63" s="47">
        <f t="shared" si="1"/>
        <v>2</v>
      </c>
      <c r="C63" s="47" t="b">
        <v>0</v>
      </c>
      <c r="D63" s="47" t="b">
        <v>0</v>
      </c>
      <c r="E63" s="47" t="b">
        <v>0</v>
      </c>
      <c r="F63" s="47" t="b">
        <v>0</v>
      </c>
      <c r="G63" s="96"/>
      <c r="H63" s="96" t="b">
        <f>if(countifs('Berlin, GER'!Q:Q,A63,'Berlin, GER'!I:I,TRUE),TRUE,FALSE)</f>
        <v>0</v>
      </c>
      <c r="I63" s="96" t="b">
        <f>if(countifs('Escondido, USA'!Q:Q,A63,'Escondido, USA'!I:I,TRUE),TRUE,FALSE)</f>
        <v>0</v>
      </c>
      <c r="J63" s="96" t="b">
        <f>if(countifs('Onkaparinga_Hills, AUS'!Q:Q,A63,'Onkaparinga_Hills, AUS'!I:I,TRUE),TRUE,FALSE)</f>
        <v>0</v>
      </c>
      <c r="K63" s="96" t="b">
        <f>if(countifs('Perth, AUS'!Q:Q,A63,'Perth, AUS'!I:I,TRUE),TRUE,FALSE)</f>
        <v>1</v>
      </c>
      <c r="L63" s="96" t="b">
        <f>if(countifs('Raleigh, USA'!Q:Q,A63,'Raleigh, USA'!I:I,TRUE),TRUE,FALSE)</f>
        <v>0</v>
      </c>
      <c r="M63" s="96" t="b">
        <f>if(countifs('Browns Plains, AUS'!Q:Q,A63,'Browns Plains, AUS'!I:I,TRUE),TRUE,FALSE)</f>
        <v>0</v>
      </c>
      <c r="N63" s="96" t="b">
        <f>if(countifs('Brossard, CAN'!Q:Q,A63,'Brossard, CAN'!I:I,TRUE),TRUE,FALSE)</f>
        <v>1</v>
      </c>
      <c r="O63" s="96" t="b">
        <f>if(countifs('Gouda, NL'!Q:Q,$A63,'Gouda, NL'!$I:$I,TRUE),TRUE,FALSE)</f>
        <v>0</v>
      </c>
      <c r="P63" s="47" t="b">
        <f>if(countifs('Plympton, UK'!Q:Q,$A63,'Plympton, UK'!$I:$I,TRUE),TRUE,FALSE)</f>
        <v>0</v>
      </c>
      <c r="Q63" s="47" t="b">
        <f>if(countifs('Glen Oaks, USA'!Q:Q,$A63,'Glen Oaks, USA'!$I:$I,TRUE),TRUE,FALSE)</f>
        <v>0</v>
      </c>
      <c r="R63" s="47" t="b">
        <f>if(countifs('Chemnitz, GER'!Q:Q,$A63,'Chemnitz, GER'!I:I,TRUE),TRUE,FALSE)</f>
        <v>0</v>
      </c>
      <c r="S63" s="47" t="b">
        <f>if(countifs('Vosselaar, BE'!Q:Q,$A63,'Vosselaar, BE'!$I:$I,TRUE),TRUE,FALSE)</f>
        <v>0</v>
      </c>
      <c r="T63" s="47" t="b">
        <f>if(countifs('MHQ, USA'!Q:Q,$A63,'MHQ, USA'!$I:$I,TRUE),TRUE,FALSE)</f>
        <v>0</v>
      </c>
      <c r="U63" s="47" t="b">
        <f>if(countifs('Morayfield, AUS'!Q:Q,$A63,'Morayfield, AUS'!$I:$I,TRUE),TRUE,FALSE)</f>
        <v>0</v>
      </c>
      <c r="V63" s="11" t="b">
        <f>if(countifs('Arnhem, NL'!Q:Q,$A63,'Arnhem, NL'!$I:$I,TRUE),TRUE,FALSE)</f>
        <v>0</v>
      </c>
      <c r="W63" s="47" t="b">
        <f>if(countifs('Gotenborg, SW'!Q:Q,$A63,'Gotenborg, SW'!$I:$I,TRUE),TRUE,FALSE)</f>
        <v>0</v>
      </c>
      <c r="X63" s="47" t="b">
        <f>if(countifs('Shepparton, AUS'!Q:Q,$A63,'Shepparton, AUS'!$I:$I,TRUE),TRUE,FALSE)</f>
        <v>0</v>
      </c>
      <c r="Y63" s="47" t="b">
        <f>if(countifs('Hoofddorp, NL'!Q:Q,$A63,'Hoofddorp, NL'!$I:$I,TRUE),TRUE,FALSE)</f>
        <v>0</v>
      </c>
      <c r="Z63" s="47" t="b">
        <f>if(countifs('Bedford, UK'!Q:Q,$A63,'Bedford, UK'!$I:$I,TRUE),TRUE,FALSE)</f>
        <v>0</v>
      </c>
      <c r="AA63" s="47" t="b">
        <f>IF(COUNTIFS('Desert Lodge, USA'!Q:Q,$A63,'Desert Lodge, USA'!I:I,TRUE),TRUE,FALSE)</f>
        <v>0</v>
      </c>
      <c r="AB63" s="47" t="b">
        <f>if(countifs('Dapto, AUS'!Q:Q,$A63,'Dapto, AUS'!$I:$I,TRUE),TRUE,FALSE)</f>
        <v>0</v>
      </c>
      <c r="AC63" s="47" t="b">
        <f>if(countifs('New Westminster, CAN'!Q:Q,$A63,'New Westminster, CAN'!$I:$I,TRUE),TRUE,FALSE)</f>
        <v>0</v>
      </c>
      <c r="AD63" s="47" t="b">
        <f>if(countifs('Georgetown, CAN'!Q:Q,$A63,'Georgetown, CAN'!$I:$I,TRUE),TRUE,FALSE)</f>
        <v>0</v>
      </c>
      <c r="AE63" s="47" t="b">
        <f>if(countifs('Kingswood, UK'!Q:Q,$A63,'Kingswood, UK'!$I:$I,TRUE),TRUE,FALSE)</f>
        <v>0</v>
      </c>
      <c r="AF63" s="47" t="b">
        <f>if(countifs('Hagerstown, USA'!Q:Q,$A63,'Hagerstown, USA'!$I:$I,TRUE),TRUE,FALSE)</f>
        <v>0</v>
      </c>
      <c r="AG63" s="47" t="b">
        <f>if(countifs('Felsogalla, HU'!Q:Q,$A63,'Felsogalla, HU'!$I:$I,TRUE),TRUE,FALSE)</f>
        <v>0</v>
      </c>
      <c r="AH63" s="47" t="b">
        <f>if(countifs('Norlane, AUS'!Q:Q,$A63,'Norlane, AUS'!$I:$I,TRUE),TRUE,FALSE)</f>
        <v>0</v>
      </c>
      <c r="AI63" s="47" t="b">
        <f>if(countifs('Meitingen, GER'!Q:Q,$A63,'Meitingen, GER'!$I:$I,TRUE),TRUE,FALSE)</f>
        <v>0</v>
      </c>
      <c r="AJ63" s="47" t="b">
        <f>if(countifs('Groningen, NL'!Q:Q,$A63,'Groningen, NL'!$I:$I,TRUE),TRUE,FALSE)</f>
        <v>0</v>
      </c>
      <c r="AK63" s="47" t="b">
        <f>if(countifs('Linköping, SW'!Q:Q,$A63,'Linköping, SW'!$I:$I,TRUE),TRUE,FALSE)</f>
        <v>0</v>
      </c>
      <c r="AL63" s="47" t="b">
        <f>if(countifs('Austin, USA'!Q:Q,$A63,'Austin, USA'!$I:$I,TRUE),TRUE,FALSE)</f>
        <v>0</v>
      </c>
      <c r="AM63" s="47" t="b">
        <f>if(countifs('Thringstone, UK'!Q:Q,$A63,'Thringstone, UK'!$I:$I,TRUE),TRUE,FALSE)</f>
        <v>0</v>
      </c>
      <c r="AN63" s="47" t="b">
        <f>if(countifs('Andover, UK'!Q:Q,$A63,'Andover, UK'!$I:$I,TRUE),TRUE,FALSE)</f>
        <v>0</v>
      </c>
      <c r="AO63" s="47" t="b">
        <f>if(countifs('Ospel, NL'!Q:Q,$A63,'Ospel, NL'!$I:$I,TRUE),TRUE,FALSE)</f>
        <v>0</v>
      </c>
      <c r="AP63" s="47" t="b">
        <f>if(countifs('Wonthaggi, AUS'!Q:Q,$A63,'Wonthaggi, AUS'!$I:$I,TRUE),TRUE,FALSE)</f>
        <v>0</v>
      </c>
      <c r="AQ63" s="47" t="b">
        <f>if(countifs('Falling_Waters, USA'!$Q:$Q,$A63,'Falling_Waters, USA'!$I:$I,TRUE),TRUE,FALSE)</f>
        <v>0</v>
      </c>
      <c r="AR63" s="47" t="b">
        <f>if(countifs('Kelmscott, AUS'!Q:Q,$A63,'Kelmscott, AUS'!$I:$I,TRUE),TRUE,FALSE)</f>
        <v>0</v>
      </c>
    </row>
    <row r="64">
      <c r="A64" s="47" t="str">
        <f>IFERROR(__xludf.DUMMYFUNCTION("""COMPUTED_VALUE"""),"jwg68")</f>
        <v>jwg68</v>
      </c>
      <c r="B64" s="47">
        <f t="shared" si="1"/>
        <v>4</v>
      </c>
      <c r="C64" s="47" t="b">
        <v>0</v>
      </c>
      <c r="D64" s="47" t="b">
        <v>0</v>
      </c>
      <c r="E64" s="47" t="b">
        <v>0</v>
      </c>
      <c r="F64" s="47" t="b">
        <v>0</v>
      </c>
      <c r="G64" s="96"/>
      <c r="H64" s="96" t="b">
        <f>if(countifs('Berlin, GER'!Q:Q,A64,'Berlin, GER'!I:I,TRUE),TRUE,FALSE)</f>
        <v>0</v>
      </c>
      <c r="I64" s="96" t="b">
        <f>if(countifs('Escondido, USA'!Q:Q,A64,'Escondido, USA'!I:I,TRUE),TRUE,FALSE)</f>
        <v>0</v>
      </c>
      <c r="J64" s="96" t="b">
        <f>if(countifs('Onkaparinga_Hills, AUS'!Q:Q,A64,'Onkaparinga_Hills, AUS'!I:I,TRUE),TRUE,FALSE)</f>
        <v>0</v>
      </c>
      <c r="K64" s="96" t="b">
        <f>if(countifs('Perth, AUS'!Q:Q,A64,'Perth, AUS'!I:I,TRUE),TRUE,FALSE)</f>
        <v>1</v>
      </c>
      <c r="L64" s="96" t="b">
        <f>if(countifs('Raleigh, USA'!Q:Q,A64,'Raleigh, USA'!I:I,TRUE),TRUE,FALSE)</f>
        <v>1</v>
      </c>
      <c r="M64" s="96" t="b">
        <f>if(countifs('Browns Plains, AUS'!Q:Q,A64,'Browns Plains, AUS'!I:I,TRUE),TRUE,FALSE)</f>
        <v>0</v>
      </c>
      <c r="N64" s="96" t="b">
        <f>if(countifs('Brossard, CAN'!Q:Q,A64,'Brossard, CAN'!I:I,TRUE),TRUE,FALSE)</f>
        <v>0</v>
      </c>
      <c r="O64" s="96" t="b">
        <f>if(countifs('Gouda, NL'!Q:Q,$A64,'Gouda, NL'!$I:$I,TRUE),TRUE,FALSE)</f>
        <v>0</v>
      </c>
      <c r="P64" s="47" t="b">
        <f>if(countifs('Plympton, UK'!Q:Q,$A64,'Plympton, UK'!$I:$I,TRUE),TRUE,FALSE)</f>
        <v>0</v>
      </c>
      <c r="Q64" s="47" t="b">
        <f>if(countifs('Glen Oaks, USA'!Q:Q,$A64,'Glen Oaks, USA'!$I:$I,TRUE),TRUE,FALSE)</f>
        <v>0</v>
      </c>
      <c r="R64" s="47" t="b">
        <f>if(countifs('Chemnitz, GER'!Q:Q,$A64,'Chemnitz, GER'!I:I,TRUE),TRUE,FALSE)</f>
        <v>0</v>
      </c>
      <c r="S64" s="47" t="b">
        <f>if(countifs('Vosselaar, BE'!Q:Q,$A64,'Vosselaar, BE'!$I:$I,TRUE),TRUE,FALSE)</f>
        <v>0</v>
      </c>
      <c r="T64" s="47" t="b">
        <f>if(countifs('MHQ, USA'!Q:Q,$A64,'MHQ, USA'!$I:$I,TRUE),TRUE,FALSE)</f>
        <v>1</v>
      </c>
      <c r="U64" s="47" t="b">
        <f>if(countifs('Morayfield, AUS'!Q:Q,$A64,'Morayfield, AUS'!$I:$I,TRUE),TRUE,FALSE)</f>
        <v>0</v>
      </c>
      <c r="V64" s="11" t="b">
        <f>if(countifs('Arnhem, NL'!Q:Q,$A64,'Arnhem, NL'!$I:$I,TRUE),TRUE,FALSE)</f>
        <v>0</v>
      </c>
      <c r="W64" s="47" t="b">
        <f>if(countifs('Gotenborg, SW'!Q:Q,$A64,'Gotenborg, SW'!$I:$I,TRUE),TRUE,FALSE)</f>
        <v>0</v>
      </c>
      <c r="X64" s="47" t="b">
        <f>if(countifs('Shepparton, AUS'!Q:Q,$A64,'Shepparton, AUS'!$I:$I,TRUE),TRUE,FALSE)</f>
        <v>0</v>
      </c>
      <c r="Y64" s="47" t="b">
        <f>if(countifs('Hoofddorp, NL'!Q:Q,$A64,'Hoofddorp, NL'!$I:$I,TRUE),TRUE,FALSE)</f>
        <v>0</v>
      </c>
      <c r="Z64" s="47" t="b">
        <f>if(countifs('Bedford, UK'!Q:Q,$A64,'Bedford, UK'!$I:$I,TRUE),TRUE,FALSE)</f>
        <v>0</v>
      </c>
      <c r="AA64" s="47" t="b">
        <f>IF(COUNTIFS('Desert Lodge, USA'!Q:Q,$A64,'Desert Lodge, USA'!I:I,TRUE),TRUE,FALSE)</f>
        <v>0</v>
      </c>
      <c r="AB64" s="47" t="b">
        <f>if(countifs('Dapto, AUS'!Q:Q,$A64,'Dapto, AUS'!$I:$I,TRUE),TRUE,FALSE)</f>
        <v>0</v>
      </c>
      <c r="AC64" s="47" t="b">
        <f>if(countifs('New Westminster, CAN'!Q:Q,$A64,'New Westminster, CAN'!$I:$I,TRUE),TRUE,FALSE)</f>
        <v>0</v>
      </c>
      <c r="AD64" s="47" t="b">
        <f>if(countifs('Georgetown, CAN'!Q:Q,$A64,'Georgetown, CAN'!$I:$I,TRUE),TRUE,FALSE)</f>
        <v>1</v>
      </c>
      <c r="AE64" s="47" t="b">
        <f>if(countifs('Kingswood, UK'!Q:Q,$A64,'Kingswood, UK'!$I:$I,TRUE),TRUE,FALSE)</f>
        <v>0</v>
      </c>
      <c r="AF64" s="47" t="b">
        <f>if(countifs('Hagerstown, USA'!Q:Q,$A64,'Hagerstown, USA'!$I:$I,TRUE),TRUE,FALSE)</f>
        <v>0</v>
      </c>
      <c r="AG64" s="47" t="b">
        <f>if(countifs('Felsogalla, HU'!Q:Q,$A64,'Felsogalla, HU'!$I:$I,TRUE),TRUE,FALSE)</f>
        <v>0</v>
      </c>
      <c r="AH64" s="47" t="b">
        <f>if(countifs('Norlane, AUS'!Q:Q,$A64,'Norlane, AUS'!$I:$I,TRUE),TRUE,FALSE)</f>
        <v>0</v>
      </c>
      <c r="AI64" s="47" t="b">
        <f>if(countifs('Meitingen, GER'!Q:Q,$A64,'Meitingen, GER'!$I:$I,TRUE),TRUE,FALSE)</f>
        <v>0</v>
      </c>
      <c r="AJ64" s="47" t="b">
        <f>if(countifs('Groningen, NL'!Q:Q,$A64,'Groningen, NL'!$I:$I,TRUE),TRUE,FALSE)</f>
        <v>0</v>
      </c>
      <c r="AK64" s="47" t="b">
        <f>if(countifs('Linköping, SW'!Q:Q,$A64,'Linköping, SW'!$I:$I,TRUE),TRUE,FALSE)</f>
        <v>0</v>
      </c>
      <c r="AL64" s="47" t="b">
        <f>if(countifs('Austin, USA'!Q:Q,$A64,'Austin, USA'!$I:$I,TRUE),TRUE,FALSE)</f>
        <v>0</v>
      </c>
      <c r="AM64" s="47" t="b">
        <f>if(countifs('Thringstone, UK'!Q:Q,$A64,'Thringstone, UK'!$I:$I,TRUE),TRUE,FALSE)</f>
        <v>0</v>
      </c>
      <c r="AN64" s="47" t="b">
        <f>if(countifs('Andover, UK'!Q:Q,$A64,'Andover, UK'!$I:$I,TRUE),TRUE,FALSE)</f>
        <v>0</v>
      </c>
      <c r="AO64" s="47" t="b">
        <f>if(countifs('Ospel, NL'!Q:Q,$A64,'Ospel, NL'!$I:$I,TRUE),TRUE,FALSE)</f>
        <v>0</v>
      </c>
      <c r="AP64" s="47" t="b">
        <f>if(countifs('Wonthaggi, AUS'!Q:Q,$A64,'Wonthaggi, AUS'!$I:$I,TRUE),TRUE,FALSE)</f>
        <v>0</v>
      </c>
      <c r="AQ64" s="47" t="b">
        <f>if(countifs('Falling_Waters, USA'!$Q:$Q,$A64,'Falling_Waters, USA'!$I:$I,TRUE),TRUE,FALSE)</f>
        <v>0</v>
      </c>
      <c r="AR64" s="47" t="b">
        <f>if(countifs('Kelmscott, AUS'!Q:Q,$A64,'Kelmscott, AUS'!$I:$I,TRUE),TRUE,FALSE)</f>
        <v>0</v>
      </c>
    </row>
    <row r="65">
      <c r="A65" s="47" t="str">
        <f>IFERROR(__xludf.DUMMYFUNCTION("""COMPUTED_VALUE"""),"pikespice")</f>
        <v>pikespice</v>
      </c>
      <c r="B65" s="47">
        <f t="shared" si="1"/>
        <v>1</v>
      </c>
      <c r="C65" s="47" t="b">
        <v>0</v>
      </c>
      <c r="D65" s="47" t="b">
        <v>0</v>
      </c>
      <c r="E65" s="47" t="b">
        <v>0</v>
      </c>
      <c r="F65" s="47" t="b">
        <v>0</v>
      </c>
      <c r="G65" s="96"/>
      <c r="H65" s="96" t="b">
        <f>if(countifs('Berlin, GER'!Q:Q,A65,'Berlin, GER'!I:I,TRUE),TRUE,FALSE)</f>
        <v>0</v>
      </c>
      <c r="I65" s="96" t="b">
        <f>if(countifs('Escondido, USA'!Q:Q,A65,'Escondido, USA'!I:I,TRUE),TRUE,FALSE)</f>
        <v>0</v>
      </c>
      <c r="J65" s="96" t="b">
        <f>if(countifs('Onkaparinga_Hills, AUS'!Q:Q,A65,'Onkaparinga_Hills, AUS'!I:I,TRUE),TRUE,FALSE)</f>
        <v>0</v>
      </c>
      <c r="K65" s="96" t="b">
        <f>if(countifs('Perth, AUS'!Q:Q,A65,'Perth, AUS'!I:I,TRUE),TRUE,FALSE)</f>
        <v>0</v>
      </c>
      <c r="L65" s="96" t="b">
        <f>if(countifs('Raleigh, USA'!Q:Q,A65,'Raleigh, USA'!I:I,TRUE),TRUE,FALSE)</f>
        <v>1</v>
      </c>
      <c r="M65" s="96" t="b">
        <f>if(countifs('Browns Plains, AUS'!Q:Q,A65,'Browns Plains, AUS'!I:I,TRUE),TRUE,FALSE)</f>
        <v>0</v>
      </c>
      <c r="N65" s="96" t="b">
        <f>if(countifs('Brossard, CAN'!Q:Q,A65,'Brossard, CAN'!I:I,TRUE),TRUE,FALSE)</f>
        <v>0</v>
      </c>
      <c r="O65" s="96" t="b">
        <f>if(countifs('Gouda, NL'!Q:Q,$A65,'Gouda, NL'!$I:$I,TRUE),TRUE,FALSE)</f>
        <v>0</v>
      </c>
      <c r="P65" s="47" t="b">
        <f>if(countifs('Plympton, UK'!Q:Q,$A65,'Plympton, UK'!$I:$I,TRUE),TRUE,FALSE)</f>
        <v>0</v>
      </c>
      <c r="Q65" s="47" t="b">
        <f>if(countifs('Glen Oaks, USA'!Q:Q,$A65,'Glen Oaks, USA'!$I:$I,TRUE),TRUE,FALSE)</f>
        <v>0</v>
      </c>
      <c r="R65" s="47" t="b">
        <f>if(countifs('Chemnitz, GER'!Q:Q,$A65,'Chemnitz, GER'!I:I,TRUE),TRUE,FALSE)</f>
        <v>0</v>
      </c>
      <c r="S65" s="47" t="b">
        <f>if(countifs('Vosselaar, BE'!Q:Q,$A65,'Vosselaar, BE'!$I:$I,TRUE),TRUE,FALSE)</f>
        <v>0</v>
      </c>
      <c r="T65" s="47" t="b">
        <f>if(countifs('MHQ, USA'!Q:Q,$A65,'MHQ, USA'!$I:$I,TRUE),TRUE,FALSE)</f>
        <v>0</v>
      </c>
      <c r="U65" s="47" t="b">
        <f>if(countifs('Morayfield, AUS'!Q:Q,$A65,'Morayfield, AUS'!$I:$I,TRUE),TRUE,FALSE)</f>
        <v>0</v>
      </c>
      <c r="V65" s="11" t="b">
        <f>if(countifs('Arnhem, NL'!Q:Q,$A65,'Arnhem, NL'!$I:$I,TRUE),TRUE,FALSE)</f>
        <v>0</v>
      </c>
      <c r="W65" s="47" t="b">
        <f>if(countifs('Gotenborg, SW'!Q:Q,$A65,'Gotenborg, SW'!$I:$I,TRUE),TRUE,FALSE)</f>
        <v>0</v>
      </c>
      <c r="X65" s="47" t="b">
        <f>if(countifs('Shepparton, AUS'!Q:Q,$A65,'Shepparton, AUS'!$I:$I,TRUE),TRUE,FALSE)</f>
        <v>0</v>
      </c>
      <c r="Y65" s="47" t="b">
        <f>if(countifs('Hoofddorp, NL'!Q:Q,$A65,'Hoofddorp, NL'!$I:$I,TRUE),TRUE,FALSE)</f>
        <v>0</v>
      </c>
      <c r="Z65" s="47" t="b">
        <f>if(countifs('Bedford, UK'!Q:Q,$A65,'Bedford, UK'!$I:$I,TRUE),TRUE,FALSE)</f>
        <v>0</v>
      </c>
      <c r="AA65" s="47" t="b">
        <f>IF(COUNTIFS('Desert Lodge, USA'!Q:Q,$A65,'Desert Lodge, USA'!I:I,TRUE),TRUE,FALSE)</f>
        <v>0</v>
      </c>
      <c r="AB65" s="47" t="b">
        <f>if(countifs('Dapto, AUS'!Q:Q,$A65,'Dapto, AUS'!$I:$I,TRUE),TRUE,FALSE)</f>
        <v>0</v>
      </c>
      <c r="AC65" s="47" t="b">
        <f>if(countifs('New Westminster, CAN'!Q:Q,$A65,'New Westminster, CAN'!$I:$I,TRUE),TRUE,FALSE)</f>
        <v>0</v>
      </c>
      <c r="AD65" s="47" t="b">
        <f>if(countifs('Georgetown, CAN'!Q:Q,$A65,'Georgetown, CAN'!$I:$I,TRUE),TRUE,FALSE)</f>
        <v>0</v>
      </c>
      <c r="AE65" s="47" t="b">
        <f>if(countifs('Kingswood, UK'!Q:Q,$A65,'Kingswood, UK'!$I:$I,TRUE),TRUE,FALSE)</f>
        <v>0</v>
      </c>
      <c r="AF65" s="47" t="b">
        <f>if(countifs('Hagerstown, USA'!Q:Q,$A65,'Hagerstown, USA'!$I:$I,TRUE),TRUE,FALSE)</f>
        <v>0</v>
      </c>
      <c r="AG65" s="47" t="b">
        <f>if(countifs('Felsogalla, HU'!Q:Q,$A65,'Felsogalla, HU'!$I:$I,TRUE),TRUE,FALSE)</f>
        <v>0</v>
      </c>
      <c r="AH65" s="47" t="b">
        <f>if(countifs('Norlane, AUS'!Q:Q,$A65,'Norlane, AUS'!$I:$I,TRUE),TRUE,FALSE)</f>
        <v>0</v>
      </c>
      <c r="AI65" s="47" t="b">
        <f>if(countifs('Meitingen, GER'!Q:Q,$A65,'Meitingen, GER'!$I:$I,TRUE),TRUE,FALSE)</f>
        <v>0</v>
      </c>
      <c r="AJ65" s="47" t="b">
        <f>if(countifs('Groningen, NL'!Q:Q,$A65,'Groningen, NL'!$I:$I,TRUE),TRUE,FALSE)</f>
        <v>0</v>
      </c>
      <c r="AK65" s="47" t="b">
        <f>if(countifs('Linköping, SW'!Q:Q,$A65,'Linköping, SW'!$I:$I,TRUE),TRUE,FALSE)</f>
        <v>0</v>
      </c>
      <c r="AL65" s="47" t="b">
        <f>if(countifs('Austin, USA'!Q:Q,$A65,'Austin, USA'!$I:$I,TRUE),TRUE,FALSE)</f>
        <v>0</v>
      </c>
      <c r="AM65" s="47" t="b">
        <f>if(countifs('Thringstone, UK'!Q:Q,$A65,'Thringstone, UK'!$I:$I,TRUE),TRUE,FALSE)</f>
        <v>0</v>
      </c>
      <c r="AN65" s="47" t="b">
        <f>if(countifs('Andover, UK'!Q:Q,$A65,'Andover, UK'!$I:$I,TRUE),TRUE,FALSE)</f>
        <v>0</v>
      </c>
      <c r="AO65" s="47" t="b">
        <f>if(countifs('Ospel, NL'!Q:Q,$A65,'Ospel, NL'!$I:$I,TRUE),TRUE,FALSE)</f>
        <v>0</v>
      </c>
      <c r="AP65" s="47" t="b">
        <f>if(countifs('Wonthaggi, AUS'!Q:Q,$A65,'Wonthaggi, AUS'!$I:$I,TRUE),TRUE,FALSE)</f>
        <v>0</v>
      </c>
      <c r="AQ65" s="47" t="b">
        <f>if(countifs('Falling_Waters, USA'!$Q:$Q,$A65,'Falling_Waters, USA'!$I:$I,TRUE),TRUE,FALSE)</f>
        <v>0</v>
      </c>
      <c r="AR65" s="47" t="b">
        <f>if(countifs('Kelmscott, AUS'!Q:Q,$A65,'Kelmscott, AUS'!$I:$I,TRUE),TRUE,FALSE)</f>
        <v>0</v>
      </c>
    </row>
    <row r="66">
      <c r="A66" s="47" t="str">
        <f>IFERROR(__xludf.DUMMYFUNCTION("""COMPUTED_VALUE"""),"FlatBlack")</f>
        <v>FlatBlack</v>
      </c>
      <c r="B66" s="47">
        <f t="shared" si="1"/>
        <v>8</v>
      </c>
      <c r="C66" s="47" t="b">
        <v>0</v>
      </c>
      <c r="D66" s="47" t="b">
        <v>0</v>
      </c>
      <c r="E66" s="47" t="b">
        <v>0</v>
      </c>
      <c r="F66" s="47" t="b">
        <v>0</v>
      </c>
      <c r="G66" s="96"/>
      <c r="H66" s="96" t="b">
        <f>if(countifs('Berlin, GER'!Q:Q,A66,'Berlin, GER'!I:I,TRUE),TRUE,FALSE)</f>
        <v>0</v>
      </c>
      <c r="I66" s="96" t="b">
        <f>if(countifs('Escondido, USA'!Q:Q,A66,'Escondido, USA'!I:I,TRUE),TRUE,FALSE)</f>
        <v>0</v>
      </c>
      <c r="J66" s="96" t="b">
        <f>if(countifs('Onkaparinga_Hills, AUS'!Q:Q,A66,'Onkaparinga_Hills, AUS'!I:I,TRUE),TRUE,FALSE)</f>
        <v>0</v>
      </c>
      <c r="K66" s="96" t="b">
        <f>if(countifs('Perth, AUS'!Q:Q,A66,'Perth, AUS'!I:I,TRUE),TRUE,FALSE)</f>
        <v>0</v>
      </c>
      <c r="L66" s="96" t="b">
        <f>if(countifs('Raleigh, USA'!Q:Q,A66,'Raleigh, USA'!I:I,TRUE),TRUE,FALSE)</f>
        <v>1</v>
      </c>
      <c r="M66" s="96" t="b">
        <f>if(countifs('Browns Plains, AUS'!Q:Q,A66,'Browns Plains, AUS'!I:I,TRUE),TRUE,FALSE)</f>
        <v>0</v>
      </c>
      <c r="N66" s="96" t="b">
        <f>if(countifs('Brossard, CAN'!Q:Q,A66,'Brossard, CAN'!I:I,TRUE),TRUE,FALSE)</f>
        <v>0</v>
      </c>
      <c r="O66" s="96" t="b">
        <f>if(countifs('Gouda, NL'!Q:Q,$A66,'Gouda, NL'!$I:$I,TRUE),TRUE,FALSE)</f>
        <v>0</v>
      </c>
      <c r="P66" s="47" t="b">
        <f>if(countifs('Plympton, UK'!Q:Q,$A66,'Plympton, UK'!$I:$I,TRUE),TRUE,FALSE)</f>
        <v>0</v>
      </c>
      <c r="Q66" s="47" t="b">
        <f>if(countifs('Glen Oaks, USA'!Q:Q,$A66,'Glen Oaks, USA'!$I:$I,TRUE),TRUE,FALSE)</f>
        <v>1</v>
      </c>
      <c r="R66" s="47" t="b">
        <f>if(countifs('Chemnitz, GER'!Q:Q,$A66,'Chemnitz, GER'!I:I,TRUE),TRUE,FALSE)</f>
        <v>0</v>
      </c>
      <c r="S66" s="47" t="b">
        <f>if(countifs('Vosselaar, BE'!Q:Q,$A66,'Vosselaar, BE'!$I:$I,TRUE),TRUE,FALSE)</f>
        <v>1</v>
      </c>
      <c r="T66" s="47" t="b">
        <f>if(countifs('MHQ, USA'!Q:Q,$A66,'MHQ, USA'!$I:$I,TRUE),TRUE,FALSE)</f>
        <v>1</v>
      </c>
      <c r="U66" s="47" t="b">
        <f>if(countifs('Morayfield, AUS'!Q:Q,$A66,'Morayfield, AUS'!$I:$I,TRUE),TRUE,FALSE)</f>
        <v>1</v>
      </c>
      <c r="V66" s="11" t="b">
        <f>if(countifs('Arnhem, NL'!Q:Q,$A66,'Arnhem, NL'!$I:$I,TRUE),TRUE,FALSE)</f>
        <v>0</v>
      </c>
      <c r="W66" s="47" t="b">
        <f>if(countifs('Gotenborg, SW'!Q:Q,$A66,'Gotenborg, SW'!$I:$I,TRUE),TRUE,FALSE)</f>
        <v>0</v>
      </c>
      <c r="X66" s="47" t="b">
        <f>if(countifs('Shepparton, AUS'!Q:Q,$A66,'Shepparton, AUS'!$I:$I,TRUE),TRUE,FALSE)</f>
        <v>1</v>
      </c>
      <c r="Y66" s="47" t="b">
        <f>if(countifs('Hoofddorp, NL'!Q:Q,$A66,'Hoofddorp, NL'!$I:$I,TRUE),TRUE,FALSE)</f>
        <v>0</v>
      </c>
      <c r="Z66" s="47" t="b">
        <f>if(countifs('Bedford, UK'!Q:Q,$A66,'Bedford, UK'!$I:$I,TRUE),TRUE,FALSE)</f>
        <v>0</v>
      </c>
      <c r="AA66" s="47" t="b">
        <f>IF(COUNTIFS('Desert Lodge, USA'!Q:Q,$A66,'Desert Lodge, USA'!I:I,TRUE),TRUE,FALSE)</f>
        <v>1</v>
      </c>
      <c r="AB66" s="47" t="b">
        <f>if(countifs('Dapto, AUS'!Q:Q,$A66,'Dapto, AUS'!$I:$I,TRUE),TRUE,FALSE)</f>
        <v>0</v>
      </c>
      <c r="AC66" s="47" t="b">
        <f>if(countifs('New Westminster, CAN'!Q:Q,$A66,'New Westminster, CAN'!$I:$I,TRUE),TRUE,FALSE)</f>
        <v>0</v>
      </c>
      <c r="AD66" s="47" t="b">
        <f>if(countifs('Georgetown, CAN'!Q:Q,$A66,'Georgetown, CAN'!$I:$I,TRUE),TRUE,FALSE)</f>
        <v>1</v>
      </c>
      <c r="AE66" s="47" t="b">
        <f>if(countifs('Kingswood, UK'!Q:Q,$A66,'Kingswood, UK'!$I:$I,TRUE),TRUE,FALSE)</f>
        <v>0</v>
      </c>
      <c r="AF66" s="47" t="b">
        <f>if(countifs('Hagerstown, USA'!Q:Q,$A66,'Hagerstown, USA'!$I:$I,TRUE),TRUE,FALSE)</f>
        <v>0</v>
      </c>
      <c r="AG66" s="47" t="b">
        <f>if(countifs('Felsogalla, HU'!Q:Q,$A66,'Felsogalla, HU'!$I:$I,TRUE),TRUE,FALSE)</f>
        <v>0</v>
      </c>
      <c r="AH66" s="47" t="b">
        <f>if(countifs('Norlane, AUS'!Q:Q,$A66,'Norlane, AUS'!$I:$I,TRUE),TRUE,FALSE)</f>
        <v>0</v>
      </c>
      <c r="AI66" s="47" t="b">
        <f>if(countifs('Meitingen, GER'!Q:Q,$A66,'Meitingen, GER'!$I:$I,TRUE),TRUE,FALSE)</f>
        <v>0</v>
      </c>
      <c r="AJ66" s="47" t="b">
        <f>if(countifs('Groningen, NL'!Q:Q,$A66,'Groningen, NL'!$I:$I,TRUE),TRUE,FALSE)</f>
        <v>0</v>
      </c>
      <c r="AK66" s="47" t="b">
        <f>if(countifs('Linköping, SW'!Q:Q,$A66,'Linköping, SW'!$I:$I,TRUE),TRUE,FALSE)</f>
        <v>0</v>
      </c>
      <c r="AL66" s="47" t="b">
        <f>if(countifs('Austin, USA'!Q:Q,$A66,'Austin, USA'!$I:$I,TRUE),TRUE,FALSE)</f>
        <v>0</v>
      </c>
      <c r="AM66" s="47" t="b">
        <f>if(countifs('Thringstone, UK'!Q:Q,$A66,'Thringstone, UK'!$I:$I,TRUE),TRUE,FALSE)</f>
        <v>0</v>
      </c>
      <c r="AN66" s="47" t="b">
        <f>if(countifs('Andover, UK'!Q:Q,$A66,'Andover, UK'!$I:$I,TRUE),TRUE,FALSE)</f>
        <v>0</v>
      </c>
      <c r="AO66" s="47" t="b">
        <f>if(countifs('Ospel, NL'!Q:Q,$A66,'Ospel, NL'!$I:$I,TRUE),TRUE,FALSE)</f>
        <v>0</v>
      </c>
      <c r="AP66" s="47" t="b">
        <f>if(countifs('Wonthaggi, AUS'!Q:Q,$A66,'Wonthaggi, AUS'!$I:$I,TRUE),TRUE,FALSE)</f>
        <v>0</v>
      </c>
      <c r="AQ66" s="47" t="b">
        <f>if(countifs('Falling_Waters, USA'!$Q:$Q,$A66,'Falling_Waters, USA'!$I:$I,TRUE),TRUE,FALSE)</f>
        <v>0</v>
      </c>
      <c r="AR66" s="47" t="b">
        <f>if(countifs('Kelmscott, AUS'!Q:Q,$A66,'Kelmscott, AUS'!$I:$I,TRUE),TRUE,FALSE)</f>
        <v>0</v>
      </c>
    </row>
    <row r="67">
      <c r="A67" s="47" t="str">
        <f>IFERROR(__xludf.DUMMYFUNCTION("""COMPUTED_VALUE"""),"wally62")</f>
        <v>wally62</v>
      </c>
      <c r="B67" s="47">
        <f t="shared" si="1"/>
        <v>9</v>
      </c>
      <c r="C67" s="47" t="b">
        <v>0</v>
      </c>
      <c r="D67" s="47" t="b">
        <v>0</v>
      </c>
      <c r="E67" s="47" t="b">
        <v>0</v>
      </c>
      <c r="F67" s="47" t="b">
        <v>0</v>
      </c>
      <c r="G67" s="96"/>
      <c r="H67" s="96" t="b">
        <f>if(countifs('Berlin, GER'!Q:Q,A67,'Berlin, GER'!I:I,TRUE),TRUE,FALSE)</f>
        <v>0</v>
      </c>
      <c r="I67" s="96" t="b">
        <f>if(countifs('Escondido, USA'!Q:Q,A67,'Escondido, USA'!I:I,TRUE),TRUE,FALSE)</f>
        <v>0</v>
      </c>
      <c r="J67" s="96" t="b">
        <f>if(countifs('Onkaparinga_Hills, AUS'!Q:Q,A67,'Onkaparinga_Hills, AUS'!I:I,TRUE),TRUE,FALSE)</f>
        <v>0</v>
      </c>
      <c r="K67" s="96" t="b">
        <f>if(countifs('Perth, AUS'!Q:Q,A67,'Perth, AUS'!I:I,TRUE),TRUE,FALSE)</f>
        <v>0</v>
      </c>
      <c r="L67" s="96" t="b">
        <f>if(countifs('Raleigh, USA'!Q:Q,A67,'Raleigh, USA'!I:I,TRUE),TRUE,FALSE)</f>
        <v>1</v>
      </c>
      <c r="M67" s="96" t="b">
        <f>if(countifs('Browns Plains, AUS'!Q:Q,A67,'Browns Plains, AUS'!I:I,TRUE),TRUE,FALSE)</f>
        <v>0</v>
      </c>
      <c r="N67" s="96" t="b">
        <f>if(countifs('Brossard, CAN'!Q:Q,A67,'Brossard, CAN'!I:I,TRUE),TRUE,FALSE)</f>
        <v>0</v>
      </c>
      <c r="O67" s="96" t="b">
        <f>if(countifs('Gouda, NL'!Q:Q,$A67,'Gouda, NL'!$I:$I,TRUE),TRUE,FALSE)</f>
        <v>0</v>
      </c>
      <c r="P67" s="47" t="b">
        <f>if(countifs('Plympton, UK'!Q:Q,$A67,'Plympton, UK'!$I:$I,TRUE),TRUE,FALSE)</f>
        <v>0</v>
      </c>
      <c r="Q67" s="47" t="b">
        <f>if(countifs('Glen Oaks, USA'!Q:Q,$A67,'Glen Oaks, USA'!$I:$I,TRUE),TRUE,FALSE)</f>
        <v>0</v>
      </c>
      <c r="R67" s="47" t="b">
        <f>if(countifs('Chemnitz, GER'!Q:Q,$A67,'Chemnitz, GER'!I:I,TRUE),TRUE,FALSE)</f>
        <v>1</v>
      </c>
      <c r="S67" s="47" t="b">
        <f>if(countifs('Vosselaar, BE'!Q:Q,$A67,'Vosselaar, BE'!$I:$I,TRUE),TRUE,FALSE)</f>
        <v>0</v>
      </c>
      <c r="T67" s="47" t="b">
        <f>if(countifs('MHQ, USA'!Q:Q,$A67,'MHQ, USA'!$I:$I,TRUE),TRUE,FALSE)</f>
        <v>0</v>
      </c>
      <c r="U67" s="47" t="b">
        <f>if(countifs('Morayfield, AUS'!Q:Q,$A67,'Morayfield, AUS'!$I:$I,TRUE),TRUE,FALSE)</f>
        <v>0</v>
      </c>
      <c r="V67" s="11" t="b">
        <f>if(countifs('Arnhem, NL'!Q:Q,$A67,'Arnhem, NL'!$I:$I,TRUE),TRUE,FALSE)</f>
        <v>0</v>
      </c>
      <c r="W67" s="47" t="b">
        <f>if(countifs('Gotenborg, SW'!Q:Q,$A67,'Gotenborg, SW'!$I:$I,TRUE),TRUE,FALSE)</f>
        <v>1</v>
      </c>
      <c r="X67" s="47" t="b">
        <f>if(countifs('Shepparton, AUS'!Q:Q,$A67,'Shepparton, AUS'!$I:$I,TRUE),TRUE,FALSE)</f>
        <v>1</v>
      </c>
      <c r="Y67" s="47" t="b">
        <f>if(countifs('Hoofddorp, NL'!Q:Q,$A67,'Hoofddorp, NL'!$I:$I,TRUE),TRUE,FALSE)</f>
        <v>1</v>
      </c>
      <c r="Z67" s="47" t="b">
        <f>if(countifs('Bedford, UK'!Q:Q,$A67,'Bedford, UK'!$I:$I,TRUE),TRUE,FALSE)</f>
        <v>1</v>
      </c>
      <c r="AA67" s="47" t="b">
        <f>IF(COUNTIFS('Desert Lodge, USA'!Q:Q,$A67,'Desert Lodge, USA'!I:I,TRUE),TRUE,FALSE)</f>
        <v>0</v>
      </c>
      <c r="AB67" s="47" t="b">
        <f>if(countifs('Dapto, AUS'!Q:Q,$A67,'Dapto, AUS'!$I:$I,TRUE),TRUE,FALSE)</f>
        <v>0</v>
      </c>
      <c r="AC67" s="47" t="b">
        <f>if(countifs('New Westminster, CAN'!Q:Q,$A67,'New Westminster, CAN'!$I:$I,TRUE),TRUE,FALSE)</f>
        <v>0</v>
      </c>
      <c r="AD67" s="47" t="b">
        <f>if(countifs('Georgetown, CAN'!Q:Q,$A67,'Georgetown, CAN'!$I:$I,TRUE),TRUE,FALSE)</f>
        <v>0</v>
      </c>
      <c r="AE67" s="47" t="b">
        <f>if(countifs('Kingswood, UK'!Q:Q,$A67,'Kingswood, UK'!$I:$I,TRUE),TRUE,FALSE)</f>
        <v>0</v>
      </c>
      <c r="AF67" s="47" t="b">
        <f>if(countifs('Hagerstown, USA'!Q:Q,$A67,'Hagerstown, USA'!$I:$I,TRUE),TRUE,FALSE)</f>
        <v>0</v>
      </c>
      <c r="AG67" s="47" t="b">
        <f>if(countifs('Felsogalla, HU'!Q:Q,$A67,'Felsogalla, HU'!$I:$I,TRUE),TRUE,FALSE)</f>
        <v>0</v>
      </c>
      <c r="AH67" s="47" t="b">
        <f>if(countifs('Norlane, AUS'!Q:Q,$A67,'Norlane, AUS'!$I:$I,TRUE),TRUE,FALSE)</f>
        <v>0</v>
      </c>
      <c r="AI67" s="47" t="b">
        <f>if(countifs('Meitingen, GER'!Q:Q,$A67,'Meitingen, GER'!$I:$I,TRUE),TRUE,FALSE)</f>
        <v>0</v>
      </c>
      <c r="AJ67" s="47" t="b">
        <f>if(countifs('Groningen, NL'!Q:Q,$A67,'Groningen, NL'!$I:$I,TRUE),TRUE,FALSE)</f>
        <v>1</v>
      </c>
      <c r="AK67" s="47" t="b">
        <f>if(countifs('Linköping, SW'!Q:Q,$A67,'Linköping, SW'!$I:$I,TRUE),TRUE,FALSE)</f>
        <v>1</v>
      </c>
      <c r="AL67" s="47" t="b">
        <f>if(countifs('Austin, USA'!Q:Q,$A67,'Austin, USA'!$I:$I,TRUE),TRUE,FALSE)</f>
        <v>0</v>
      </c>
      <c r="AM67" s="47" t="b">
        <f>if(countifs('Thringstone, UK'!Q:Q,$A67,'Thringstone, UK'!$I:$I,TRUE),TRUE,FALSE)</f>
        <v>0</v>
      </c>
      <c r="AN67" s="47" t="b">
        <f>if(countifs('Andover, UK'!Q:Q,$A67,'Andover, UK'!$I:$I,TRUE),TRUE,FALSE)</f>
        <v>0</v>
      </c>
      <c r="AO67" s="47" t="b">
        <f>if(countifs('Ospel, NL'!Q:Q,$A67,'Ospel, NL'!$I:$I,TRUE),TRUE,FALSE)</f>
        <v>0</v>
      </c>
      <c r="AP67" s="47" t="b">
        <f>if(countifs('Wonthaggi, AUS'!Q:Q,$A67,'Wonthaggi, AUS'!$I:$I,TRUE),TRUE,FALSE)</f>
        <v>0</v>
      </c>
      <c r="AQ67" s="47" t="b">
        <f>if(countifs('Falling_Waters, USA'!$Q:$Q,$A67,'Falling_Waters, USA'!$I:$I,TRUE),TRUE,FALSE)</f>
        <v>1</v>
      </c>
      <c r="AR67" s="47" t="b">
        <f>if(countifs('Kelmscott, AUS'!Q:Q,$A67,'Kelmscott, AUS'!$I:$I,TRUE),TRUE,FALSE)</f>
        <v>0</v>
      </c>
    </row>
    <row r="68">
      <c r="A68" s="47" t="str">
        <f>IFERROR(__xludf.DUMMYFUNCTION("""COMPUTED_VALUE"""),"Fossillady")</f>
        <v>Fossillady</v>
      </c>
      <c r="B68" s="47">
        <f t="shared" si="1"/>
        <v>13</v>
      </c>
      <c r="C68" s="47" t="b">
        <v>0</v>
      </c>
      <c r="D68" s="47" t="b">
        <v>0</v>
      </c>
      <c r="E68" s="47" t="b">
        <v>0</v>
      </c>
      <c r="F68" s="47" t="b">
        <v>0</v>
      </c>
      <c r="G68" s="96"/>
      <c r="H68" s="96" t="b">
        <f>if(countifs('Berlin, GER'!Q:Q,A68,'Berlin, GER'!I:I,TRUE),TRUE,FALSE)</f>
        <v>0</v>
      </c>
      <c r="I68" s="96" t="b">
        <f>if(countifs('Escondido, USA'!Q:Q,A68,'Escondido, USA'!I:I,TRUE),TRUE,FALSE)</f>
        <v>0</v>
      </c>
      <c r="J68" s="96" t="b">
        <f>if(countifs('Onkaparinga_Hills, AUS'!Q:Q,A68,'Onkaparinga_Hills, AUS'!I:I,TRUE),TRUE,FALSE)</f>
        <v>0</v>
      </c>
      <c r="K68" s="96" t="b">
        <f>if(countifs('Perth, AUS'!Q:Q,A68,'Perth, AUS'!I:I,TRUE),TRUE,FALSE)</f>
        <v>0</v>
      </c>
      <c r="L68" s="96" t="b">
        <f>if(countifs('Raleigh, USA'!Q:Q,A68,'Raleigh, USA'!I:I,TRUE),TRUE,FALSE)</f>
        <v>1</v>
      </c>
      <c r="M68" s="96" t="b">
        <f>if(countifs('Browns Plains, AUS'!Q:Q,A68,'Browns Plains, AUS'!I:I,TRUE),TRUE,FALSE)</f>
        <v>1</v>
      </c>
      <c r="N68" s="96" t="b">
        <f>if(countifs('Brossard, CAN'!Q:Q,A68,'Brossard, CAN'!I:I,TRUE),TRUE,FALSE)</f>
        <v>0</v>
      </c>
      <c r="O68" s="96" t="b">
        <f>if(countifs('Gouda, NL'!Q:Q,$A68,'Gouda, NL'!$I:$I,TRUE),TRUE,FALSE)</f>
        <v>0</v>
      </c>
      <c r="P68" s="47" t="b">
        <f>if(countifs('Plympton, UK'!Q:Q,$A68,'Plympton, UK'!$I:$I,TRUE),TRUE,FALSE)</f>
        <v>0</v>
      </c>
      <c r="Q68" s="47" t="b">
        <f>if(countifs('Glen Oaks, USA'!Q:Q,$A68,'Glen Oaks, USA'!$I:$I,TRUE),TRUE,FALSE)</f>
        <v>1</v>
      </c>
      <c r="R68" s="47" t="b">
        <f>if(countifs('Chemnitz, GER'!Q:Q,$A68,'Chemnitz, GER'!I:I,TRUE),TRUE,FALSE)</f>
        <v>1</v>
      </c>
      <c r="S68" s="47" t="b">
        <f>if(countifs('Vosselaar, BE'!Q:Q,$A68,'Vosselaar, BE'!$I:$I,TRUE),TRUE,FALSE)</f>
        <v>1</v>
      </c>
      <c r="T68" s="47" t="b">
        <f>if(countifs('MHQ, USA'!Q:Q,$A68,'MHQ, USA'!$I:$I,TRUE),TRUE,FALSE)</f>
        <v>1</v>
      </c>
      <c r="U68" s="47" t="b">
        <f>if(countifs('Morayfield, AUS'!Q:Q,$A68,'Morayfield, AUS'!$I:$I,TRUE),TRUE,FALSE)</f>
        <v>1</v>
      </c>
      <c r="V68" s="11" t="b">
        <f>if(countifs('Arnhem, NL'!Q:Q,$A68,'Arnhem, NL'!$I:$I,TRUE),TRUE,FALSE)</f>
        <v>0</v>
      </c>
      <c r="W68" s="47" t="b">
        <f>if(countifs('Gotenborg, SW'!Q:Q,$A68,'Gotenborg, SW'!$I:$I,TRUE),TRUE,FALSE)</f>
        <v>1</v>
      </c>
      <c r="X68" s="47" t="b">
        <f>if(countifs('Shepparton, AUS'!Q:Q,$A68,'Shepparton, AUS'!$I:$I,TRUE),TRUE,FALSE)</f>
        <v>1</v>
      </c>
      <c r="Y68" s="47" t="b">
        <f>if(countifs('Hoofddorp, NL'!Q:Q,$A68,'Hoofddorp, NL'!$I:$I,TRUE),TRUE,FALSE)</f>
        <v>1</v>
      </c>
      <c r="Z68" s="47" t="b">
        <f>if(countifs('Bedford, UK'!Q:Q,$A68,'Bedford, UK'!$I:$I,TRUE),TRUE,FALSE)</f>
        <v>1</v>
      </c>
      <c r="AA68" s="47" t="b">
        <f>IF(COUNTIFS('Desert Lodge, USA'!Q:Q,$A68,'Desert Lodge, USA'!I:I,TRUE),TRUE,FALSE)</f>
        <v>1</v>
      </c>
      <c r="AB68" s="47" t="b">
        <f>if(countifs('Dapto, AUS'!Q:Q,$A68,'Dapto, AUS'!$I:$I,TRUE),TRUE,FALSE)</f>
        <v>0</v>
      </c>
      <c r="AC68" s="47" t="b">
        <f>if(countifs('New Westminster, CAN'!Q:Q,$A68,'New Westminster, CAN'!$I:$I,TRUE),TRUE,FALSE)</f>
        <v>0</v>
      </c>
      <c r="AD68" s="47" t="b">
        <f>if(countifs('Georgetown, CAN'!Q:Q,$A68,'Georgetown, CAN'!$I:$I,TRUE),TRUE,FALSE)</f>
        <v>1</v>
      </c>
      <c r="AE68" s="47" t="b">
        <f>if(countifs('Kingswood, UK'!Q:Q,$A68,'Kingswood, UK'!$I:$I,TRUE),TRUE,FALSE)</f>
        <v>0</v>
      </c>
      <c r="AF68" s="47" t="b">
        <f>if(countifs('Hagerstown, USA'!Q:Q,$A68,'Hagerstown, USA'!$I:$I,TRUE),TRUE,FALSE)</f>
        <v>0</v>
      </c>
      <c r="AG68" s="47" t="b">
        <f>if(countifs('Felsogalla, HU'!Q:Q,$A68,'Felsogalla, HU'!$I:$I,TRUE),TRUE,FALSE)</f>
        <v>0</v>
      </c>
      <c r="AH68" s="47" t="b">
        <f>if(countifs('Norlane, AUS'!Q:Q,$A68,'Norlane, AUS'!$I:$I,TRUE),TRUE,FALSE)</f>
        <v>0</v>
      </c>
      <c r="AI68" s="47" t="b">
        <f>if(countifs('Meitingen, GER'!Q:Q,$A68,'Meitingen, GER'!$I:$I,TRUE),TRUE,FALSE)</f>
        <v>0</v>
      </c>
      <c r="AJ68" s="47" t="b">
        <f>if(countifs('Groningen, NL'!Q:Q,$A68,'Groningen, NL'!$I:$I,TRUE),TRUE,FALSE)</f>
        <v>0</v>
      </c>
      <c r="AK68" s="47" t="b">
        <f>if(countifs('Linköping, SW'!Q:Q,$A68,'Linköping, SW'!$I:$I,TRUE),TRUE,FALSE)</f>
        <v>0</v>
      </c>
      <c r="AL68" s="47" t="b">
        <f>if(countifs('Austin, USA'!Q:Q,$A68,'Austin, USA'!$I:$I,TRUE),TRUE,FALSE)</f>
        <v>0</v>
      </c>
      <c r="AM68" s="47" t="b">
        <f>if(countifs('Thringstone, UK'!Q:Q,$A68,'Thringstone, UK'!$I:$I,TRUE),TRUE,FALSE)</f>
        <v>0</v>
      </c>
      <c r="AN68" s="47" t="b">
        <f>if(countifs('Andover, UK'!Q:Q,$A68,'Andover, UK'!$I:$I,TRUE),TRUE,FALSE)</f>
        <v>0</v>
      </c>
      <c r="AO68" s="47" t="b">
        <f>if(countifs('Ospel, NL'!Q:Q,$A68,'Ospel, NL'!$I:$I,TRUE),TRUE,FALSE)</f>
        <v>0</v>
      </c>
      <c r="AP68" s="47" t="b">
        <f>if(countifs('Wonthaggi, AUS'!Q:Q,$A68,'Wonthaggi, AUS'!$I:$I,TRUE),TRUE,FALSE)</f>
        <v>0</v>
      </c>
      <c r="AQ68" s="47" t="b">
        <f>if(countifs('Falling_Waters, USA'!$Q:$Q,$A68,'Falling_Waters, USA'!$I:$I,TRUE),TRUE,FALSE)</f>
        <v>0</v>
      </c>
      <c r="AR68" s="47" t="b">
        <f>if(countifs('Kelmscott, AUS'!Q:Q,$A68,'Kelmscott, AUS'!$I:$I,TRUE),TRUE,FALSE)</f>
        <v>0</v>
      </c>
    </row>
    <row r="69">
      <c r="A69" s="47" t="str">
        <f>IFERROR(__xludf.DUMMYFUNCTION("""COMPUTED_VALUE"""),"ivwarrior")</f>
        <v>ivwarrior</v>
      </c>
      <c r="B69" s="47">
        <f t="shared" si="1"/>
        <v>1</v>
      </c>
      <c r="C69" s="47" t="b">
        <v>0</v>
      </c>
      <c r="D69" s="47" t="b">
        <v>0</v>
      </c>
      <c r="E69" s="47" t="b">
        <v>0</v>
      </c>
      <c r="F69" s="47" t="b">
        <v>0</v>
      </c>
      <c r="G69" s="96"/>
      <c r="H69" s="96" t="b">
        <f>if(countifs('Berlin, GER'!Q:Q,A69,'Berlin, GER'!I:I,TRUE),TRUE,FALSE)</f>
        <v>0</v>
      </c>
      <c r="I69" s="96" t="b">
        <f>if(countifs('Escondido, USA'!Q:Q,A69,'Escondido, USA'!I:I,TRUE),TRUE,FALSE)</f>
        <v>0</v>
      </c>
      <c r="J69" s="96" t="b">
        <f>if(countifs('Onkaparinga_Hills, AUS'!Q:Q,A69,'Onkaparinga_Hills, AUS'!I:I,TRUE),TRUE,FALSE)</f>
        <v>0</v>
      </c>
      <c r="K69" s="96" t="b">
        <f>if(countifs('Perth, AUS'!Q:Q,A69,'Perth, AUS'!I:I,TRUE),TRUE,FALSE)</f>
        <v>0</v>
      </c>
      <c r="L69" s="96" t="b">
        <f>if(countifs('Raleigh, USA'!Q:Q,A69,'Raleigh, USA'!I:I,TRUE),TRUE,FALSE)</f>
        <v>1</v>
      </c>
      <c r="M69" s="96" t="b">
        <f>if(countifs('Browns Plains, AUS'!Q:Q,A69,'Browns Plains, AUS'!I:I,TRUE),TRUE,FALSE)</f>
        <v>0</v>
      </c>
      <c r="N69" s="96" t="b">
        <f>if(countifs('Brossard, CAN'!Q:Q,A69,'Brossard, CAN'!I:I,TRUE),TRUE,FALSE)</f>
        <v>0</v>
      </c>
      <c r="O69" s="96" t="b">
        <f>if(countifs('Gouda, NL'!Q:Q,$A69,'Gouda, NL'!$I:$I,TRUE),TRUE,FALSE)</f>
        <v>0</v>
      </c>
      <c r="P69" s="47" t="b">
        <f>if(countifs('Plympton, UK'!Q:Q,$A69,'Plympton, UK'!$I:$I,TRUE),TRUE,FALSE)</f>
        <v>0</v>
      </c>
      <c r="Q69" s="47" t="b">
        <f>if(countifs('Glen Oaks, USA'!Q:Q,$A69,'Glen Oaks, USA'!$I:$I,TRUE),TRUE,FALSE)</f>
        <v>0</v>
      </c>
      <c r="R69" s="47" t="b">
        <f>if(countifs('Chemnitz, GER'!Q:Q,$A69,'Chemnitz, GER'!I:I,TRUE),TRUE,FALSE)</f>
        <v>0</v>
      </c>
      <c r="S69" s="47" t="b">
        <f>if(countifs('Vosselaar, BE'!Q:Q,$A69,'Vosselaar, BE'!$I:$I,TRUE),TRUE,FALSE)</f>
        <v>0</v>
      </c>
      <c r="T69" s="47" t="b">
        <f>if(countifs('MHQ, USA'!Q:Q,$A69,'MHQ, USA'!$I:$I,TRUE),TRUE,FALSE)</f>
        <v>0</v>
      </c>
      <c r="U69" s="47" t="b">
        <f>if(countifs('Morayfield, AUS'!Q:Q,$A69,'Morayfield, AUS'!$I:$I,TRUE),TRUE,FALSE)</f>
        <v>0</v>
      </c>
      <c r="V69" s="11" t="b">
        <f>if(countifs('Arnhem, NL'!Q:Q,$A69,'Arnhem, NL'!$I:$I,TRUE),TRUE,FALSE)</f>
        <v>0</v>
      </c>
      <c r="W69" s="47" t="b">
        <f>if(countifs('Gotenborg, SW'!Q:Q,$A69,'Gotenborg, SW'!$I:$I,TRUE),TRUE,FALSE)</f>
        <v>0</v>
      </c>
      <c r="X69" s="47" t="b">
        <f>if(countifs('Shepparton, AUS'!Q:Q,$A69,'Shepparton, AUS'!$I:$I,TRUE),TRUE,FALSE)</f>
        <v>0</v>
      </c>
      <c r="Y69" s="47" t="b">
        <f>if(countifs('Hoofddorp, NL'!Q:Q,$A69,'Hoofddorp, NL'!$I:$I,TRUE),TRUE,FALSE)</f>
        <v>0</v>
      </c>
      <c r="Z69" s="47" t="b">
        <f>if(countifs('Bedford, UK'!Q:Q,$A69,'Bedford, UK'!$I:$I,TRUE),TRUE,FALSE)</f>
        <v>0</v>
      </c>
      <c r="AA69" s="47" t="b">
        <f>IF(COUNTIFS('Desert Lodge, USA'!Q:Q,$A69,'Desert Lodge, USA'!I:I,TRUE),TRUE,FALSE)</f>
        <v>0</v>
      </c>
      <c r="AB69" s="47" t="b">
        <f>if(countifs('Dapto, AUS'!Q:Q,$A69,'Dapto, AUS'!$I:$I,TRUE),TRUE,FALSE)</f>
        <v>0</v>
      </c>
      <c r="AC69" s="47" t="b">
        <f>if(countifs('New Westminster, CAN'!Q:Q,$A69,'New Westminster, CAN'!$I:$I,TRUE),TRUE,FALSE)</f>
        <v>0</v>
      </c>
      <c r="AD69" s="47" t="b">
        <f>if(countifs('Georgetown, CAN'!Q:Q,$A69,'Georgetown, CAN'!$I:$I,TRUE),TRUE,FALSE)</f>
        <v>0</v>
      </c>
      <c r="AE69" s="47" t="b">
        <f>if(countifs('Kingswood, UK'!Q:Q,$A69,'Kingswood, UK'!$I:$I,TRUE),TRUE,FALSE)</f>
        <v>0</v>
      </c>
      <c r="AF69" s="47" t="b">
        <f>if(countifs('Hagerstown, USA'!Q:Q,$A69,'Hagerstown, USA'!$I:$I,TRUE),TRUE,FALSE)</f>
        <v>0</v>
      </c>
      <c r="AG69" s="47" t="b">
        <f>if(countifs('Felsogalla, HU'!Q:Q,$A69,'Felsogalla, HU'!$I:$I,TRUE),TRUE,FALSE)</f>
        <v>0</v>
      </c>
      <c r="AH69" s="47" t="b">
        <f>if(countifs('Norlane, AUS'!Q:Q,$A69,'Norlane, AUS'!$I:$I,TRUE),TRUE,FALSE)</f>
        <v>0</v>
      </c>
      <c r="AI69" s="47" t="b">
        <f>if(countifs('Meitingen, GER'!Q:Q,$A69,'Meitingen, GER'!$I:$I,TRUE),TRUE,FALSE)</f>
        <v>0</v>
      </c>
      <c r="AJ69" s="47" t="b">
        <f>if(countifs('Groningen, NL'!Q:Q,$A69,'Groningen, NL'!$I:$I,TRUE),TRUE,FALSE)</f>
        <v>0</v>
      </c>
      <c r="AK69" s="47" t="b">
        <f>if(countifs('Linköping, SW'!Q:Q,$A69,'Linköping, SW'!$I:$I,TRUE),TRUE,FALSE)</f>
        <v>0</v>
      </c>
      <c r="AL69" s="47" t="b">
        <f>if(countifs('Austin, USA'!Q:Q,$A69,'Austin, USA'!$I:$I,TRUE),TRUE,FALSE)</f>
        <v>0</v>
      </c>
      <c r="AM69" s="47" t="b">
        <f>if(countifs('Thringstone, UK'!Q:Q,$A69,'Thringstone, UK'!$I:$I,TRUE),TRUE,FALSE)</f>
        <v>0</v>
      </c>
      <c r="AN69" s="47" t="b">
        <f>if(countifs('Andover, UK'!Q:Q,$A69,'Andover, UK'!$I:$I,TRUE),TRUE,FALSE)</f>
        <v>0</v>
      </c>
      <c r="AO69" s="47" t="b">
        <f>if(countifs('Ospel, NL'!Q:Q,$A69,'Ospel, NL'!$I:$I,TRUE),TRUE,FALSE)</f>
        <v>0</v>
      </c>
      <c r="AP69" s="47" t="b">
        <f>if(countifs('Wonthaggi, AUS'!Q:Q,$A69,'Wonthaggi, AUS'!$I:$I,TRUE),TRUE,FALSE)</f>
        <v>0</v>
      </c>
      <c r="AQ69" s="47" t="b">
        <f>if(countifs('Falling_Waters, USA'!$Q:$Q,$A69,'Falling_Waters, USA'!$I:$I,TRUE),TRUE,FALSE)</f>
        <v>0</v>
      </c>
      <c r="AR69" s="47" t="b">
        <f>if(countifs('Kelmscott, AUS'!Q:Q,$A69,'Kelmscott, AUS'!$I:$I,TRUE),TRUE,FALSE)</f>
        <v>0</v>
      </c>
    </row>
    <row r="70">
      <c r="A70" s="47" t="str">
        <f>IFERROR(__xludf.DUMMYFUNCTION("""COMPUTED_VALUE"""),"Franca")</f>
        <v>Franca</v>
      </c>
      <c r="B70" s="47">
        <f t="shared" si="1"/>
        <v>7</v>
      </c>
      <c r="C70" s="47" t="b">
        <v>0</v>
      </c>
      <c r="D70" s="47" t="b">
        <v>0</v>
      </c>
      <c r="E70" s="47" t="b">
        <v>0</v>
      </c>
      <c r="F70" s="47" t="b">
        <v>0</v>
      </c>
      <c r="G70" s="96"/>
      <c r="H70" s="96" t="b">
        <f>if(countifs('Berlin, GER'!Q:Q,A70,'Berlin, GER'!I:I,TRUE),TRUE,FALSE)</f>
        <v>0</v>
      </c>
      <c r="I70" s="96" t="b">
        <f>if(countifs('Escondido, USA'!Q:Q,A70,'Escondido, USA'!I:I,TRUE),TRUE,FALSE)</f>
        <v>0</v>
      </c>
      <c r="J70" s="96" t="b">
        <f>if(countifs('Onkaparinga_Hills, AUS'!Q:Q,A70,'Onkaparinga_Hills, AUS'!I:I,TRUE),TRUE,FALSE)</f>
        <v>0</v>
      </c>
      <c r="K70" s="96" t="b">
        <f>if(countifs('Perth, AUS'!Q:Q,A70,'Perth, AUS'!I:I,TRUE),TRUE,FALSE)</f>
        <v>0</v>
      </c>
      <c r="L70" s="96" t="b">
        <f>if(countifs('Raleigh, USA'!Q:Q,A70,'Raleigh, USA'!I:I,TRUE),TRUE,FALSE)</f>
        <v>0</v>
      </c>
      <c r="M70" s="96" t="b">
        <f>if(countifs('Browns Plains, AUS'!Q:Q,A70,'Browns Plains, AUS'!I:I,TRUE),TRUE,FALSE)</f>
        <v>1</v>
      </c>
      <c r="N70" s="96" t="b">
        <f>if(countifs('Brossard, CAN'!Q:Q,A70,'Brossard, CAN'!I:I,TRUE),TRUE,FALSE)</f>
        <v>0</v>
      </c>
      <c r="O70" s="96" t="b">
        <f>if(countifs('Gouda, NL'!Q:Q,$A70,'Gouda, NL'!$I:$I,TRUE),TRUE,FALSE)</f>
        <v>1</v>
      </c>
      <c r="P70" s="47" t="b">
        <f>if(countifs('Plympton, UK'!Q:Q,$A70,'Plympton, UK'!$I:$I,TRUE),TRUE,FALSE)</f>
        <v>1</v>
      </c>
      <c r="Q70" s="47" t="b">
        <f>if(countifs('Glen Oaks, USA'!Q:Q,$A70,'Glen Oaks, USA'!$I:$I,TRUE),TRUE,FALSE)</f>
        <v>0</v>
      </c>
      <c r="R70" s="47" t="b">
        <f>if(countifs('Chemnitz, GER'!Q:Q,$A70,'Chemnitz, GER'!I:I,TRUE),TRUE,FALSE)</f>
        <v>0</v>
      </c>
      <c r="S70" s="47" t="b">
        <f>if(countifs('Vosselaar, BE'!Q:Q,$A70,'Vosselaar, BE'!$I:$I,TRUE),TRUE,FALSE)</f>
        <v>0</v>
      </c>
      <c r="T70" s="47" t="b">
        <f>if(countifs('MHQ, USA'!Q:Q,$A70,'MHQ, USA'!$I:$I,TRUE),TRUE,FALSE)</f>
        <v>1</v>
      </c>
      <c r="U70" s="47" t="b">
        <f>if(countifs('Morayfield, AUS'!Q:Q,$A70,'Morayfield, AUS'!$I:$I,TRUE),TRUE,FALSE)</f>
        <v>0</v>
      </c>
      <c r="V70" s="11" t="b">
        <f>if(countifs('Arnhem, NL'!Q:Q,$A70,'Arnhem, NL'!$I:$I,TRUE),TRUE,FALSE)</f>
        <v>0</v>
      </c>
      <c r="W70" s="47" t="b">
        <f>if(countifs('Gotenborg, SW'!Q:Q,$A70,'Gotenborg, SW'!$I:$I,TRUE),TRUE,FALSE)</f>
        <v>0</v>
      </c>
      <c r="X70" s="47" t="b">
        <f>if(countifs('Shepparton, AUS'!Q:Q,$A70,'Shepparton, AUS'!$I:$I,TRUE),TRUE,FALSE)</f>
        <v>0</v>
      </c>
      <c r="Y70" s="47" t="b">
        <f>if(countifs('Hoofddorp, NL'!Q:Q,$A70,'Hoofddorp, NL'!$I:$I,TRUE),TRUE,FALSE)</f>
        <v>1</v>
      </c>
      <c r="Z70" s="47" t="b">
        <f>if(countifs('Bedford, UK'!Q:Q,$A70,'Bedford, UK'!$I:$I,TRUE),TRUE,FALSE)</f>
        <v>1</v>
      </c>
      <c r="AA70" s="47" t="b">
        <f>IF(COUNTIFS('Desert Lodge, USA'!Q:Q,$A70,'Desert Lodge, USA'!I:I,TRUE),TRUE,FALSE)</f>
        <v>0</v>
      </c>
      <c r="AB70" s="47" t="b">
        <f>if(countifs('Dapto, AUS'!Q:Q,$A70,'Dapto, AUS'!$I:$I,TRUE),TRUE,FALSE)</f>
        <v>0</v>
      </c>
      <c r="AC70" s="47" t="b">
        <f>if(countifs('New Westminster, CAN'!Q:Q,$A70,'New Westminster, CAN'!$I:$I,TRUE),TRUE,FALSE)</f>
        <v>0</v>
      </c>
      <c r="AD70" s="47" t="b">
        <f>if(countifs('Georgetown, CAN'!Q:Q,$A70,'Georgetown, CAN'!$I:$I,TRUE),TRUE,FALSE)</f>
        <v>0</v>
      </c>
      <c r="AE70" s="47" t="b">
        <f>if(countifs('Kingswood, UK'!Q:Q,$A70,'Kingswood, UK'!$I:$I,TRUE),TRUE,FALSE)</f>
        <v>0</v>
      </c>
      <c r="AF70" s="47" t="b">
        <f>if(countifs('Hagerstown, USA'!Q:Q,$A70,'Hagerstown, USA'!$I:$I,TRUE),TRUE,FALSE)</f>
        <v>0</v>
      </c>
      <c r="AG70" s="47" t="b">
        <f>if(countifs('Felsogalla, HU'!Q:Q,$A70,'Felsogalla, HU'!$I:$I,TRUE),TRUE,FALSE)</f>
        <v>0</v>
      </c>
      <c r="AH70" s="47" t="b">
        <f>if(countifs('Norlane, AUS'!Q:Q,$A70,'Norlane, AUS'!$I:$I,TRUE),TRUE,FALSE)</f>
        <v>0</v>
      </c>
      <c r="AI70" s="47" t="b">
        <f>if(countifs('Meitingen, GER'!Q:Q,$A70,'Meitingen, GER'!$I:$I,TRUE),TRUE,FALSE)</f>
        <v>0</v>
      </c>
      <c r="AJ70" s="47" t="b">
        <f>if(countifs('Groningen, NL'!Q:Q,$A70,'Groningen, NL'!$I:$I,TRUE),TRUE,FALSE)</f>
        <v>1</v>
      </c>
      <c r="AK70" s="47" t="b">
        <f>if(countifs('Linköping, SW'!Q:Q,$A70,'Linköping, SW'!$I:$I,TRUE),TRUE,FALSE)</f>
        <v>0</v>
      </c>
      <c r="AL70" s="47" t="b">
        <f>if(countifs('Austin, USA'!Q:Q,$A70,'Austin, USA'!$I:$I,TRUE),TRUE,FALSE)</f>
        <v>0</v>
      </c>
      <c r="AM70" s="47" t="b">
        <f>if(countifs('Thringstone, UK'!Q:Q,$A70,'Thringstone, UK'!$I:$I,TRUE),TRUE,FALSE)</f>
        <v>0</v>
      </c>
      <c r="AN70" s="47" t="b">
        <f>if(countifs('Andover, UK'!Q:Q,$A70,'Andover, UK'!$I:$I,TRUE),TRUE,FALSE)</f>
        <v>0</v>
      </c>
      <c r="AO70" s="47" t="b">
        <f>if(countifs('Ospel, NL'!Q:Q,$A70,'Ospel, NL'!$I:$I,TRUE),TRUE,FALSE)</f>
        <v>0</v>
      </c>
      <c r="AP70" s="47" t="b">
        <f>if(countifs('Wonthaggi, AUS'!Q:Q,$A70,'Wonthaggi, AUS'!$I:$I,TRUE),TRUE,FALSE)</f>
        <v>0</v>
      </c>
      <c r="AQ70" s="47" t="b">
        <f>if(countifs('Falling_Waters, USA'!$Q:$Q,$A70,'Falling_Waters, USA'!$I:$I,TRUE),TRUE,FALSE)</f>
        <v>0</v>
      </c>
      <c r="AR70" s="47" t="b">
        <f>if(countifs('Kelmscott, AUS'!Q:Q,$A70,'Kelmscott, AUS'!$I:$I,TRUE),TRUE,FALSE)</f>
        <v>0</v>
      </c>
    </row>
    <row r="71">
      <c r="A71" s="47" t="str">
        <f>IFERROR(__xludf.DUMMYFUNCTION("""COMPUTED_VALUE"""),"TeamSarton")</f>
        <v>TeamSarton</v>
      </c>
      <c r="B71" s="47">
        <f t="shared" si="1"/>
        <v>3</v>
      </c>
      <c r="C71" s="47" t="b">
        <v>0</v>
      </c>
      <c r="D71" s="47" t="b">
        <v>0</v>
      </c>
      <c r="E71" s="47" t="b">
        <v>0</v>
      </c>
      <c r="F71" s="47" t="b">
        <v>0</v>
      </c>
      <c r="G71" s="96"/>
      <c r="H71" s="96" t="b">
        <f>if(countifs('Berlin, GER'!Q:Q,A71,'Berlin, GER'!I:I,TRUE),TRUE,FALSE)</f>
        <v>0</v>
      </c>
      <c r="I71" s="96" t="b">
        <f>if(countifs('Escondido, USA'!Q:Q,A71,'Escondido, USA'!I:I,TRUE),TRUE,FALSE)</f>
        <v>0</v>
      </c>
      <c r="J71" s="96" t="b">
        <f>if(countifs('Onkaparinga_Hills, AUS'!Q:Q,A71,'Onkaparinga_Hills, AUS'!I:I,TRUE),TRUE,FALSE)</f>
        <v>0</v>
      </c>
      <c r="K71" s="96" t="b">
        <f>if(countifs('Perth, AUS'!Q:Q,A71,'Perth, AUS'!I:I,TRUE),TRUE,FALSE)</f>
        <v>0</v>
      </c>
      <c r="L71" s="96" t="b">
        <f>if(countifs('Raleigh, USA'!Q:Q,A71,'Raleigh, USA'!I:I,TRUE),TRUE,FALSE)</f>
        <v>0</v>
      </c>
      <c r="M71" s="96" t="b">
        <f>if(countifs('Browns Plains, AUS'!Q:Q,A71,'Browns Plains, AUS'!I:I,TRUE),TRUE,FALSE)</f>
        <v>1</v>
      </c>
      <c r="N71" s="96" t="b">
        <f>if(countifs('Brossard, CAN'!Q:Q,A71,'Brossard, CAN'!I:I,TRUE),TRUE,FALSE)</f>
        <v>0</v>
      </c>
      <c r="O71" s="96" t="b">
        <f>if(countifs('Gouda, NL'!Q:Q,$A71,'Gouda, NL'!$I:$I,TRUE),TRUE,FALSE)</f>
        <v>0</v>
      </c>
      <c r="P71" s="47" t="b">
        <f>if(countifs('Plympton, UK'!Q:Q,$A71,'Plympton, UK'!$I:$I,TRUE),TRUE,FALSE)</f>
        <v>0</v>
      </c>
      <c r="Q71" s="47" t="b">
        <f>if(countifs('Glen Oaks, USA'!Q:Q,$A71,'Glen Oaks, USA'!$I:$I,TRUE),TRUE,FALSE)</f>
        <v>0</v>
      </c>
      <c r="R71" s="47" t="b">
        <f>if(countifs('Chemnitz, GER'!Q:Q,$A71,'Chemnitz, GER'!I:I,TRUE),TRUE,FALSE)</f>
        <v>0</v>
      </c>
      <c r="S71" s="47" t="b">
        <f>if(countifs('Vosselaar, BE'!Q:Q,$A71,'Vosselaar, BE'!$I:$I,TRUE),TRUE,FALSE)</f>
        <v>1</v>
      </c>
      <c r="T71" s="47" t="b">
        <f>if(countifs('MHQ, USA'!Q:Q,$A71,'MHQ, USA'!$I:$I,TRUE),TRUE,FALSE)</f>
        <v>0</v>
      </c>
      <c r="U71" s="47" t="b">
        <f>if(countifs('Morayfield, AUS'!Q:Q,$A71,'Morayfield, AUS'!$I:$I,TRUE),TRUE,FALSE)</f>
        <v>0</v>
      </c>
      <c r="V71" s="11" t="b">
        <f>if(countifs('Arnhem, NL'!Q:Q,$A71,'Arnhem, NL'!$I:$I,TRUE),TRUE,FALSE)</f>
        <v>0</v>
      </c>
      <c r="W71" s="47" t="b">
        <f>if(countifs('Gotenborg, SW'!Q:Q,$A71,'Gotenborg, SW'!$I:$I,TRUE),TRUE,FALSE)</f>
        <v>0</v>
      </c>
      <c r="X71" s="47" t="b">
        <f>if(countifs('Shepparton, AUS'!Q:Q,$A71,'Shepparton, AUS'!$I:$I,TRUE),TRUE,FALSE)</f>
        <v>0</v>
      </c>
      <c r="Y71" s="47" t="b">
        <f>if(countifs('Hoofddorp, NL'!Q:Q,$A71,'Hoofddorp, NL'!$I:$I,TRUE),TRUE,FALSE)</f>
        <v>0</v>
      </c>
      <c r="Z71" s="47" t="b">
        <f>if(countifs('Bedford, UK'!Q:Q,$A71,'Bedford, UK'!$I:$I,TRUE),TRUE,FALSE)</f>
        <v>0</v>
      </c>
      <c r="AA71" s="47" t="b">
        <f>IF(COUNTIFS('Desert Lodge, USA'!Q:Q,$A71,'Desert Lodge, USA'!I:I,TRUE),TRUE,FALSE)</f>
        <v>0</v>
      </c>
      <c r="AB71" s="47" t="b">
        <f>if(countifs('Dapto, AUS'!Q:Q,$A71,'Dapto, AUS'!$I:$I,TRUE),TRUE,FALSE)</f>
        <v>0</v>
      </c>
      <c r="AC71" s="47" t="b">
        <f>if(countifs('New Westminster, CAN'!Q:Q,$A71,'New Westminster, CAN'!$I:$I,TRUE),TRUE,FALSE)</f>
        <v>0</v>
      </c>
      <c r="AD71" s="47" t="b">
        <f>if(countifs('Georgetown, CAN'!Q:Q,$A71,'Georgetown, CAN'!$I:$I,TRUE),TRUE,FALSE)</f>
        <v>0</v>
      </c>
      <c r="AE71" s="47" t="b">
        <f>if(countifs('Kingswood, UK'!Q:Q,$A71,'Kingswood, UK'!$I:$I,TRUE),TRUE,FALSE)</f>
        <v>0</v>
      </c>
      <c r="AF71" s="47" t="b">
        <f>if(countifs('Hagerstown, USA'!Q:Q,$A71,'Hagerstown, USA'!$I:$I,TRUE),TRUE,FALSE)</f>
        <v>0</v>
      </c>
      <c r="AG71" s="47" t="b">
        <f>if(countifs('Felsogalla, HU'!Q:Q,$A71,'Felsogalla, HU'!$I:$I,TRUE),TRUE,FALSE)</f>
        <v>0</v>
      </c>
      <c r="AH71" s="47" t="b">
        <f>if(countifs('Norlane, AUS'!Q:Q,$A71,'Norlane, AUS'!$I:$I,TRUE),TRUE,FALSE)</f>
        <v>0</v>
      </c>
      <c r="AI71" s="47" t="b">
        <f>if(countifs('Meitingen, GER'!Q:Q,$A71,'Meitingen, GER'!$I:$I,TRUE),TRUE,FALSE)</f>
        <v>0</v>
      </c>
      <c r="AJ71" s="47" t="b">
        <f>if(countifs('Groningen, NL'!Q:Q,$A71,'Groningen, NL'!$I:$I,TRUE),TRUE,FALSE)</f>
        <v>0</v>
      </c>
      <c r="AK71" s="47" t="b">
        <f>if(countifs('Linköping, SW'!Q:Q,$A71,'Linköping, SW'!$I:$I,TRUE),TRUE,FALSE)</f>
        <v>0</v>
      </c>
      <c r="AL71" s="47" t="b">
        <f>if(countifs('Austin, USA'!Q:Q,$A71,'Austin, USA'!$I:$I,TRUE),TRUE,FALSE)</f>
        <v>0</v>
      </c>
      <c r="AM71" s="47" t="b">
        <f>if(countifs('Thringstone, UK'!Q:Q,$A71,'Thringstone, UK'!$I:$I,TRUE),TRUE,FALSE)</f>
        <v>0</v>
      </c>
      <c r="AN71" s="47" t="b">
        <f>if(countifs('Andover, UK'!Q:Q,$A71,'Andover, UK'!$I:$I,TRUE),TRUE,FALSE)</f>
        <v>0</v>
      </c>
      <c r="AO71" s="47" t="b">
        <f>if(countifs('Ospel, NL'!Q:Q,$A71,'Ospel, NL'!$I:$I,TRUE),TRUE,FALSE)</f>
        <v>0</v>
      </c>
      <c r="AP71" s="47" t="b">
        <f>if(countifs('Wonthaggi, AUS'!Q:Q,$A71,'Wonthaggi, AUS'!$I:$I,TRUE),TRUE,FALSE)</f>
        <v>1</v>
      </c>
      <c r="AQ71" s="47" t="b">
        <f>if(countifs('Falling_Waters, USA'!$Q:$Q,$A71,'Falling_Waters, USA'!$I:$I,TRUE),TRUE,FALSE)</f>
        <v>0</v>
      </c>
      <c r="AR71" s="47" t="b">
        <f>if(countifs('Kelmscott, AUS'!Q:Q,$A71,'Kelmscott, AUS'!$I:$I,TRUE),TRUE,FALSE)</f>
        <v>0</v>
      </c>
    </row>
    <row r="72">
      <c r="A72" s="47" t="str">
        <f>IFERROR(__xludf.DUMMYFUNCTION("""COMPUTED_VALUE"""),"amundadus")</f>
        <v>amundadus</v>
      </c>
      <c r="B72" s="47">
        <f t="shared" si="1"/>
        <v>3</v>
      </c>
      <c r="C72" s="47" t="b">
        <v>0</v>
      </c>
      <c r="D72" s="47" t="b">
        <v>0</v>
      </c>
      <c r="E72" s="47" t="b">
        <v>0</v>
      </c>
      <c r="F72" s="47" t="b">
        <v>0</v>
      </c>
      <c r="G72" s="96"/>
      <c r="H72" s="96" t="b">
        <f>if(countifs('Berlin, GER'!Q:Q,A72,'Berlin, GER'!I:I,TRUE),TRUE,FALSE)</f>
        <v>0</v>
      </c>
      <c r="I72" s="96" t="b">
        <f>if(countifs('Escondido, USA'!Q:Q,A72,'Escondido, USA'!I:I,TRUE),TRUE,FALSE)</f>
        <v>0</v>
      </c>
      <c r="J72" s="96" t="b">
        <f>if(countifs('Onkaparinga_Hills, AUS'!Q:Q,A72,'Onkaparinga_Hills, AUS'!I:I,TRUE),TRUE,FALSE)</f>
        <v>0</v>
      </c>
      <c r="K72" s="96" t="b">
        <f>if(countifs('Perth, AUS'!Q:Q,A72,'Perth, AUS'!I:I,TRUE),TRUE,FALSE)</f>
        <v>0</v>
      </c>
      <c r="L72" s="96" t="b">
        <f>if(countifs('Raleigh, USA'!Q:Q,A72,'Raleigh, USA'!I:I,TRUE),TRUE,FALSE)</f>
        <v>0</v>
      </c>
      <c r="M72" s="96" t="b">
        <f>if(countifs('Browns Plains, AUS'!Q:Q,A72,'Browns Plains, AUS'!I:I,TRUE),TRUE,FALSE)</f>
        <v>1</v>
      </c>
      <c r="N72" s="96" t="b">
        <f>if(countifs('Brossard, CAN'!Q:Q,A72,'Brossard, CAN'!I:I,TRUE),TRUE,FALSE)</f>
        <v>0</v>
      </c>
      <c r="O72" s="96" t="b">
        <f>if(countifs('Gouda, NL'!Q:Q,$A72,'Gouda, NL'!$I:$I,TRUE),TRUE,FALSE)</f>
        <v>0</v>
      </c>
      <c r="P72" s="47" t="b">
        <f>if(countifs('Plympton, UK'!Q:Q,$A72,'Plympton, UK'!$I:$I,TRUE),TRUE,FALSE)</f>
        <v>0</v>
      </c>
      <c r="Q72" s="47" t="b">
        <f>if(countifs('Glen Oaks, USA'!Q:Q,$A72,'Glen Oaks, USA'!$I:$I,TRUE),TRUE,FALSE)</f>
        <v>0</v>
      </c>
      <c r="R72" s="47" t="b">
        <f>if(countifs('Chemnitz, GER'!Q:Q,$A72,'Chemnitz, GER'!I:I,TRUE),TRUE,FALSE)</f>
        <v>0</v>
      </c>
      <c r="S72" s="47" t="b">
        <f>if(countifs('Vosselaar, BE'!Q:Q,$A72,'Vosselaar, BE'!$I:$I,TRUE),TRUE,FALSE)</f>
        <v>0</v>
      </c>
      <c r="T72" s="47" t="b">
        <f>if(countifs('MHQ, USA'!Q:Q,$A72,'MHQ, USA'!$I:$I,TRUE),TRUE,FALSE)</f>
        <v>0</v>
      </c>
      <c r="U72" s="47" t="b">
        <f>if(countifs('Morayfield, AUS'!Q:Q,$A72,'Morayfield, AUS'!$I:$I,TRUE),TRUE,FALSE)</f>
        <v>0</v>
      </c>
      <c r="V72" s="11" t="b">
        <f>if(countifs('Arnhem, NL'!Q:Q,$A72,'Arnhem, NL'!$I:$I,TRUE),TRUE,FALSE)</f>
        <v>0</v>
      </c>
      <c r="W72" s="47" t="b">
        <f>if(countifs('Gotenborg, SW'!Q:Q,$A72,'Gotenborg, SW'!$I:$I,TRUE),TRUE,FALSE)</f>
        <v>0</v>
      </c>
      <c r="X72" s="47" t="b">
        <f>if(countifs('Shepparton, AUS'!Q:Q,$A72,'Shepparton, AUS'!$I:$I,TRUE),TRUE,FALSE)</f>
        <v>0</v>
      </c>
      <c r="Y72" s="47" t="b">
        <f>if(countifs('Hoofddorp, NL'!Q:Q,$A72,'Hoofddorp, NL'!$I:$I,TRUE),TRUE,FALSE)</f>
        <v>1</v>
      </c>
      <c r="Z72" s="47" t="b">
        <f>if(countifs('Bedford, UK'!Q:Q,$A72,'Bedford, UK'!$I:$I,TRUE),TRUE,FALSE)</f>
        <v>0</v>
      </c>
      <c r="AA72" s="47" t="b">
        <f>IF(COUNTIFS('Desert Lodge, USA'!Q:Q,$A72,'Desert Lodge, USA'!I:I,TRUE),TRUE,FALSE)</f>
        <v>0</v>
      </c>
      <c r="AB72" s="47" t="b">
        <f>if(countifs('Dapto, AUS'!Q:Q,$A72,'Dapto, AUS'!$I:$I,TRUE),TRUE,FALSE)</f>
        <v>0</v>
      </c>
      <c r="AC72" s="47" t="b">
        <f>if(countifs('New Westminster, CAN'!Q:Q,$A72,'New Westminster, CAN'!$I:$I,TRUE),TRUE,FALSE)</f>
        <v>0</v>
      </c>
      <c r="AD72" s="47" t="b">
        <f>if(countifs('Georgetown, CAN'!Q:Q,$A72,'Georgetown, CAN'!$I:$I,TRUE),TRUE,FALSE)</f>
        <v>0</v>
      </c>
      <c r="AE72" s="47" t="b">
        <f>if(countifs('Kingswood, UK'!Q:Q,$A72,'Kingswood, UK'!$I:$I,TRUE),TRUE,FALSE)</f>
        <v>0</v>
      </c>
      <c r="AF72" s="47" t="b">
        <f>if(countifs('Hagerstown, USA'!Q:Q,$A72,'Hagerstown, USA'!$I:$I,TRUE),TRUE,FALSE)</f>
        <v>0</v>
      </c>
      <c r="AG72" s="47" t="b">
        <f>if(countifs('Felsogalla, HU'!Q:Q,$A72,'Felsogalla, HU'!$I:$I,TRUE),TRUE,FALSE)</f>
        <v>0</v>
      </c>
      <c r="AH72" s="47" t="b">
        <f>if(countifs('Norlane, AUS'!Q:Q,$A72,'Norlane, AUS'!$I:$I,TRUE),TRUE,FALSE)</f>
        <v>0</v>
      </c>
      <c r="AI72" s="47" t="b">
        <f>if(countifs('Meitingen, GER'!Q:Q,$A72,'Meitingen, GER'!$I:$I,TRUE),TRUE,FALSE)</f>
        <v>0</v>
      </c>
      <c r="AJ72" s="47" t="b">
        <f>if(countifs('Groningen, NL'!Q:Q,$A72,'Groningen, NL'!$I:$I,TRUE),TRUE,FALSE)</f>
        <v>1</v>
      </c>
      <c r="AK72" s="47" t="b">
        <f>if(countifs('Linköping, SW'!Q:Q,$A72,'Linköping, SW'!$I:$I,TRUE),TRUE,FALSE)</f>
        <v>0</v>
      </c>
      <c r="AL72" s="47" t="b">
        <f>if(countifs('Austin, USA'!Q:Q,$A72,'Austin, USA'!$I:$I,TRUE),TRUE,FALSE)</f>
        <v>0</v>
      </c>
      <c r="AM72" s="47" t="b">
        <f>if(countifs('Thringstone, UK'!Q:Q,$A72,'Thringstone, UK'!$I:$I,TRUE),TRUE,FALSE)</f>
        <v>0</v>
      </c>
      <c r="AN72" s="47" t="b">
        <f>if(countifs('Andover, UK'!Q:Q,$A72,'Andover, UK'!$I:$I,TRUE),TRUE,FALSE)</f>
        <v>0</v>
      </c>
      <c r="AO72" s="47" t="b">
        <f>if(countifs('Ospel, NL'!Q:Q,$A72,'Ospel, NL'!$I:$I,TRUE),TRUE,FALSE)</f>
        <v>0</v>
      </c>
      <c r="AP72" s="47" t="b">
        <f>if(countifs('Wonthaggi, AUS'!Q:Q,$A72,'Wonthaggi, AUS'!$I:$I,TRUE),TRUE,FALSE)</f>
        <v>0</v>
      </c>
      <c r="AQ72" s="47" t="b">
        <f>if(countifs('Falling_Waters, USA'!$Q:$Q,$A72,'Falling_Waters, USA'!$I:$I,TRUE),TRUE,FALSE)</f>
        <v>0</v>
      </c>
      <c r="AR72" s="47" t="b">
        <f>if(countifs('Kelmscott, AUS'!Q:Q,$A72,'Kelmscott, AUS'!$I:$I,TRUE),TRUE,FALSE)</f>
        <v>0</v>
      </c>
    </row>
    <row r="73">
      <c r="A73" s="47" t="str">
        <f>IFERROR(__xludf.DUMMYFUNCTION("""COMPUTED_VALUE"""),"amadoreugen")</f>
        <v>amadoreugen</v>
      </c>
      <c r="B73" s="47">
        <f t="shared" si="1"/>
        <v>8</v>
      </c>
      <c r="C73" s="47" t="b">
        <v>0</v>
      </c>
      <c r="D73" s="47" t="b">
        <v>0</v>
      </c>
      <c r="E73" s="47" t="b">
        <v>0</v>
      </c>
      <c r="F73" s="47" t="b">
        <v>0</v>
      </c>
      <c r="G73" s="96"/>
      <c r="H73" s="96" t="b">
        <f>if(countifs('Berlin, GER'!Q:Q,A73,'Berlin, GER'!I:I,TRUE),TRUE,FALSE)</f>
        <v>0</v>
      </c>
      <c r="I73" s="96" t="b">
        <f>if(countifs('Escondido, USA'!Q:Q,A73,'Escondido, USA'!I:I,TRUE),TRUE,FALSE)</f>
        <v>0</v>
      </c>
      <c r="J73" s="96" t="b">
        <f>if(countifs('Onkaparinga_Hills, AUS'!Q:Q,A73,'Onkaparinga_Hills, AUS'!I:I,TRUE),TRUE,FALSE)</f>
        <v>0</v>
      </c>
      <c r="K73" s="96" t="b">
        <f>if(countifs('Perth, AUS'!Q:Q,A73,'Perth, AUS'!I:I,TRUE),TRUE,FALSE)</f>
        <v>0</v>
      </c>
      <c r="L73" s="96" t="b">
        <f>if(countifs('Raleigh, USA'!Q:Q,A73,'Raleigh, USA'!I:I,TRUE),TRUE,FALSE)</f>
        <v>0</v>
      </c>
      <c r="M73" s="96" t="b">
        <f>if(countifs('Browns Plains, AUS'!Q:Q,A73,'Browns Plains, AUS'!I:I,TRUE),TRUE,FALSE)</f>
        <v>1</v>
      </c>
      <c r="N73" s="96" t="b">
        <f>if(countifs('Brossard, CAN'!Q:Q,A73,'Brossard, CAN'!I:I,TRUE),TRUE,FALSE)</f>
        <v>0</v>
      </c>
      <c r="O73" s="96" t="b">
        <f>if(countifs('Gouda, NL'!Q:Q,$A73,'Gouda, NL'!$I:$I,TRUE),TRUE,FALSE)</f>
        <v>0</v>
      </c>
      <c r="P73" s="47" t="b">
        <f>if(countifs('Plympton, UK'!Q:Q,$A73,'Plympton, UK'!$I:$I,TRUE),TRUE,FALSE)</f>
        <v>0</v>
      </c>
      <c r="Q73" s="47" t="b">
        <f>if(countifs('Glen Oaks, USA'!Q:Q,$A73,'Glen Oaks, USA'!$I:$I,TRUE),TRUE,FALSE)</f>
        <v>0</v>
      </c>
      <c r="R73" s="47" t="b">
        <f>if(countifs('Chemnitz, GER'!Q:Q,$A73,'Chemnitz, GER'!I:I,TRUE),TRUE,FALSE)</f>
        <v>1</v>
      </c>
      <c r="S73" s="47" t="b">
        <f>if(countifs('Vosselaar, BE'!Q:Q,$A73,'Vosselaar, BE'!$I:$I,TRUE),TRUE,FALSE)</f>
        <v>1</v>
      </c>
      <c r="T73" s="47" t="b">
        <f>if(countifs('MHQ, USA'!Q:Q,$A73,'MHQ, USA'!$I:$I,TRUE),TRUE,FALSE)</f>
        <v>0</v>
      </c>
      <c r="U73" s="47" t="b">
        <f>if(countifs('Morayfield, AUS'!Q:Q,$A73,'Morayfield, AUS'!$I:$I,TRUE),TRUE,FALSE)</f>
        <v>1</v>
      </c>
      <c r="V73" s="11" t="b">
        <f>if(countifs('Arnhem, NL'!Q:Q,$A73,'Arnhem, NL'!$I:$I,TRUE),TRUE,FALSE)</f>
        <v>0</v>
      </c>
      <c r="W73" s="47" t="b">
        <f>if(countifs('Gotenborg, SW'!Q:Q,$A73,'Gotenborg, SW'!$I:$I,TRUE),TRUE,FALSE)</f>
        <v>1</v>
      </c>
      <c r="X73" s="47" t="b">
        <f>if(countifs('Shepparton, AUS'!Q:Q,$A73,'Shepparton, AUS'!$I:$I,TRUE),TRUE,FALSE)</f>
        <v>1</v>
      </c>
      <c r="Y73" s="47" t="b">
        <f>if(countifs('Hoofddorp, NL'!Q:Q,$A73,'Hoofddorp, NL'!$I:$I,TRUE),TRUE,FALSE)</f>
        <v>1</v>
      </c>
      <c r="Z73" s="47" t="b">
        <f>if(countifs('Bedford, UK'!Q:Q,$A73,'Bedford, UK'!$I:$I,TRUE),TRUE,FALSE)</f>
        <v>1</v>
      </c>
      <c r="AA73" s="47" t="b">
        <f>IF(COUNTIFS('Desert Lodge, USA'!Q:Q,$A73,'Desert Lodge, USA'!I:I,TRUE),TRUE,FALSE)</f>
        <v>0</v>
      </c>
      <c r="AB73" s="47" t="b">
        <f>if(countifs('Dapto, AUS'!Q:Q,$A73,'Dapto, AUS'!$I:$I,TRUE),TRUE,FALSE)</f>
        <v>0</v>
      </c>
      <c r="AC73" s="47" t="b">
        <f>if(countifs('New Westminster, CAN'!Q:Q,$A73,'New Westminster, CAN'!$I:$I,TRUE),TRUE,FALSE)</f>
        <v>0</v>
      </c>
      <c r="AD73" s="47" t="b">
        <f>if(countifs('Georgetown, CAN'!Q:Q,$A73,'Georgetown, CAN'!$I:$I,TRUE),TRUE,FALSE)</f>
        <v>0</v>
      </c>
      <c r="AE73" s="47" t="b">
        <f>if(countifs('Kingswood, UK'!Q:Q,$A73,'Kingswood, UK'!$I:$I,TRUE),TRUE,FALSE)</f>
        <v>0</v>
      </c>
      <c r="AF73" s="47" t="b">
        <f>if(countifs('Hagerstown, USA'!Q:Q,$A73,'Hagerstown, USA'!$I:$I,TRUE),TRUE,FALSE)</f>
        <v>0</v>
      </c>
      <c r="AG73" s="47" t="b">
        <f>if(countifs('Felsogalla, HU'!Q:Q,$A73,'Felsogalla, HU'!$I:$I,TRUE),TRUE,FALSE)</f>
        <v>0</v>
      </c>
      <c r="AH73" s="47" t="b">
        <f>if(countifs('Norlane, AUS'!Q:Q,$A73,'Norlane, AUS'!$I:$I,TRUE),TRUE,FALSE)</f>
        <v>0</v>
      </c>
      <c r="AI73" s="47" t="b">
        <f>if(countifs('Meitingen, GER'!Q:Q,$A73,'Meitingen, GER'!$I:$I,TRUE),TRUE,FALSE)</f>
        <v>0</v>
      </c>
      <c r="AJ73" s="47" t="b">
        <f>if(countifs('Groningen, NL'!Q:Q,$A73,'Groningen, NL'!$I:$I,TRUE),TRUE,FALSE)</f>
        <v>0</v>
      </c>
      <c r="AK73" s="47" t="b">
        <f>if(countifs('Linköping, SW'!Q:Q,$A73,'Linköping, SW'!$I:$I,TRUE),TRUE,FALSE)</f>
        <v>0</v>
      </c>
      <c r="AL73" s="47" t="b">
        <f>if(countifs('Austin, USA'!Q:Q,$A73,'Austin, USA'!$I:$I,TRUE),TRUE,FALSE)</f>
        <v>0</v>
      </c>
      <c r="AM73" s="47" t="b">
        <f>if(countifs('Thringstone, UK'!Q:Q,$A73,'Thringstone, UK'!$I:$I,TRUE),TRUE,FALSE)</f>
        <v>0</v>
      </c>
      <c r="AN73" s="47" t="b">
        <f>if(countifs('Andover, UK'!Q:Q,$A73,'Andover, UK'!$I:$I,TRUE),TRUE,FALSE)</f>
        <v>0</v>
      </c>
      <c r="AO73" s="47" t="b">
        <f>if(countifs('Ospel, NL'!Q:Q,$A73,'Ospel, NL'!$I:$I,TRUE),TRUE,FALSE)</f>
        <v>0</v>
      </c>
      <c r="AP73" s="47" t="b">
        <f>if(countifs('Wonthaggi, AUS'!Q:Q,$A73,'Wonthaggi, AUS'!$I:$I,TRUE),TRUE,FALSE)</f>
        <v>0</v>
      </c>
      <c r="AQ73" s="47" t="b">
        <f>if(countifs('Falling_Waters, USA'!$Q:$Q,$A73,'Falling_Waters, USA'!$I:$I,TRUE),TRUE,FALSE)</f>
        <v>0</v>
      </c>
      <c r="AR73" s="47" t="b">
        <f>if(countifs('Kelmscott, AUS'!Q:Q,$A73,'Kelmscott, AUS'!$I:$I,TRUE),TRUE,FALSE)</f>
        <v>0</v>
      </c>
    </row>
    <row r="74">
      <c r="A74" s="47" t="str">
        <f>IFERROR(__xludf.DUMMYFUNCTION("""COMPUTED_VALUE"""),"BartWullems")</f>
        <v>BartWullems</v>
      </c>
      <c r="B74" s="47">
        <f t="shared" si="1"/>
        <v>6</v>
      </c>
      <c r="C74" s="47" t="b">
        <v>0</v>
      </c>
      <c r="D74" s="47" t="b">
        <v>0</v>
      </c>
      <c r="E74" s="47" t="b">
        <v>0</v>
      </c>
      <c r="F74" s="47" t="b">
        <v>0</v>
      </c>
      <c r="G74" s="96"/>
      <c r="H74" s="96" t="b">
        <f>if(countifs('Berlin, GER'!Q:Q,A74,'Berlin, GER'!I:I,TRUE),TRUE,FALSE)</f>
        <v>0</v>
      </c>
      <c r="I74" s="96" t="b">
        <f>if(countifs('Escondido, USA'!Q:Q,A74,'Escondido, USA'!I:I,TRUE),TRUE,FALSE)</f>
        <v>0</v>
      </c>
      <c r="J74" s="96" t="b">
        <f>if(countifs('Onkaparinga_Hills, AUS'!Q:Q,A74,'Onkaparinga_Hills, AUS'!I:I,TRUE),TRUE,FALSE)</f>
        <v>0</v>
      </c>
      <c r="K74" s="96" t="b">
        <f>if(countifs('Perth, AUS'!Q:Q,A74,'Perth, AUS'!I:I,TRUE),TRUE,FALSE)</f>
        <v>0</v>
      </c>
      <c r="L74" s="96" t="b">
        <f>if(countifs('Raleigh, USA'!Q:Q,A74,'Raleigh, USA'!I:I,TRUE),TRUE,FALSE)</f>
        <v>0</v>
      </c>
      <c r="M74" s="96" t="b">
        <f>if(countifs('Browns Plains, AUS'!Q:Q,A74,'Browns Plains, AUS'!I:I,TRUE),TRUE,FALSE)</f>
        <v>1</v>
      </c>
      <c r="N74" s="96" t="b">
        <f>if(countifs('Brossard, CAN'!Q:Q,A74,'Brossard, CAN'!I:I,TRUE),TRUE,FALSE)</f>
        <v>0</v>
      </c>
      <c r="O74" s="96" t="b">
        <f>if(countifs('Gouda, NL'!Q:Q,$A74,'Gouda, NL'!$I:$I,TRUE),TRUE,FALSE)</f>
        <v>0</v>
      </c>
      <c r="P74" s="47" t="b">
        <f>if(countifs('Plympton, UK'!Q:Q,$A74,'Plympton, UK'!$I:$I,TRUE),TRUE,FALSE)</f>
        <v>0</v>
      </c>
      <c r="Q74" s="47" t="b">
        <f>if(countifs('Glen Oaks, USA'!Q:Q,$A74,'Glen Oaks, USA'!$I:$I,TRUE),TRUE,FALSE)</f>
        <v>1</v>
      </c>
      <c r="R74" s="47" t="b">
        <f>if(countifs('Chemnitz, GER'!Q:Q,$A74,'Chemnitz, GER'!I:I,TRUE),TRUE,FALSE)</f>
        <v>1</v>
      </c>
      <c r="S74" s="47" t="b">
        <f>if(countifs('Vosselaar, BE'!Q:Q,$A74,'Vosselaar, BE'!$I:$I,TRUE),TRUE,FALSE)</f>
        <v>1</v>
      </c>
      <c r="T74" s="47" t="b">
        <f>if(countifs('MHQ, USA'!Q:Q,$A74,'MHQ, USA'!$I:$I,TRUE),TRUE,FALSE)</f>
        <v>1</v>
      </c>
      <c r="U74" s="47" t="b">
        <f>if(countifs('Morayfield, AUS'!Q:Q,$A74,'Morayfield, AUS'!$I:$I,TRUE),TRUE,FALSE)</f>
        <v>1</v>
      </c>
      <c r="V74" s="11" t="b">
        <f>if(countifs('Arnhem, NL'!Q:Q,$A74,'Arnhem, NL'!$I:$I,TRUE),TRUE,FALSE)</f>
        <v>0</v>
      </c>
      <c r="W74" s="47" t="b">
        <f>if(countifs('Gotenborg, SW'!Q:Q,$A74,'Gotenborg, SW'!$I:$I,TRUE),TRUE,FALSE)</f>
        <v>0</v>
      </c>
      <c r="X74" s="47" t="b">
        <f>if(countifs('Shepparton, AUS'!Q:Q,$A74,'Shepparton, AUS'!$I:$I,TRUE),TRUE,FALSE)</f>
        <v>0</v>
      </c>
      <c r="Y74" s="47" t="b">
        <f>if(countifs('Hoofddorp, NL'!Q:Q,$A74,'Hoofddorp, NL'!$I:$I,TRUE),TRUE,FALSE)</f>
        <v>0</v>
      </c>
      <c r="Z74" s="47" t="b">
        <f>if(countifs('Bedford, UK'!Q:Q,$A74,'Bedford, UK'!$I:$I,TRUE),TRUE,FALSE)</f>
        <v>0</v>
      </c>
      <c r="AA74" s="47" t="b">
        <f>IF(COUNTIFS('Desert Lodge, USA'!Q:Q,$A74,'Desert Lodge, USA'!I:I,TRUE),TRUE,FALSE)</f>
        <v>0</v>
      </c>
      <c r="AB74" s="47" t="b">
        <f>if(countifs('Dapto, AUS'!Q:Q,$A74,'Dapto, AUS'!$I:$I,TRUE),TRUE,FALSE)</f>
        <v>0</v>
      </c>
      <c r="AC74" s="47" t="b">
        <f>if(countifs('New Westminster, CAN'!Q:Q,$A74,'New Westminster, CAN'!$I:$I,TRUE),TRUE,FALSE)</f>
        <v>0</v>
      </c>
      <c r="AD74" s="47" t="b">
        <f>if(countifs('Georgetown, CAN'!Q:Q,$A74,'Georgetown, CAN'!$I:$I,TRUE),TRUE,FALSE)</f>
        <v>0</v>
      </c>
      <c r="AE74" s="47" t="b">
        <f>if(countifs('Kingswood, UK'!Q:Q,$A74,'Kingswood, UK'!$I:$I,TRUE),TRUE,FALSE)</f>
        <v>0</v>
      </c>
      <c r="AF74" s="47" t="b">
        <f>if(countifs('Hagerstown, USA'!Q:Q,$A74,'Hagerstown, USA'!$I:$I,TRUE),TRUE,FALSE)</f>
        <v>0</v>
      </c>
      <c r="AG74" s="47" t="b">
        <f>if(countifs('Felsogalla, HU'!Q:Q,$A74,'Felsogalla, HU'!$I:$I,TRUE),TRUE,FALSE)</f>
        <v>0</v>
      </c>
      <c r="AH74" s="47" t="b">
        <f>if(countifs('Norlane, AUS'!Q:Q,$A74,'Norlane, AUS'!$I:$I,TRUE),TRUE,FALSE)</f>
        <v>0</v>
      </c>
      <c r="AI74" s="47" t="b">
        <f>if(countifs('Meitingen, GER'!Q:Q,$A74,'Meitingen, GER'!$I:$I,TRUE),TRUE,FALSE)</f>
        <v>0</v>
      </c>
      <c r="AJ74" s="47" t="b">
        <f>if(countifs('Groningen, NL'!Q:Q,$A74,'Groningen, NL'!$I:$I,TRUE),TRUE,FALSE)</f>
        <v>0</v>
      </c>
      <c r="AK74" s="47" t="b">
        <f>if(countifs('Linköping, SW'!Q:Q,$A74,'Linköping, SW'!$I:$I,TRUE),TRUE,FALSE)</f>
        <v>0</v>
      </c>
      <c r="AL74" s="47" t="b">
        <f>if(countifs('Austin, USA'!Q:Q,$A74,'Austin, USA'!$I:$I,TRUE),TRUE,FALSE)</f>
        <v>0</v>
      </c>
      <c r="AM74" s="47" t="b">
        <f>if(countifs('Thringstone, UK'!Q:Q,$A74,'Thringstone, UK'!$I:$I,TRUE),TRUE,FALSE)</f>
        <v>0</v>
      </c>
      <c r="AN74" s="47" t="b">
        <f>if(countifs('Andover, UK'!Q:Q,$A74,'Andover, UK'!$I:$I,TRUE),TRUE,FALSE)</f>
        <v>0</v>
      </c>
      <c r="AO74" s="47" t="b">
        <f>if(countifs('Ospel, NL'!Q:Q,$A74,'Ospel, NL'!$I:$I,TRUE),TRUE,FALSE)</f>
        <v>0</v>
      </c>
      <c r="AP74" s="47" t="b">
        <f>if(countifs('Wonthaggi, AUS'!Q:Q,$A74,'Wonthaggi, AUS'!$I:$I,TRUE),TRUE,FALSE)</f>
        <v>0</v>
      </c>
      <c r="AQ74" s="47" t="b">
        <f>if(countifs('Falling_Waters, USA'!$Q:$Q,$A74,'Falling_Waters, USA'!$I:$I,TRUE),TRUE,FALSE)</f>
        <v>0</v>
      </c>
      <c r="AR74" s="47" t="b">
        <f>if(countifs('Kelmscott, AUS'!Q:Q,$A74,'Kelmscott, AUS'!$I:$I,TRUE),TRUE,FALSE)</f>
        <v>0</v>
      </c>
    </row>
    <row r="75">
      <c r="A75" s="47" t="str">
        <f>IFERROR(__xludf.DUMMYFUNCTION("""COMPUTED_VALUE"""),"ladyanneraven")</f>
        <v>ladyanneraven</v>
      </c>
      <c r="B75" s="47">
        <f t="shared" si="1"/>
        <v>1</v>
      </c>
      <c r="C75" s="47" t="b">
        <v>0</v>
      </c>
      <c r="D75" s="47" t="b">
        <v>0</v>
      </c>
      <c r="E75" s="47" t="b">
        <v>0</v>
      </c>
      <c r="F75" s="47" t="b">
        <v>0</v>
      </c>
      <c r="G75" s="96"/>
      <c r="H75" s="96" t="b">
        <f>if(countifs('Berlin, GER'!Q:Q,A75,'Berlin, GER'!I:I,TRUE),TRUE,FALSE)</f>
        <v>0</v>
      </c>
      <c r="I75" s="96" t="b">
        <f>if(countifs('Escondido, USA'!Q:Q,A75,'Escondido, USA'!I:I,TRUE),TRUE,FALSE)</f>
        <v>0</v>
      </c>
      <c r="J75" s="96" t="b">
        <f>if(countifs('Onkaparinga_Hills, AUS'!Q:Q,A75,'Onkaparinga_Hills, AUS'!I:I,TRUE),TRUE,FALSE)</f>
        <v>0</v>
      </c>
      <c r="K75" s="96" t="b">
        <f>if(countifs('Perth, AUS'!Q:Q,A75,'Perth, AUS'!I:I,TRUE),TRUE,FALSE)</f>
        <v>0</v>
      </c>
      <c r="L75" s="96" t="b">
        <f>if(countifs('Raleigh, USA'!Q:Q,A75,'Raleigh, USA'!I:I,TRUE),TRUE,FALSE)</f>
        <v>0</v>
      </c>
      <c r="M75" s="96" t="b">
        <f>if(countifs('Browns Plains, AUS'!Q:Q,A75,'Browns Plains, AUS'!I:I,TRUE),TRUE,FALSE)</f>
        <v>1</v>
      </c>
      <c r="N75" s="96" t="b">
        <f>if(countifs('Brossard, CAN'!Q:Q,A75,'Brossard, CAN'!I:I,TRUE),TRUE,FALSE)</f>
        <v>0</v>
      </c>
      <c r="O75" s="96" t="b">
        <f>if(countifs('Gouda, NL'!Q:Q,$A75,'Gouda, NL'!$I:$I,TRUE),TRUE,FALSE)</f>
        <v>0</v>
      </c>
      <c r="P75" s="47" t="b">
        <f>if(countifs('Plympton, UK'!Q:Q,$A75,'Plympton, UK'!$I:$I,TRUE),TRUE,FALSE)</f>
        <v>0</v>
      </c>
      <c r="Q75" s="47" t="b">
        <f>if(countifs('Glen Oaks, USA'!Q:Q,$A75,'Glen Oaks, USA'!$I:$I,TRUE),TRUE,FALSE)</f>
        <v>0</v>
      </c>
      <c r="R75" s="47" t="b">
        <f>if(countifs('Chemnitz, GER'!Q:Q,$A75,'Chemnitz, GER'!I:I,TRUE),TRUE,FALSE)</f>
        <v>0</v>
      </c>
      <c r="S75" s="47" t="b">
        <f>if(countifs('Vosselaar, BE'!Q:Q,$A75,'Vosselaar, BE'!$I:$I,TRUE),TRUE,FALSE)</f>
        <v>0</v>
      </c>
      <c r="T75" s="47" t="b">
        <f>if(countifs('MHQ, USA'!Q:Q,$A75,'MHQ, USA'!$I:$I,TRUE),TRUE,FALSE)</f>
        <v>0</v>
      </c>
      <c r="U75" s="47" t="b">
        <f>if(countifs('Morayfield, AUS'!Q:Q,$A75,'Morayfield, AUS'!$I:$I,TRUE),TRUE,FALSE)</f>
        <v>0</v>
      </c>
      <c r="V75" s="11" t="b">
        <f>if(countifs('Arnhem, NL'!Q:Q,$A75,'Arnhem, NL'!$I:$I,TRUE),TRUE,FALSE)</f>
        <v>0</v>
      </c>
      <c r="W75" s="47" t="b">
        <f>if(countifs('Gotenborg, SW'!Q:Q,$A75,'Gotenborg, SW'!$I:$I,TRUE),TRUE,FALSE)</f>
        <v>0</v>
      </c>
      <c r="X75" s="47" t="b">
        <f>if(countifs('Shepparton, AUS'!Q:Q,$A75,'Shepparton, AUS'!$I:$I,TRUE),TRUE,FALSE)</f>
        <v>0</v>
      </c>
      <c r="Y75" s="47" t="b">
        <f>if(countifs('Hoofddorp, NL'!Q:Q,$A75,'Hoofddorp, NL'!$I:$I,TRUE),TRUE,FALSE)</f>
        <v>0</v>
      </c>
      <c r="Z75" s="47" t="b">
        <f>if(countifs('Bedford, UK'!Q:Q,$A75,'Bedford, UK'!$I:$I,TRUE),TRUE,FALSE)</f>
        <v>0</v>
      </c>
      <c r="AA75" s="47" t="b">
        <f>IF(COUNTIFS('Desert Lodge, USA'!Q:Q,$A75,'Desert Lodge, USA'!I:I,TRUE),TRUE,FALSE)</f>
        <v>0</v>
      </c>
      <c r="AB75" s="47" t="b">
        <f>if(countifs('Dapto, AUS'!Q:Q,$A75,'Dapto, AUS'!$I:$I,TRUE),TRUE,FALSE)</f>
        <v>0</v>
      </c>
      <c r="AC75" s="47" t="b">
        <f>if(countifs('New Westminster, CAN'!Q:Q,$A75,'New Westminster, CAN'!$I:$I,TRUE),TRUE,FALSE)</f>
        <v>0</v>
      </c>
      <c r="AD75" s="47" t="b">
        <f>if(countifs('Georgetown, CAN'!Q:Q,$A75,'Georgetown, CAN'!$I:$I,TRUE),TRUE,FALSE)</f>
        <v>0</v>
      </c>
      <c r="AE75" s="47" t="b">
        <f>if(countifs('Kingswood, UK'!Q:Q,$A75,'Kingswood, UK'!$I:$I,TRUE),TRUE,FALSE)</f>
        <v>0</v>
      </c>
      <c r="AF75" s="47" t="b">
        <f>if(countifs('Hagerstown, USA'!Q:Q,$A75,'Hagerstown, USA'!$I:$I,TRUE),TRUE,FALSE)</f>
        <v>0</v>
      </c>
      <c r="AG75" s="47" t="b">
        <f>if(countifs('Felsogalla, HU'!Q:Q,$A75,'Felsogalla, HU'!$I:$I,TRUE),TRUE,FALSE)</f>
        <v>0</v>
      </c>
      <c r="AH75" s="47" t="b">
        <f>if(countifs('Norlane, AUS'!Q:Q,$A75,'Norlane, AUS'!$I:$I,TRUE),TRUE,FALSE)</f>
        <v>0</v>
      </c>
      <c r="AI75" s="47" t="b">
        <f>if(countifs('Meitingen, GER'!Q:Q,$A75,'Meitingen, GER'!$I:$I,TRUE),TRUE,FALSE)</f>
        <v>0</v>
      </c>
      <c r="AJ75" s="47" t="b">
        <f>if(countifs('Groningen, NL'!Q:Q,$A75,'Groningen, NL'!$I:$I,TRUE),TRUE,FALSE)</f>
        <v>0</v>
      </c>
      <c r="AK75" s="47" t="b">
        <f>if(countifs('Linköping, SW'!Q:Q,$A75,'Linköping, SW'!$I:$I,TRUE),TRUE,FALSE)</f>
        <v>0</v>
      </c>
      <c r="AL75" s="47" t="b">
        <f>if(countifs('Austin, USA'!Q:Q,$A75,'Austin, USA'!$I:$I,TRUE),TRUE,FALSE)</f>
        <v>0</v>
      </c>
      <c r="AM75" s="47" t="b">
        <f>if(countifs('Thringstone, UK'!Q:Q,$A75,'Thringstone, UK'!$I:$I,TRUE),TRUE,FALSE)</f>
        <v>0</v>
      </c>
      <c r="AN75" s="47" t="b">
        <f>if(countifs('Andover, UK'!Q:Q,$A75,'Andover, UK'!$I:$I,TRUE),TRUE,FALSE)</f>
        <v>0</v>
      </c>
      <c r="AO75" s="47" t="b">
        <f>if(countifs('Ospel, NL'!Q:Q,$A75,'Ospel, NL'!$I:$I,TRUE),TRUE,FALSE)</f>
        <v>0</v>
      </c>
      <c r="AP75" s="47" t="b">
        <f>if(countifs('Wonthaggi, AUS'!Q:Q,$A75,'Wonthaggi, AUS'!$I:$I,TRUE),TRUE,FALSE)</f>
        <v>0</v>
      </c>
      <c r="AQ75" s="47" t="b">
        <f>if(countifs('Falling_Waters, USA'!$Q:$Q,$A75,'Falling_Waters, USA'!$I:$I,TRUE),TRUE,FALSE)</f>
        <v>0</v>
      </c>
      <c r="AR75" s="47" t="b">
        <f>if(countifs('Kelmscott, AUS'!Q:Q,$A75,'Kelmscott, AUS'!$I:$I,TRUE),TRUE,FALSE)</f>
        <v>0</v>
      </c>
    </row>
    <row r="76">
      <c r="A76" s="47" t="str">
        <f>IFERROR(__xludf.DUMMYFUNCTION("""COMPUTED_VALUE"""),"all0123")</f>
        <v>all0123</v>
      </c>
      <c r="B76" s="47">
        <f t="shared" si="1"/>
        <v>5</v>
      </c>
      <c r="C76" s="47" t="b">
        <v>0</v>
      </c>
      <c r="D76" s="47" t="b">
        <v>0</v>
      </c>
      <c r="E76" s="47" t="b">
        <v>0</v>
      </c>
      <c r="F76" s="47" t="b">
        <v>0</v>
      </c>
      <c r="G76" s="96"/>
      <c r="H76" s="96" t="b">
        <f>if(countifs('Berlin, GER'!Q:Q,A76,'Berlin, GER'!I:I,TRUE),TRUE,FALSE)</f>
        <v>0</v>
      </c>
      <c r="I76" s="96" t="b">
        <f>if(countifs('Escondido, USA'!Q:Q,A76,'Escondido, USA'!I:I,TRUE),TRUE,FALSE)</f>
        <v>0</v>
      </c>
      <c r="J76" s="96" t="b">
        <f>if(countifs('Onkaparinga_Hills, AUS'!Q:Q,A76,'Onkaparinga_Hills, AUS'!I:I,TRUE),TRUE,FALSE)</f>
        <v>0</v>
      </c>
      <c r="K76" s="96" t="b">
        <f>if(countifs('Perth, AUS'!Q:Q,A76,'Perth, AUS'!I:I,TRUE),TRUE,FALSE)</f>
        <v>0</v>
      </c>
      <c r="L76" s="96" t="b">
        <f>if(countifs('Raleigh, USA'!Q:Q,A76,'Raleigh, USA'!I:I,TRUE),TRUE,FALSE)</f>
        <v>0</v>
      </c>
      <c r="M76" s="96" t="b">
        <f>if(countifs('Browns Plains, AUS'!Q:Q,A76,'Browns Plains, AUS'!I:I,TRUE),TRUE,FALSE)</f>
        <v>0</v>
      </c>
      <c r="N76" s="96" t="b">
        <f>if(countifs('Brossard, CAN'!Q:Q,A76,'Brossard, CAN'!I:I,TRUE),TRUE,FALSE)</f>
        <v>1</v>
      </c>
      <c r="O76" s="96" t="b">
        <f>if(countifs('Gouda, NL'!Q:Q,$A76,'Gouda, NL'!$I:$I,TRUE),TRUE,FALSE)</f>
        <v>1</v>
      </c>
      <c r="P76" s="47" t="b">
        <f>if(countifs('Plympton, UK'!Q:Q,$A76,'Plympton, UK'!$I:$I,TRUE),TRUE,FALSE)</f>
        <v>0</v>
      </c>
      <c r="Q76" s="47" t="b">
        <f>if(countifs('Glen Oaks, USA'!Q:Q,$A76,'Glen Oaks, USA'!$I:$I,TRUE),TRUE,FALSE)</f>
        <v>1</v>
      </c>
      <c r="R76" s="47" t="b">
        <f>if(countifs('Chemnitz, GER'!Q:Q,$A76,'Chemnitz, GER'!I:I,TRUE),TRUE,FALSE)</f>
        <v>0</v>
      </c>
      <c r="S76" s="47" t="b">
        <f>if(countifs('Vosselaar, BE'!Q:Q,$A76,'Vosselaar, BE'!$I:$I,TRUE),TRUE,FALSE)</f>
        <v>1</v>
      </c>
      <c r="T76" s="47" t="b">
        <f>if(countifs('MHQ, USA'!Q:Q,$A76,'MHQ, USA'!$I:$I,TRUE),TRUE,FALSE)</f>
        <v>0</v>
      </c>
      <c r="U76" s="47" t="b">
        <f>if(countifs('Morayfield, AUS'!Q:Q,$A76,'Morayfield, AUS'!$I:$I,TRUE),TRUE,FALSE)</f>
        <v>0</v>
      </c>
      <c r="V76" s="11" t="b">
        <f>if(countifs('Arnhem, NL'!Q:Q,$A76,'Arnhem, NL'!$I:$I,TRUE),TRUE,FALSE)</f>
        <v>0</v>
      </c>
      <c r="W76" s="47" t="b">
        <f>if(countifs('Gotenborg, SW'!Q:Q,$A76,'Gotenborg, SW'!$I:$I,TRUE),TRUE,FALSE)</f>
        <v>0</v>
      </c>
      <c r="X76" s="47" t="b">
        <f>if(countifs('Shepparton, AUS'!Q:Q,$A76,'Shepparton, AUS'!$I:$I,TRUE),TRUE,FALSE)</f>
        <v>0</v>
      </c>
      <c r="Y76" s="47" t="b">
        <f>if(countifs('Hoofddorp, NL'!Q:Q,$A76,'Hoofddorp, NL'!$I:$I,TRUE),TRUE,FALSE)</f>
        <v>0</v>
      </c>
      <c r="Z76" s="47" t="b">
        <f>if(countifs('Bedford, UK'!Q:Q,$A76,'Bedford, UK'!$I:$I,TRUE),TRUE,FALSE)</f>
        <v>0</v>
      </c>
      <c r="AA76" s="47" t="b">
        <f>IF(COUNTIFS('Desert Lodge, USA'!Q:Q,$A76,'Desert Lodge, USA'!I:I,TRUE),TRUE,FALSE)</f>
        <v>0</v>
      </c>
      <c r="AB76" s="47" t="b">
        <f>if(countifs('Dapto, AUS'!Q:Q,$A76,'Dapto, AUS'!$I:$I,TRUE),TRUE,FALSE)</f>
        <v>1</v>
      </c>
      <c r="AC76" s="47" t="b">
        <f>if(countifs('New Westminster, CAN'!Q:Q,$A76,'New Westminster, CAN'!$I:$I,TRUE),TRUE,FALSE)</f>
        <v>0</v>
      </c>
      <c r="AD76" s="47" t="b">
        <f>if(countifs('Georgetown, CAN'!Q:Q,$A76,'Georgetown, CAN'!$I:$I,TRUE),TRUE,FALSE)</f>
        <v>0</v>
      </c>
      <c r="AE76" s="47" t="b">
        <f>if(countifs('Kingswood, UK'!Q:Q,$A76,'Kingswood, UK'!$I:$I,TRUE),TRUE,FALSE)</f>
        <v>0</v>
      </c>
      <c r="AF76" s="47" t="b">
        <f>if(countifs('Hagerstown, USA'!Q:Q,$A76,'Hagerstown, USA'!$I:$I,TRUE),TRUE,FALSE)</f>
        <v>0</v>
      </c>
      <c r="AG76" s="47" t="b">
        <f>if(countifs('Felsogalla, HU'!Q:Q,$A76,'Felsogalla, HU'!$I:$I,TRUE),TRUE,FALSE)</f>
        <v>0</v>
      </c>
      <c r="AH76" s="47" t="b">
        <f>if(countifs('Norlane, AUS'!Q:Q,$A76,'Norlane, AUS'!$I:$I,TRUE),TRUE,FALSE)</f>
        <v>0</v>
      </c>
      <c r="AI76" s="47" t="b">
        <f>if(countifs('Meitingen, GER'!Q:Q,$A76,'Meitingen, GER'!$I:$I,TRUE),TRUE,FALSE)</f>
        <v>0</v>
      </c>
      <c r="AJ76" s="47" t="b">
        <f>if(countifs('Groningen, NL'!Q:Q,$A76,'Groningen, NL'!$I:$I,TRUE),TRUE,FALSE)</f>
        <v>0</v>
      </c>
      <c r="AK76" s="47" t="b">
        <f>if(countifs('Linköping, SW'!Q:Q,$A76,'Linköping, SW'!$I:$I,TRUE),TRUE,FALSE)</f>
        <v>0</v>
      </c>
      <c r="AL76" s="47" t="b">
        <f>if(countifs('Austin, USA'!Q:Q,$A76,'Austin, USA'!$I:$I,TRUE),TRUE,FALSE)</f>
        <v>0</v>
      </c>
      <c r="AM76" s="47" t="b">
        <f>if(countifs('Thringstone, UK'!Q:Q,$A76,'Thringstone, UK'!$I:$I,TRUE),TRUE,FALSE)</f>
        <v>0</v>
      </c>
      <c r="AN76" s="47" t="b">
        <f>if(countifs('Andover, UK'!Q:Q,$A76,'Andover, UK'!$I:$I,TRUE),TRUE,FALSE)</f>
        <v>0</v>
      </c>
      <c r="AO76" s="47" t="b">
        <f>if(countifs('Ospel, NL'!Q:Q,$A76,'Ospel, NL'!$I:$I,TRUE),TRUE,FALSE)</f>
        <v>0</v>
      </c>
      <c r="AP76" s="47" t="b">
        <f>if(countifs('Wonthaggi, AUS'!Q:Q,$A76,'Wonthaggi, AUS'!$I:$I,TRUE),TRUE,FALSE)</f>
        <v>0</v>
      </c>
      <c r="AQ76" s="47" t="b">
        <f>if(countifs('Falling_Waters, USA'!$Q:$Q,$A76,'Falling_Waters, USA'!$I:$I,TRUE),TRUE,FALSE)</f>
        <v>0</v>
      </c>
      <c r="AR76" s="47" t="b">
        <f>if(countifs('Kelmscott, AUS'!Q:Q,$A76,'Kelmscott, AUS'!$I:$I,TRUE),TRUE,FALSE)</f>
        <v>0</v>
      </c>
    </row>
    <row r="77">
      <c r="A77" s="47" t="str">
        <f>IFERROR(__xludf.DUMMYFUNCTION("""COMPUTED_VALUE"""),"Taz30")</f>
        <v>Taz30</v>
      </c>
      <c r="B77" s="47">
        <f t="shared" si="1"/>
        <v>1</v>
      </c>
      <c r="C77" s="47" t="b">
        <v>0</v>
      </c>
      <c r="D77" s="47" t="b">
        <v>0</v>
      </c>
      <c r="E77" s="47" t="b">
        <v>0</v>
      </c>
      <c r="F77" s="47" t="b">
        <v>0</v>
      </c>
      <c r="G77" s="96"/>
      <c r="H77" s="96" t="b">
        <f>if(countifs('Berlin, GER'!Q:Q,A77,'Berlin, GER'!I:I,TRUE),TRUE,FALSE)</f>
        <v>0</v>
      </c>
      <c r="I77" s="96" t="b">
        <f>if(countifs('Escondido, USA'!Q:Q,A77,'Escondido, USA'!I:I,TRUE),TRUE,FALSE)</f>
        <v>0</v>
      </c>
      <c r="J77" s="96" t="b">
        <f>if(countifs('Onkaparinga_Hills, AUS'!Q:Q,A77,'Onkaparinga_Hills, AUS'!I:I,TRUE),TRUE,FALSE)</f>
        <v>0</v>
      </c>
      <c r="K77" s="96" t="b">
        <f>if(countifs('Perth, AUS'!Q:Q,A77,'Perth, AUS'!I:I,TRUE),TRUE,FALSE)</f>
        <v>0</v>
      </c>
      <c r="L77" s="96" t="b">
        <f>if(countifs('Raleigh, USA'!Q:Q,A77,'Raleigh, USA'!I:I,TRUE),TRUE,FALSE)</f>
        <v>0</v>
      </c>
      <c r="M77" s="96" t="b">
        <f>if(countifs('Browns Plains, AUS'!Q:Q,A77,'Browns Plains, AUS'!I:I,TRUE),TRUE,FALSE)</f>
        <v>0</v>
      </c>
      <c r="N77" s="96" t="b">
        <f>if(countifs('Brossard, CAN'!Q:Q,A77,'Brossard, CAN'!I:I,TRUE),TRUE,FALSE)</f>
        <v>1</v>
      </c>
      <c r="O77" s="96" t="b">
        <f>if(countifs('Gouda, NL'!Q:Q,$A77,'Gouda, NL'!$I:$I,TRUE),TRUE,FALSE)</f>
        <v>0</v>
      </c>
      <c r="P77" s="47" t="b">
        <f>if(countifs('Plympton, UK'!Q:Q,$A77,'Plympton, UK'!$I:$I,TRUE),TRUE,FALSE)</f>
        <v>0</v>
      </c>
      <c r="Q77" s="47" t="b">
        <f>if(countifs('Glen Oaks, USA'!Q:Q,$A77,'Glen Oaks, USA'!$I:$I,TRUE),TRUE,FALSE)</f>
        <v>0</v>
      </c>
      <c r="R77" s="47" t="b">
        <f>if(countifs('Chemnitz, GER'!Q:Q,$A77,'Chemnitz, GER'!I:I,TRUE),TRUE,FALSE)</f>
        <v>0</v>
      </c>
      <c r="S77" s="47" t="b">
        <f>if(countifs('Vosselaar, BE'!Q:Q,$A77,'Vosselaar, BE'!$I:$I,TRUE),TRUE,FALSE)</f>
        <v>0</v>
      </c>
      <c r="T77" s="47" t="b">
        <f>if(countifs('MHQ, USA'!Q:Q,$A77,'MHQ, USA'!$I:$I,TRUE),TRUE,FALSE)</f>
        <v>0</v>
      </c>
      <c r="U77" s="47" t="b">
        <f>if(countifs('Morayfield, AUS'!Q:Q,$A77,'Morayfield, AUS'!$I:$I,TRUE),TRUE,FALSE)</f>
        <v>0</v>
      </c>
      <c r="V77" s="11" t="b">
        <f>if(countifs('Arnhem, NL'!Q:Q,$A77,'Arnhem, NL'!$I:$I,TRUE),TRUE,FALSE)</f>
        <v>0</v>
      </c>
      <c r="W77" s="47" t="b">
        <f>if(countifs('Gotenborg, SW'!Q:Q,$A77,'Gotenborg, SW'!$I:$I,TRUE),TRUE,FALSE)</f>
        <v>0</v>
      </c>
      <c r="X77" s="47" t="b">
        <f>if(countifs('Shepparton, AUS'!Q:Q,$A77,'Shepparton, AUS'!$I:$I,TRUE),TRUE,FALSE)</f>
        <v>0</v>
      </c>
      <c r="Y77" s="47" t="b">
        <f>if(countifs('Hoofddorp, NL'!Q:Q,$A77,'Hoofddorp, NL'!$I:$I,TRUE),TRUE,FALSE)</f>
        <v>0</v>
      </c>
      <c r="Z77" s="47" t="b">
        <f>if(countifs('Bedford, UK'!Q:Q,$A77,'Bedford, UK'!$I:$I,TRUE),TRUE,FALSE)</f>
        <v>0</v>
      </c>
      <c r="AA77" s="47" t="b">
        <f>IF(COUNTIFS('Desert Lodge, USA'!Q:Q,$A77,'Desert Lodge, USA'!I:I,TRUE),TRUE,FALSE)</f>
        <v>0</v>
      </c>
      <c r="AB77" s="47" t="b">
        <f>if(countifs('Dapto, AUS'!Q:Q,$A77,'Dapto, AUS'!$I:$I,TRUE),TRUE,FALSE)</f>
        <v>0</v>
      </c>
      <c r="AC77" s="47" t="b">
        <f>if(countifs('New Westminster, CAN'!Q:Q,$A77,'New Westminster, CAN'!$I:$I,TRUE),TRUE,FALSE)</f>
        <v>0</v>
      </c>
      <c r="AD77" s="47" t="b">
        <f>if(countifs('Georgetown, CAN'!Q:Q,$A77,'Georgetown, CAN'!$I:$I,TRUE),TRUE,FALSE)</f>
        <v>0</v>
      </c>
      <c r="AE77" s="47" t="b">
        <f>if(countifs('Kingswood, UK'!Q:Q,$A77,'Kingswood, UK'!$I:$I,TRUE),TRUE,FALSE)</f>
        <v>0</v>
      </c>
      <c r="AF77" s="47" t="b">
        <f>if(countifs('Hagerstown, USA'!Q:Q,$A77,'Hagerstown, USA'!$I:$I,TRUE),TRUE,FALSE)</f>
        <v>0</v>
      </c>
      <c r="AG77" s="47" t="b">
        <f>if(countifs('Felsogalla, HU'!Q:Q,$A77,'Felsogalla, HU'!$I:$I,TRUE),TRUE,FALSE)</f>
        <v>0</v>
      </c>
      <c r="AH77" s="47" t="b">
        <f>if(countifs('Norlane, AUS'!Q:Q,$A77,'Norlane, AUS'!$I:$I,TRUE),TRUE,FALSE)</f>
        <v>0</v>
      </c>
      <c r="AI77" s="47" t="b">
        <f>if(countifs('Meitingen, GER'!Q:Q,$A77,'Meitingen, GER'!$I:$I,TRUE),TRUE,FALSE)</f>
        <v>0</v>
      </c>
      <c r="AJ77" s="47" t="b">
        <f>if(countifs('Groningen, NL'!Q:Q,$A77,'Groningen, NL'!$I:$I,TRUE),TRUE,FALSE)</f>
        <v>0</v>
      </c>
      <c r="AK77" s="47" t="b">
        <f>if(countifs('Linköping, SW'!Q:Q,$A77,'Linköping, SW'!$I:$I,TRUE),TRUE,FALSE)</f>
        <v>0</v>
      </c>
      <c r="AL77" s="47" t="b">
        <f>if(countifs('Austin, USA'!Q:Q,$A77,'Austin, USA'!$I:$I,TRUE),TRUE,FALSE)</f>
        <v>0</v>
      </c>
      <c r="AM77" s="47" t="b">
        <f>if(countifs('Thringstone, UK'!Q:Q,$A77,'Thringstone, UK'!$I:$I,TRUE),TRUE,FALSE)</f>
        <v>0</v>
      </c>
      <c r="AN77" s="47" t="b">
        <f>if(countifs('Andover, UK'!Q:Q,$A77,'Andover, UK'!$I:$I,TRUE),TRUE,FALSE)</f>
        <v>0</v>
      </c>
      <c r="AO77" s="47" t="b">
        <f>if(countifs('Ospel, NL'!Q:Q,$A77,'Ospel, NL'!$I:$I,TRUE),TRUE,FALSE)</f>
        <v>0</v>
      </c>
      <c r="AP77" s="47" t="b">
        <f>if(countifs('Wonthaggi, AUS'!Q:Q,$A77,'Wonthaggi, AUS'!$I:$I,TRUE),TRUE,FALSE)</f>
        <v>0</v>
      </c>
      <c r="AQ77" s="47" t="b">
        <f>if(countifs('Falling_Waters, USA'!$Q:$Q,$A77,'Falling_Waters, USA'!$I:$I,TRUE),TRUE,FALSE)</f>
        <v>0</v>
      </c>
      <c r="AR77" s="47" t="b">
        <f>if(countifs('Kelmscott, AUS'!Q:Q,$A77,'Kelmscott, AUS'!$I:$I,TRUE),TRUE,FALSE)</f>
        <v>0</v>
      </c>
    </row>
    <row r="78">
      <c r="A78" s="47" t="str">
        <f>IFERROR(__xludf.DUMMYFUNCTION("""COMPUTED_VALUE"""),"Lylmik")</f>
        <v>Lylmik</v>
      </c>
      <c r="B78" s="47">
        <f t="shared" si="1"/>
        <v>1</v>
      </c>
      <c r="C78" s="47" t="b">
        <v>0</v>
      </c>
      <c r="D78" s="47" t="b">
        <v>0</v>
      </c>
      <c r="E78" s="47" t="b">
        <v>0</v>
      </c>
      <c r="F78" s="47" t="b">
        <v>0</v>
      </c>
      <c r="G78" s="96"/>
      <c r="H78" s="96" t="b">
        <f>if(countifs('Berlin, GER'!Q:Q,A78,'Berlin, GER'!I:I,TRUE),TRUE,FALSE)</f>
        <v>0</v>
      </c>
      <c r="I78" s="96" t="b">
        <f>if(countifs('Escondido, USA'!Q:Q,A78,'Escondido, USA'!I:I,TRUE),TRUE,FALSE)</f>
        <v>0</v>
      </c>
      <c r="J78" s="96" t="b">
        <f>if(countifs('Onkaparinga_Hills, AUS'!Q:Q,A78,'Onkaparinga_Hills, AUS'!I:I,TRUE),TRUE,FALSE)</f>
        <v>0</v>
      </c>
      <c r="K78" s="96" t="b">
        <f>if(countifs('Perth, AUS'!Q:Q,A78,'Perth, AUS'!I:I,TRUE),TRUE,FALSE)</f>
        <v>0</v>
      </c>
      <c r="L78" s="96" t="b">
        <f>if(countifs('Raleigh, USA'!Q:Q,A78,'Raleigh, USA'!I:I,TRUE),TRUE,FALSE)</f>
        <v>0</v>
      </c>
      <c r="M78" s="96" t="b">
        <f>if(countifs('Browns Plains, AUS'!Q:Q,A78,'Browns Plains, AUS'!I:I,TRUE),TRUE,FALSE)</f>
        <v>0</v>
      </c>
      <c r="N78" s="96" t="b">
        <f>if(countifs('Brossard, CAN'!Q:Q,A78,'Brossard, CAN'!I:I,TRUE),TRUE,FALSE)</f>
        <v>1</v>
      </c>
      <c r="O78" s="96" t="b">
        <f>if(countifs('Gouda, NL'!Q:Q,$A78,'Gouda, NL'!$I:$I,TRUE),TRUE,FALSE)</f>
        <v>0</v>
      </c>
      <c r="P78" s="47" t="b">
        <f>if(countifs('Plympton, UK'!Q:Q,$A78,'Plympton, UK'!$I:$I,TRUE),TRUE,FALSE)</f>
        <v>0</v>
      </c>
      <c r="Q78" s="47" t="b">
        <f>if(countifs('Glen Oaks, USA'!Q:Q,$A78,'Glen Oaks, USA'!$I:$I,TRUE),TRUE,FALSE)</f>
        <v>0</v>
      </c>
      <c r="R78" s="47" t="b">
        <f>if(countifs('Chemnitz, GER'!Q:Q,$A78,'Chemnitz, GER'!I:I,TRUE),TRUE,FALSE)</f>
        <v>0</v>
      </c>
      <c r="S78" s="47" t="b">
        <f>if(countifs('Vosselaar, BE'!Q:Q,$A78,'Vosselaar, BE'!$I:$I,TRUE),TRUE,FALSE)</f>
        <v>0</v>
      </c>
      <c r="T78" s="47" t="b">
        <f>if(countifs('MHQ, USA'!Q:Q,$A78,'MHQ, USA'!$I:$I,TRUE),TRUE,FALSE)</f>
        <v>0</v>
      </c>
      <c r="U78" s="47" t="b">
        <f>if(countifs('Morayfield, AUS'!Q:Q,$A78,'Morayfield, AUS'!$I:$I,TRUE),TRUE,FALSE)</f>
        <v>0</v>
      </c>
      <c r="V78" s="11" t="b">
        <f>if(countifs('Arnhem, NL'!Q:Q,$A78,'Arnhem, NL'!$I:$I,TRUE),TRUE,FALSE)</f>
        <v>0</v>
      </c>
      <c r="W78" s="47" t="b">
        <f>if(countifs('Gotenborg, SW'!Q:Q,$A78,'Gotenborg, SW'!$I:$I,TRUE),TRUE,FALSE)</f>
        <v>0</v>
      </c>
      <c r="X78" s="47" t="b">
        <f>if(countifs('Shepparton, AUS'!Q:Q,$A78,'Shepparton, AUS'!$I:$I,TRUE),TRUE,FALSE)</f>
        <v>0</v>
      </c>
      <c r="Y78" s="47" t="b">
        <f>if(countifs('Hoofddorp, NL'!Q:Q,$A78,'Hoofddorp, NL'!$I:$I,TRUE),TRUE,FALSE)</f>
        <v>0</v>
      </c>
      <c r="Z78" s="47" t="b">
        <f>if(countifs('Bedford, UK'!Q:Q,$A78,'Bedford, UK'!$I:$I,TRUE),TRUE,FALSE)</f>
        <v>0</v>
      </c>
      <c r="AA78" s="47" t="b">
        <f>IF(COUNTIFS('Desert Lodge, USA'!Q:Q,$A78,'Desert Lodge, USA'!I:I,TRUE),TRUE,FALSE)</f>
        <v>0</v>
      </c>
      <c r="AB78" s="47" t="b">
        <f>if(countifs('Dapto, AUS'!Q:Q,$A78,'Dapto, AUS'!$I:$I,TRUE),TRUE,FALSE)</f>
        <v>0</v>
      </c>
      <c r="AC78" s="47" t="b">
        <f>if(countifs('New Westminster, CAN'!Q:Q,$A78,'New Westminster, CAN'!$I:$I,TRUE),TRUE,FALSE)</f>
        <v>0</v>
      </c>
      <c r="AD78" s="47" t="b">
        <f>if(countifs('Georgetown, CAN'!Q:Q,$A78,'Georgetown, CAN'!$I:$I,TRUE),TRUE,FALSE)</f>
        <v>0</v>
      </c>
      <c r="AE78" s="47" t="b">
        <f>if(countifs('Kingswood, UK'!Q:Q,$A78,'Kingswood, UK'!$I:$I,TRUE),TRUE,FALSE)</f>
        <v>0</v>
      </c>
      <c r="AF78" s="47" t="b">
        <f>if(countifs('Hagerstown, USA'!Q:Q,$A78,'Hagerstown, USA'!$I:$I,TRUE),TRUE,FALSE)</f>
        <v>0</v>
      </c>
      <c r="AG78" s="47" t="b">
        <f>if(countifs('Felsogalla, HU'!Q:Q,$A78,'Felsogalla, HU'!$I:$I,TRUE),TRUE,FALSE)</f>
        <v>0</v>
      </c>
      <c r="AH78" s="47" t="b">
        <f>if(countifs('Norlane, AUS'!Q:Q,$A78,'Norlane, AUS'!$I:$I,TRUE),TRUE,FALSE)</f>
        <v>0</v>
      </c>
      <c r="AI78" s="47" t="b">
        <f>if(countifs('Meitingen, GER'!Q:Q,$A78,'Meitingen, GER'!$I:$I,TRUE),TRUE,FALSE)</f>
        <v>0</v>
      </c>
      <c r="AJ78" s="47" t="b">
        <f>if(countifs('Groningen, NL'!Q:Q,$A78,'Groningen, NL'!$I:$I,TRUE),TRUE,FALSE)</f>
        <v>0</v>
      </c>
      <c r="AK78" s="47" t="b">
        <f>if(countifs('Linköping, SW'!Q:Q,$A78,'Linköping, SW'!$I:$I,TRUE),TRUE,FALSE)</f>
        <v>0</v>
      </c>
      <c r="AL78" s="47" t="b">
        <f>if(countifs('Austin, USA'!Q:Q,$A78,'Austin, USA'!$I:$I,TRUE),TRUE,FALSE)</f>
        <v>0</v>
      </c>
      <c r="AM78" s="47" t="b">
        <f>if(countifs('Thringstone, UK'!Q:Q,$A78,'Thringstone, UK'!$I:$I,TRUE),TRUE,FALSE)</f>
        <v>0</v>
      </c>
      <c r="AN78" s="47" t="b">
        <f>if(countifs('Andover, UK'!Q:Q,$A78,'Andover, UK'!$I:$I,TRUE),TRUE,FALSE)</f>
        <v>0</v>
      </c>
      <c r="AO78" s="47" t="b">
        <f>if(countifs('Ospel, NL'!Q:Q,$A78,'Ospel, NL'!$I:$I,TRUE),TRUE,FALSE)</f>
        <v>0</v>
      </c>
      <c r="AP78" s="47" t="b">
        <f>if(countifs('Wonthaggi, AUS'!Q:Q,$A78,'Wonthaggi, AUS'!$I:$I,TRUE),TRUE,FALSE)</f>
        <v>0</v>
      </c>
      <c r="AQ78" s="47" t="b">
        <f>if(countifs('Falling_Waters, USA'!$Q:$Q,$A78,'Falling_Waters, USA'!$I:$I,TRUE),TRUE,FALSE)</f>
        <v>0</v>
      </c>
      <c r="AR78" s="47" t="b">
        <f>if(countifs('Kelmscott, AUS'!Q:Q,$A78,'Kelmscott, AUS'!$I:$I,TRUE),TRUE,FALSE)</f>
        <v>0</v>
      </c>
    </row>
    <row r="79">
      <c r="A79" s="47" t="str">
        <f>IFERROR(__xludf.DUMMYFUNCTION("""COMPUTED_VALUE"""),"BoyBou")</f>
        <v>BoyBou</v>
      </c>
      <c r="B79" s="47">
        <f t="shared" si="1"/>
        <v>1</v>
      </c>
      <c r="C79" s="47" t="b">
        <v>0</v>
      </c>
      <c r="D79" s="47" t="b">
        <v>0</v>
      </c>
      <c r="E79" s="47" t="b">
        <v>0</v>
      </c>
      <c r="F79" s="47" t="b">
        <v>0</v>
      </c>
      <c r="G79" s="96"/>
      <c r="H79" s="96" t="b">
        <f>if(countifs('Berlin, GER'!Q:Q,A79,'Berlin, GER'!I:I,TRUE),TRUE,FALSE)</f>
        <v>0</v>
      </c>
      <c r="I79" s="96" t="b">
        <f>if(countifs('Escondido, USA'!Q:Q,A79,'Escondido, USA'!I:I,TRUE),TRUE,FALSE)</f>
        <v>0</v>
      </c>
      <c r="J79" s="96" t="b">
        <f>if(countifs('Onkaparinga_Hills, AUS'!Q:Q,A79,'Onkaparinga_Hills, AUS'!I:I,TRUE),TRUE,FALSE)</f>
        <v>0</v>
      </c>
      <c r="K79" s="96" t="b">
        <f>if(countifs('Perth, AUS'!Q:Q,A79,'Perth, AUS'!I:I,TRUE),TRUE,FALSE)</f>
        <v>0</v>
      </c>
      <c r="L79" s="96" t="b">
        <f>if(countifs('Raleigh, USA'!Q:Q,A79,'Raleigh, USA'!I:I,TRUE),TRUE,FALSE)</f>
        <v>0</v>
      </c>
      <c r="M79" s="96" t="b">
        <f>if(countifs('Browns Plains, AUS'!Q:Q,A79,'Browns Plains, AUS'!I:I,TRUE),TRUE,FALSE)</f>
        <v>0</v>
      </c>
      <c r="N79" s="96" t="b">
        <f>if(countifs('Brossard, CAN'!Q:Q,A79,'Brossard, CAN'!I:I,TRUE),TRUE,FALSE)</f>
        <v>1</v>
      </c>
      <c r="O79" s="96" t="b">
        <f>if(countifs('Gouda, NL'!Q:Q,$A79,'Gouda, NL'!$I:$I,TRUE),TRUE,FALSE)</f>
        <v>0</v>
      </c>
      <c r="P79" s="47" t="b">
        <f>if(countifs('Plympton, UK'!Q:Q,$A79,'Plympton, UK'!$I:$I,TRUE),TRUE,FALSE)</f>
        <v>0</v>
      </c>
      <c r="Q79" s="47" t="b">
        <f>if(countifs('Glen Oaks, USA'!Q:Q,$A79,'Glen Oaks, USA'!$I:$I,TRUE),TRUE,FALSE)</f>
        <v>0</v>
      </c>
      <c r="R79" s="47" t="b">
        <f>if(countifs('Chemnitz, GER'!Q:Q,$A79,'Chemnitz, GER'!I:I,TRUE),TRUE,FALSE)</f>
        <v>0</v>
      </c>
      <c r="S79" s="47" t="b">
        <f>if(countifs('Vosselaar, BE'!Q:Q,$A79,'Vosselaar, BE'!$I:$I,TRUE),TRUE,FALSE)</f>
        <v>0</v>
      </c>
      <c r="T79" s="47" t="b">
        <f>if(countifs('MHQ, USA'!Q:Q,$A79,'MHQ, USA'!$I:$I,TRUE),TRUE,FALSE)</f>
        <v>0</v>
      </c>
      <c r="U79" s="47" t="b">
        <f>if(countifs('Morayfield, AUS'!Q:Q,$A79,'Morayfield, AUS'!$I:$I,TRUE),TRUE,FALSE)</f>
        <v>0</v>
      </c>
      <c r="V79" s="11" t="b">
        <f>if(countifs('Arnhem, NL'!Q:Q,$A79,'Arnhem, NL'!$I:$I,TRUE),TRUE,FALSE)</f>
        <v>0</v>
      </c>
      <c r="W79" s="47" t="b">
        <f>if(countifs('Gotenborg, SW'!Q:Q,$A79,'Gotenborg, SW'!$I:$I,TRUE),TRUE,FALSE)</f>
        <v>0</v>
      </c>
      <c r="X79" s="47" t="b">
        <f>if(countifs('Shepparton, AUS'!Q:Q,$A79,'Shepparton, AUS'!$I:$I,TRUE),TRUE,FALSE)</f>
        <v>0</v>
      </c>
      <c r="Y79" s="47" t="b">
        <f>if(countifs('Hoofddorp, NL'!Q:Q,$A79,'Hoofddorp, NL'!$I:$I,TRUE),TRUE,FALSE)</f>
        <v>0</v>
      </c>
      <c r="Z79" s="47" t="b">
        <f>if(countifs('Bedford, UK'!Q:Q,$A79,'Bedford, UK'!$I:$I,TRUE),TRUE,FALSE)</f>
        <v>0</v>
      </c>
      <c r="AA79" s="47" t="b">
        <f>IF(COUNTIFS('Desert Lodge, USA'!Q:Q,$A79,'Desert Lodge, USA'!I:I,TRUE),TRUE,FALSE)</f>
        <v>0</v>
      </c>
      <c r="AB79" s="47" t="b">
        <f>if(countifs('Dapto, AUS'!Q:Q,$A79,'Dapto, AUS'!$I:$I,TRUE),TRUE,FALSE)</f>
        <v>0</v>
      </c>
      <c r="AC79" s="47" t="b">
        <f>if(countifs('New Westminster, CAN'!Q:Q,$A79,'New Westminster, CAN'!$I:$I,TRUE),TRUE,FALSE)</f>
        <v>0</v>
      </c>
      <c r="AD79" s="47" t="b">
        <f>if(countifs('Georgetown, CAN'!Q:Q,$A79,'Georgetown, CAN'!$I:$I,TRUE),TRUE,FALSE)</f>
        <v>0</v>
      </c>
      <c r="AE79" s="47" t="b">
        <f>if(countifs('Kingswood, UK'!Q:Q,$A79,'Kingswood, UK'!$I:$I,TRUE),TRUE,FALSE)</f>
        <v>0</v>
      </c>
      <c r="AF79" s="47" t="b">
        <f>if(countifs('Hagerstown, USA'!Q:Q,$A79,'Hagerstown, USA'!$I:$I,TRUE),TRUE,FALSE)</f>
        <v>0</v>
      </c>
      <c r="AG79" s="47" t="b">
        <f>if(countifs('Felsogalla, HU'!Q:Q,$A79,'Felsogalla, HU'!$I:$I,TRUE),TRUE,FALSE)</f>
        <v>0</v>
      </c>
      <c r="AH79" s="47" t="b">
        <f>if(countifs('Norlane, AUS'!Q:Q,$A79,'Norlane, AUS'!$I:$I,TRUE),TRUE,FALSE)</f>
        <v>0</v>
      </c>
      <c r="AI79" s="47" t="b">
        <f>if(countifs('Meitingen, GER'!Q:Q,$A79,'Meitingen, GER'!$I:$I,TRUE),TRUE,FALSE)</f>
        <v>0</v>
      </c>
      <c r="AJ79" s="47" t="b">
        <f>if(countifs('Groningen, NL'!Q:Q,$A79,'Groningen, NL'!$I:$I,TRUE),TRUE,FALSE)</f>
        <v>0</v>
      </c>
      <c r="AK79" s="47" t="b">
        <f>if(countifs('Linköping, SW'!Q:Q,$A79,'Linköping, SW'!$I:$I,TRUE),TRUE,FALSE)</f>
        <v>0</v>
      </c>
      <c r="AL79" s="47" t="b">
        <f>if(countifs('Austin, USA'!Q:Q,$A79,'Austin, USA'!$I:$I,TRUE),TRUE,FALSE)</f>
        <v>0</v>
      </c>
      <c r="AM79" s="47" t="b">
        <f>if(countifs('Thringstone, UK'!Q:Q,$A79,'Thringstone, UK'!$I:$I,TRUE),TRUE,FALSE)</f>
        <v>0</v>
      </c>
      <c r="AN79" s="47" t="b">
        <f>if(countifs('Andover, UK'!Q:Q,$A79,'Andover, UK'!$I:$I,TRUE),TRUE,FALSE)</f>
        <v>0</v>
      </c>
      <c r="AO79" s="47" t="b">
        <f>if(countifs('Ospel, NL'!Q:Q,$A79,'Ospel, NL'!$I:$I,TRUE),TRUE,FALSE)</f>
        <v>0</v>
      </c>
      <c r="AP79" s="47" t="b">
        <f>if(countifs('Wonthaggi, AUS'!Q:Q,$A79,'Wonthaggi, AUS'!$I:$I,TRUE),TRUE,FALSE)</f>
        <v>0</v>
      </c>
      <c r="AQ79" s="47" t="b">
        <f>if(countifs('Falling_Waters, USA'!$Q:$Q,$A79,'Falling_Waters, USA'!$I:$I,TRUE),TRUE,FALSE)</f>
        <v>0</v>
      </c>
      <c r="AR79" s="47" t="b">
        <f>if(countifs('Kelmscott, AUS'!Q:Q,$A79,'Kelmscott, AUS'!$I:$I,TRUE),TRUE,FALSE)</f>
        <v>0</v>
      </c>
    </row>
    <row r="80">
      <c r="A80" s="47" t="str">
        <f>IFERROR(__xludf.DUMMYFUNCTION("""COMPUTED_VALUE"""),"Vanocho")</f>
        <v>Vanocho</v>
      </c>
      <c r="B80" s="47">
        <f t="shared" si="1"/>
        <v>1</v>
      </c>
      <c r="C80" s="47" t="b">
        <v>0</v>
      </c>
      <c r="D80" s="47" t="b">
        <v>0</v>
      </c>
      <c r="E80" s="47" t="b">
        <v>0</v>
      </c>
      <c r="F80" s="47" t="b">
        <v>0</v>
      </c>
      <c r="G80" s="96"/>
      <c r="H80" s="96" t="b">
        <f>if(countifs('Berlin, GER'!Q:Q,A80,'Berlin, GER'!I:I,TRUE),TRUE,FALSE)</f>
        <v>0</v>
      </c>
      <c r="I80" s="96" t="b">
        <f>if(countifs('Escondido, USA'!Q:Q,A80,'Escondido, USA'!I:I,TRUE),TRUE,FALSE)</f>
        <v>0</v>
      </c>
      <c r="J80" s="96" t="b">
        <f>if(countifs('Onkaparinga_Hills, AUS'!Q:Q,A80,'Onkaparinga_Hills, AUS'!I:I,TRUE),TRUE,FALSE)</f>
        <v>0</v>
      </c>
      <c r="K80" s="96" t="b">
        <f>if(countifs('Perth, AUS'!Q:Q,A80,'Perth, AUS'!I:I,TRUE),TRUE,FALSE)</f>
        <v>0</v>
      </c>
      <c r="L80" s="96" t="b">
        <f>if(countifs('Raleigh, USA'!Q:Q,A80,'Raleigh, USA'!I:I,TRUE),TRUE,FALSE)</f>
        <v>0</v>
      </c>
      <c r="M80" s="96" t="b">
        <f>if(countifs('Browns Plains, AUS'!Q:Q,A80,'Browns Plains, AUS'!I:I,TRUE),TRUE,FALSE)</f>
        <v>0</v>
      </c>
      <c r="N80" s="96" t="b">
        <f>if(countifs('Brossard, CAN'!Q:Q,A80,'Brossard, CAN'!I:I,TRUE),TRUE,FALSE)</f>
        <v>1</v>
      </c>
      <c r="O80" s="96" t="b">
        <f>if(countifs('Gouda, NL'!Q:Q,$A80,'Gouda, NL'!$I:$I,TRUE),TRUE,FALSE)</f>
        <v>0</v>
      </c>
      <c r="P80" s="47" t="b">
        <f>if(countifs('Plympton, UK'!Q:Q,$A80,'Plympton, UK'!$I:$I,TRUE),TRUE,FALSE)</f>
        <v>0</v>
      </c>
      <c r="Q80" s="47" t="b">
        <f>if(countifs('Glen Oaks, USA'!Q:Q,$A80,'Glen Oaks, USA'!$I:$I,TRUE),TRUE,FALSE)</f>
        <v>0</v>
      </c>
      <c r="R80" s="47" t="b">
        <f>if(countifs('Chemnitz, GER'!Q:Q,$A80,'Chemnitz, GER'!I:I,TRUE),TRUE,FALSE)</f>
        <v>0</v>
      </c>
      <c r="S80" s="47" t="b">
        <f>if(countifs('Vosselaar, BE'!Q:Q,$A80,'Vosselaar, BE'!$I:$I,TRUE),TRUE,FALSE)</f>
        <v>0</v>
      </c>
      <c r="T80" s="47" t="b">
        <f>if(countifs('MHQ, USA'!Q:Q,$A80,'MHQ, USA'!$I:$I,TRUE),TRUE,FALSE)</f>
        <v>0</v>
      </c>
      <c r="U80" s="47" t="b">
        <f>if(countifs('Morayfield, AUS'!Q:Q,$A80,'Morayfield, AUS'!$I:$I,TRUE),TRUE,FALSE)</f>
        <v>0</v>
      </c>
      <c r="V80" s="11" t="b">
        <f>if(countifs('Arnhem, NL'!Q:Q,$A80,'Arnhem, NL'!$I:$I,TRUE),TRUE,FALSE)</f>
        <v>0</v>
      </c>
      <c r="W80" s="47" t="b">
        <f>if(countifs('Gotenborg, SW'!Q:Q,$A80,'Gotenborg, SW'!$I:$I,TRUE),TRUE,FALSE)</f>
        <v>0</v>
      </c>
      <c r="X80" s="47" t="b">
        <f>if(countifs('Shepparton, AUS'!Q:Q,$A80,'Shepparton, AUS'!$I:$I,TRUE),TRUE,FALSE)</f>
        <v>0</v>
      </c>
      <c r="Y80" s="47" t="b">
        <f>if(countifs('Hoofddorp, NL'!Q:Q,$A80,'Hoofddorp, NL'!$I:$I,TRUE),TRUE,FALSE)</f>
        <v>0</v>
      </c>
      <c r="Z80" s="47" t="b">
        <f>if(countifs('Bedford, UK'!Q:Q,$A80,'Bedford, UK'!$I:$I,TRUE),TRUE,FALSE)</f>
        <v>0</v>
      </c>
      <c r="AA80" s="47" t="b">
        <f>IF(COUNTIFS('Desert Lodge, USA'!Q:Q,$A80,'Desert Lodge, USA'!I:I,TRUE),TRUE,FALSE)</f>
        <v>0</v>
      </c>
      <c r="AB80" s="47" t="b">
        <f>if(countifs('Dapto, AUS'!Q:Q,$A80,'Dapto, AUS'!$I:$I,TRUE),TRUE,FALSE)</f>
        <v>0</v>
      </c>
      <c r="AC80" s="47" t="b">
        <f>if(countifs('New Westminster, CAN'!Q:Q,$A80,'New Westminster, CAN'!$I:$I,TRUE),TRUE,FALSE)</f>
        <v>0</v>
      </c>
      <c r="AD80" s="47" t="b">
        <f>if(countifs('Georgetown, CAN'!Q:Q,$A80,'Georgetown, CAN'!$I:$I,TRUE),TRUE,FALSE)</f>
        <v>0</v>
      </c>
      <c r="AE80" s="47" t="b">
        <f>if(countifs('Kingswood, UK'!Q:Q,$A80,'Kingswood, UK'!$I:$I,TRUE),TRUE,FALSE)</f>
        <v>0</v>
      </c>
      <c r="AF80" s="47" t="b">
        <f>if(countifs('Hagerstown, USA'!Q:Q,$A80,'Hagerstown, USA'!$I:$I,TRUE),TRUE,FALSE)</f>
        <v>0</v>
      </c>
      <c r="AG80" s="47" t="b">
        <f>if(countifs('Felsogalla, HU'!Q:Q,$A80,'Felsogalla, HU'!$I:$I,TRUE),TRUE,FALSE)</f>
        <v>0</v>
      </c>
      <c r="AH80" s="47" t="b">
        <f>if(countifs('Norlane, AUS'!Q:Q,$A80,'Norlane, AUS'!$I:$I,TRUE),TRUE,FALSE)</f>
        <v>0</v>
      </c>
      <c r="AI80" s="47" t="b">
        <f>if(countifs('Meitingen, GER'!Q:Q,$A80,'Meitingen, GER'!$I:$I,TRUE),TRUE,FALSE)</f>
        <v>0</v>
      </c>
      <c r="AJ80" s="47" t="b">
        <f>if(countifs('Groningen, NL'!Q:Q,$A80,'Groningen, NL'!$I:$I,TRUE),TRUE,FALSE)</f>
        <v>0</v>
      </c>
      <c r="AK80" s="47" t="b">
        <f>if(countifs('Linköping, SW'!Q:Q,$A80,'Linköping, SW'!$I:$I,TRUE),TRUE,FALSE)</f>
        <v>0</v>
      </c>
      <c r="AL80" s="47" t="b">
        <f>if(countifs('Austin, USA'!Q:Q,$A80,'Austin, USA'!$I:$I,TRUE),TRUE,FALSE)</f>
        <v>0</v>
      </c>
      <c r="AM80" s="47" t="b">
        <f>if(countifs('Thringstone, UK'!Q:Q,$A80,'Thringstone, UK'!$I:$I,TRUE),TRUE,FALSE)</f>
        <v>0</v>
      </c>
      <c r="AN80" s="47" t="b">
        <f>if(countifs('Andover, UK'!Q:Q,$A80,'Andover, UK'!$I:$I,TRUE),TRUE,FALSE)</f>
        <v>0</v>
      </c>
      <c r="AO80" s="47" t="b">
        <f>if(countifs('Ospel, NL'!Q:Q,$A80,'Ospel, NL'!$I:$I,TRUE),TRUE,FALSE)</f>
        <v>0</v>
      </c>
      <c r="AP80" s="47" t="b">
        <f>if(countifs('Wonthaggi, AUS'!Q:Q,$A80,'Wonthaggi, AUS'!$I:$I,TRUE),TRUE,FALSE)</f>
        <v>0</v>
      </c>
      <c r="AQ80" s="47" t="b">
        <f>if(countifs('Falling_Waters, USA'!$Q:$Q,$A80,'Falling_Waters, USA'!$I:$I,TRUE),TRUE,FALSE)</f>
        <v>0</v>
      </c>
      <c r="AR80" s="47" t="b">
        <f>if(countifs('Kelmscott, AUS'!Q:Q,$A80,'Kelmscott, AUS'!$I:$I,TRUE),TRUE,FALSE)</f>
        <v>0</v>
      </c>
    </row>
    <row r="81">
      <c r="A81" s="47" t="str">
        <f>IFERROR(__xludf.DUMMYFUNCTION("""COMPUTED_VALUE"""),"jldh")</f>
        <v>jldh</v>
      </c>
      <c r="B81" s="47">
        <f t="shared" si="1"/>
        <v>1</v>
      </c>
      <c r="C81" s="47" t="b">
        <v>0</v>
      </c>
      <c r="D81" s="47" t="b">
        <v>0</v>
      </c>
      <c r="E81" s="47" t="b">
        <v>0</v>
      </c>
      <c r="F81" s="47" t="b">
        <v>0</v>
      </c>
      <c r="G81" s="96"/>
      <c r="H81" s="96" t="b">
        <f>if(countifs('Berlin, GER'!Q:Q,A81,'Berlin, GER'!I:I,TRUE),TRUE,FALSE)</f>
        <v>0</v>
      </c>
      <c r="I81" s="96" t="b">
        <f>if(countifs('Escondido, USA'!Q:Q,A81,'Escondido, USA'!I:I,TRUE),TRUE,FALSE)</f>
        <v>0</v>
      </c>
      <c r="J81" s="96" t="b">
        <f>if(countifs('Onkaparinga_Hills, AUS'!Q:Q,A81,'Onkaparinga_Hills, AUS'!I:I,TRUE),TRUE,FALSE)</f>
        <v>0</v>
      </c>
      <c r="K81" s="96" t="b">
        <f>if(countifs('Perth, AUS'!Q:Q,A81,'Perth, AUS'!I:I,TRUE),TRUE,FALSE)</f>
        <v>0</v>
      </c>
      <c r="L81" s="96" t="b">
        <f>if(countifs('Raleigh, USA'!Q:Q,A81,'Raleigh, USA'!I:I,TRUE),TRUE,FALSE)</f>
        <v>0</v>
      </c>
      <c r="M81" s="96" t="b">
        <f>if(countifs('Browns Plains, AUS'!Q:Q,A81,'Browns Plains, AUS'!I:I,TRUE),TRUE,FALSE)</f>
        <v>0</v>
      </c>
      <c r="N81" s="96" t="b">
        <f>if(countifs('Brossard, CAN'!Q:Q,A81,'Brossard, CAN'!I:I,TRUE),TRUE,FALSE)</f>
        <v>1</v>
      </c>
      <c r="O81" s="96" t="b">
        <f>if(countifs('Gouda, NL'!Q:Q,$A81,'Gouda, NL'!$I:$I,TRUE),TRUE,FALSE)</f>
        <v>0</v>
      </c>
      <c r="P81" s="47" t="b">
        <f>if(countifs('Plympton, UK'!Q:Q,$A81,'Plympton, UK'!$I:$I,TRUE),TRUE,FALSE)</f>
        <v>0</v>
      </c>
      <c r="Q81" s="47" t="b">
        <f>if(countifs('Glen Oaks, USA'!Q:Q,$A81,'Glen Oaks, USA'!$I:$I,TRUE),TRUE,FALSE)</f>
        <v>0</v>
      </c>
      <c r="R81" s="47" t="b">
        <f>if(countifs('Chemnitz, GER'!Q:Q,$A81,'Chemnitz, GER'!I:I,TRUE),TRUE,FALSE)</f>
        <v>0</v>
      </c>
      <c r="S81" s="47" t="b">
        <f>if(countifs('Vosselaar, BE'!Q:Q,$A81,'Vosselaar, BE'!$I:$I,TRUE),TRUE,FALSE)</f>
        <v>0</v>
      </c>
      <c r="T81" s="47" t="b">
        <f>if(countifs('MHQ, USA'!Q:Q,$A81,'MHQ, USA'!$I:$I,TRUE),TRUE,FALSE)</f>
        <v>0</v>
      </c>
      <c r="U81" s="47" t="b">
        <f>if(countifs('Morayfield, AUS'!Q:Q,$A81,'Morayfield, AUS'!$I:$I,TRUE),TRUE,FALSE)</f>
        <v>0</v>
      </c>
      <c r="V81" s="11" t="b">
        <f>if(countifs('Arnhem, NL'!Q:Q,$A81,'Arnhem, NL'!$I:$I,TRUE),TRUE,FALSE)</f>
        <v>0</v>
      </c>
      <c r="W81" s="47" t="b">
        <f>if(countifs('Gotenborg, SW'!Q:Q,$A81,'Gotenborg, SW'!$I:$I,TRUE),TRUE,FALSE)</f>
        <v>0</v>
      </c>
      <c r="X81" s="47" t="b">
        <f>if(countifs('Shepparton, AUS'!Q:Q,$A81,'Shepparton, AUS'!$I:$I,TRUE),TRUE,FALSE)</f>
        <v>0</v>
      </c>
      <c r="Y81" s="47" t="b">
        <f>if(countifs('Hoofddorp, NL'!Q:Q,$A81,'Hoofddorp, NL'!$I:$I,TRUE),TRUE,FALSE)</f>
        <v>0</v>
      </c>
      <c r="Z81" s="47" t="b">
        <f>if(countifs('Bedford, UK'!Q:Q,$A81,'Bedford, UK'!$I:$I,TRUE),TRUE,FALSE)</f>
        <v>0</v>
      </c>
      <c r="AA81" s="47" t="b">
        <f>IF(COUNTIFS('Desert Lodge, USA'!Q:Q,$A81,'Desert Lodge, USA'!I:I,TRUE),TRUE,FALSE)</f>
        <v>0</v>
      </c>
      <c r="AB81" s="47" t="b">
        <f>if(countifs('Dapto, AUS'!Q:Q,$A81,'Dapto, AUS'!$I:$I,TRUE),TRUE,FALSE)</f>
        <v>0</v>
      </c>
      <c r="AC81" s="47" t="b">
        <f>if(countifs('New Westminster, CAN'!Q:Q,$A81,'New Westminster, CAN'!$I:$I,TRUE),TRUE,FALSE)</f>
        <v>0</v>
      </c>
      <c r="AD81" s="47" t="b">
        <f>if(countifs('Georgetown, CAN'!Q:Q,$A81,'Georgetown, CAN'!$I:$I,TRUE),TRUE,FALSE)</f>
        <v>0</v>
      </c>
      <c r="AE81" s="47" t="b">
        <f>if(countifs('Kingswood, UK'!Q:Q,$A81,'Kingswood, UK'!$I:$I,TRUE),TRUE,FALSE)</f>
        <v>0</v>
      </c>
      <c r="AF81" s="47" t="b">
        <f>if(countifs('Hagerstown, USA'!Q:Q,$A81,'Hagerstown, USA'!$I:$I,TRUE),TRUE,FALSE)</f>
        <v>0</v>
      </c>
      <c r="AG81" s="47" t="b">
        <f>if(countifs('Felsogalla, HU'!Q:Q,$A81,'Felsogalla, HU'!$I:$I,TRUE),TRUE,FALSE)</f>
        <v>0</v>
      </c>
      <c r="AH81" s="47" t="b">
        <f>if(countifs('Norlane, AUS'!Q:Q,$A81,'Norlane, AUS'!$I:$I,TRUE),TRUE,FALSE)</f>
        <v>0</v>
      </c>
      <c r="AI81" s="47" t="b">
        <f>if(countifs('Meitingen, GER'!Q:Q,$A81,'Meitingen, GER'!$I:$I,TRUE),TRUE,FALSE)</f>
        <v>0</v>
      </c>
      <c r="AJ81" s="47" t="b">
        <f>if(countifs('Groningen, NL'!Q:Q,$A81,'Groningen, NL'!$I:$I,TRUE),TRUE,FALSE)</f>
        <v>0</v>
      </c>
      <c r="AK81" s="47" t="b">
        <f>if(countifs('Linköping, SW'!Q:Q,$A81,'Linköping, SW'!$I:$I,TRUE),TRUE,FALSE)</f>
        <v>0</v>
      </c>
      <c r="AL81" s="47" t="b">
        <f>if(countifs('Austin, USA'!Q:Q,$A81,'Austin, USA'!$I:$I,TRUE),TRUE,FALSE)</f>
        <v>0</v>
      </c>
      <c r="AM81" s="47" t="b">
        <f>if(countifs('Thringstone, UK'!Q:Q,$A81,'Thringstone, UK'!$I:$I,TRUE),TRUE,FALSE)</f>
        <v>0</v>
      </c>
      <c r="AN81" s="47" t="b">
        <f>if(countifs('Andover, UK'!Q:Q,$A81,'Andover, UK'!$I:$I,TRUE),TRUE,FALSE)</f>
        <v>0</v>
      </c>
      <c r="AO81" s="47" t="b">
        <f>if(countifs('Ospel, NL'!Q:Q,$A81,'Ospel, NL'!$I:$I,TRUE),TRUE,FALSE)</f>
        <v>0</v>
      </c>
      <c r="AP81" s="47" t="b">
        <f>if(countifs('Wonthaggi, AUS'!Q:Q,$A81,'Wonthaggi, AUS'!$I:$I,TRUE),TRUE,FALSE)</f>
        <v>0</v>
      </c>
      <c r="AQ81" s="47" t="b">
        <f>if(countifs('Falling_Waters, USA'!$Q:$Q,$A81,'Falling_Waters, USA'!$I:$I,TRUE),TRUE,FALSE)</f>
        <v>0</v>
      </c>
      <c r="AR81" s="47" t="b">
        <f>if(countifs('Kelmscott, AUS'!Q:Q,$A81,'Kelmscott, AUS'!$I:$I,TRUE),TRUE,FALSE)</f>
        <v>0</v>
      </c>
    </row>
    <row r="82">
      <c r="A82" s="47" t="str">
        <f>IFERROR(__xludf.DUMMYFUNCTION("""COMPUTED_VALUE"""),"LtRangerBob")</f>
        <v>LtRangerBob</v>
      </c>
      <c r="B82" s="47">
        <f t="shared" si="1"/>
        <v>1</v>
      </c>
      <c r="C82" s="47" t="b">
        <v>0</v>
      </c>
      <c r="D82" s="47" t="b">
        <v>0</v>
      </c>
      <c r="E82" s="47" t="b">
        <v>0</v>
      </c>
      <c r="F82" s="47" t="b">
        <v>0</v>
      </c>
      <c r="G82" s="96"/>
      <c r="H82" s="96" t="b">
        <f>if(countifs('Berlin, GER'!Q:Q,A82,'Berlin, GER'!I:I,TRUE),TRUE,FALSE)</f>
        <v>0</v>
      </c>
      <c r="I82" s="96" t="b">
        <f>if(countifs('Escondido, USA'!Q:Q,A82,'Escondido, USA'!I:I,TRUE),TRUE,FALSE)</f>
        <v>0</v>
      </c>
      <c r="J82" s="96" t="b">
        <f>if(countifs('Onkaparinga_Hills, AUS'!Q:Q,A82,'Onkaparinga_Hills, AUS'!I:I,TRUE),TRUE,FALSE)</f>
        <v>0</v>
      </c>
      <c r="K82" s="96" t="b">
        <f>if(countifs('Perth, AUS'!Q:Q,A82,'Perth, AUS'!I:I,TRUE),TRUE,FALSE)</f>
        <v>0</v>
      </c>
      <c r="L82" s="96" t="b">
        <f>if(countifs('Raleigh, USA'!Q:Q,A82,'Raleigh, USA'!I:I,TRUE),TRUE,FALSE)</f>
        <v>0</v>
      </c>
      <c r="M82" s="96" t="b">
        <f>if(countifs('Browns Plains, AUS'!Q:Q,A82,'Browns Plains, AUS'!I:I,TRUE),TRUE,FALSE)</f>
        <v>0</v>
      </c>
      <c r="N82" s="96" t="b">
        <f>if(countifs('Brossard, CAN'!Q:Q,A82,'Brossard, CAN'!I:I,TRUE),TRUE,FALSE)</f>
        <v>1</v>
      </c>
      <c r="O82" s="96" t="b">
        <f>if(countifs('Gouda, NL'!Q:Q,$A82,'Gouda, NL'!$I:$I,TRUE),TRUE,FALSE)</f>
        <v>0</v>
      </c>
      <c r="P82" s="47" t="b">
        <f>if(countifs('Plympton, UK'!Q:Q,$A82,'Plympton, UK'!$I:$I,TRUE),TRUE,FALSE)</f>
        <v>0</v>
      </c>
      <c r="Q82" s="47" t="b">
        <f>if(countifs('Glen Oaks, USA'!Q:Q,$A82,'Glen Oaks, USA'!$I:$I,TRUE),TRUE,FALSE)</f>
        <v>0</v>
      </c>
      <c r="R82" s="47" t="b">
        <f>if(countifs('Chemnitz, GER'!Q:Q,$A82,'Chemnitz, GER'!I:I,TRUE),TRUE,FALSE)</f>
        <v>0</v>
      </c>
      <c r="S82" s="47" t="b">
        <f>if(countifs('Vosselaar, BE'!Q:Q,$A82,'Vosselaar, BE'!$I:$I,TRUE),TRUE,FALSE)</f>
        <v>0</v>
      </c>
      <c r="T82" s="47" t="b">
        <f>if(countifs('MHQ, USA'!Q:Q,$A82,'MHQ, USA'!$I:$I,TRUE),TRUE,FALSE)</f>
        <v>0</v>
      </c>
      <c r="U82" s="47" t="b">
        <f>if(countifs('Morayfield, AUS'!Q:Q,$A82,'Morayfield, AUS'!$I:$I,TRUE),TRUE,FALSE)</f>
        <v>0</v>
      </c>
      <c r="V82" s="11" t="b">
        <f>if(countifs('Arnhem, NL'!Q:Q,$A82,'Arnhem, NL'!$I:$I,TRUE),TRUE,FALSE)</f>
        <v>0</v>
      </c>
      <c r="W82" s="47" t="b">
        <f>if(countifs('Gotenborg, SW'!Q:Q,$A82,'Gotenborg, SW'!$I:$I,TRUE),TRUE,FALSE)</f>
        <v>0</v>
      </c>
      <c r="X82" s="47" t="b">
        <f>if(countifs('Shepparton, AUS'!Q:Q,$A82,'Shepparton, AUS'!$I:$I,TRUE),TRUE,FALSE)</f>
        <v>0</v>
      </c>
      <c r="Y82" s="47" t="b">
        <f>if(countifs('Hoofddorp, NL'!Q:Q,$A82,'Hoofddorp, NL'!$I:$I,TRUE),TRUE,FALSE)</f>
        <v>0</v>
      </c>
      <c r="Z82" s="47" t="b">
        <f>if(countifs('Bedford, UK'!Q:Q,$A82,'Bedford, UK'!$I:$I,TRUE),TRUE,FALSE)</f>
        <v>0</v>
      </c>
      <c r="AA82" s="47" t="b">
        <f>IF(COUNTIFS('Desert Lodge, USA'!Q:Q,$A82,'Desert Lodge, USA'!I:I,TRUE),TRUE,FALSE)</f>
        <v>0</v>
      </c>
      <c r="AB82" s="47" t="b">
        <f>if(countifs('Dapto, AUS'!Q:Q,$A82,'Dapto, AUS'!$I:$I,TRUE),TRUE,FALSE)</f>
        <v>0</v>
      </c>
      <c r="AC82" s="47" t="b">
        <f>if(countifs('New Westminster, CAN'!Q:Q,$A82,'New Westminster, CAN'!$I:$I,TRUE),TRUE,FALSE)</f>
        <v>0</v>
      </c>
      <c r="AD82" s="47" t="b">
        <f>if(countifs('Georgetown, CAN'!Q:Q,$A82,'Georgetown, CAN'!$I:$I,TRUE),TRUE,FALSE)</f>
        <v>0</v>
      </c>
      <c r="AE82" s="47" t="b">
        <f>if(countifs('Kingswood, UK'!Q:Q,$A82,'Kingswood, UK'!$I:$I,TRUE),TRUE,FALSE)</f>
        <v>0</v>
      </c>
      <c r="AF82" s="47" t="b">
        <f>if(countifs('Hagerstown, USA'!Q:Q,$A82,'Hagerstown, USA'!$I:$I,TRUE),TRUE,FALSE)</f>
        <v>0</v>
      </c>
      <c r="AG82" s="47" t="b">
        <f>if(countifs('Felsogalla, HU'!Q:Q,$A82,'Felsogalla, HU'!$I:$I,TRUE),TRUE,FALSE)</f>
        <v>0</v>
      </c>
      <c r="AH82" s="47" t="b">
        <f>if(countifs('Norlane, AUS'!Q:Q,$A82,'Norlane, AUS'!$I:$I,TRUE),TRUE,FALSE)</f>
        <v>0</v>
      </c>
      <c r="AI82" s="47" t="b">
        <f>if(countifs('Meitingen, GER'!Q:Q,$A82,'Meitingen, GER'!$I:$I,TRUE),TRUE,FALSE)</f>
        <v>0</v>
      </c>
      <c r="AJ82" s="47" t="b">
        <f>if(countifs('Groningen, NL'!Q:Q,$A82,'Groningen, NL'!$I:$I,TRUE),TRUE,FALSE)</f>
        <v>0</v>
      </c>
      <c r="AK82" s="47" t="b">
        <f>if(countifs('Linköping, SW'!Q:Q,$A82,'Linköping, SW'!$I:$I,TRUE),TRUE,FALSE)</f>
        <v>0</v>
      </c>
      <c r="AL82" s="47" t="b">
        <f>if(countifs('Austin, USA'!Q:Q,$A82,'Austin, USA'!$I:$I,TRUE),TRUE,FALSE)</f>
        <v>0</v>
      </c>
      <c r="AM82" s="47" t="b">
        <f>if(countifs('Thringstone, UK'!Q:Q,$A82,'Thringstone, UK'!$I:$I,TRUE),TRUE,FALSE)</f>
        <v>0</v>
      </c>
      <c r="AN82" s="47" t="b">
        <f>if(countifs('Andover, UK'!Q:Q,$A82,'Andover, UK'!$I:$I,TRUE),TRUE,FALSE)</f>
        <v>0</v>
      </c>
      <c r="AO82" s="47" t="b">
        <f>if(countifs('Ospel, NL'!Q:Q,$A82,'Ospel, NL'!$I:$I,TRUE),TRUE,FALSE)</f>
        <v>0</v>
      </c>
      <c r="AP82" s="47" t="b">
        <f>if(countifs('Wonthaggi, AUS'!Q:Q,$A82,'Wonthaggi, AUS'!$I:$I,TRUE),TRUE,FALSE)</f>
        <v>0</v>
      </c>
      <c r="AQ82" s="47" t="b">
        <f>if(countifs('Falling_Waters, USA'!$Q:$Q,$A82,'Falling_Waters, USA'!$I:$I,TRUE),TRUE,FALSE)</f>
        <v>0</v>
      </c>
      <c r="AR82" s="47" t="b">
        <f>if(countifs('Kelmscott, AUS'!Q:Q,$A82,'Kelmscott, AUS'!$I:$I,TRUE),TRUE,FALSE)</f>
        <v>0</v>
      </c>
    </row>
    <row r="83">
      <c r="A83" s="47" t="str">
        <f>IFERROR(__xludf.DUMMYFUNCTION("""COMPUTED_VALUE"""),"PinkBulldog")</f>
        <v>PinkBulldog</v>
      </c>
      <c r="B83" s="47">
        <f t="shared" si="1"/>
        <v>1</v>
      </c>
      <c r="C83" s="47" t="b">
        <v>0</v>
      </c>
      <c r="D83" s="47" t="b">
        <v>0</v>
      </c>
      <c r="E83" s="47" t="b">
        <v>0</v>
      </c>
      <c r="F83" s="47" t="b">
        <v>0</v>
      </c>
      <c r="G83" s="96"/>
      <c r="H83" s="96" t="b">
        <f>if(countifs('Berlin, GER'!Q:Q,A83,'Berlin, GER'!I:I,TRUE),TRUE,FALSE)</f>
        <v>0</v>
      </c>
      <c r="I83" s="96" t="b">
        <f>if(countifs('Escondido, USA'!Q:Q,A83,'Escondido, USA'!I:I,TRUE),TRUE,FALSE)</f>
        <v>0</v>
      </c>
      <c r="J83" s="96" t="b">
        <f>if(countifs('Onkaparinga_Hills, AUS'!Q:Q,A83,'Onkaparinga_Hills, AUS'!I:I,TRUE),TRUE,FALSE)</f>
        <v>0</v>
      </c>
      <c r="K83" s="96" t="b">
        <f>if(countifs('Perth, AUS'!Q:Q,A83,'Perth, AUS'!I:I,TRUE),TRUE,FALSE)</f>
        <v>0</v>
      </c>
      <c r="L83" s="96" t="b">
        <f>if(countifs('Raleigh, USA'!Q:Q,A83,'Raleigh, USA'!I:I,TRUE),TRUE,FALSE)</f>
        <v>0</v>
      </c>
      <c r="M83" s="96" t="b">
        <f>if(countifs('Browns Plains, AUS'!Q:Q,A83,'Browns Plains, AUS'!I:I,TRUE),TRUE,FALSE)</f>
        <v>0</v>
      </c>
      <c r="N83" s="96" t="b">
        <f>if(countifs('Brossard, CAN'!Q:Q,A83,'Brossard, CAN'!I:I,TRUE),TRUE,FALSE)</f>
        <v>1</v>
      </c>
      <c r="O83" s="96" t="b">
        <f>if(countifs('Gouda, NL'!Q:Q,$A83,'Gouda, NL'!$I:$I,TRUE),TRUE,FALSE)</f>
        <v>0</v>
      </c>
      <c r="P83" s="47" t="b">
        <f>if(countifs('Plympton, UK'!Q:Q,$A83,'Plympton, UK'!$I:$I,TRUE),TRUE,FALSE)</f>
        <v>0</v>
      </c>
      <c r="Q83" s="47" t="b">
        <f>if(countifs('Glen Oaks, USA'!Q:Q,$A83,'Glen Oaks, USA'!$I:$I,TRUE),TRUE,FALSE)</f>
        <v>0</v>
      </c>
      <c r="R83" s="47" t="b">
        <f>if(countifs('Chemnitz, GER'!Q:Q,$A83,'Chemnitz, GER'!I:I,TRUE),TRUE,FALSE)</f>
        <v>0</v>
      </c>
      <c r="S83" s="47" t="b">
        <f>if(countifs('Vosselaar, BE'!Q:Q,$A83,'Vosselaar, BE'!$I:$I,TRUE),TRUE,FALSE)</f>
        <v>0</v>
      </c>
      <c r="T83" s="47" t="b">
        <f>if(countifs('MHQ, USA'!Q:Q,$A83,'MHQ, USA'!$I:$I,TRUE),TRUE,FALSE)</f>
        <v>0</v>
      </c>
      <c r="U83" s="47" t="b">
        <f>if(countifs('Morayfield, AUS'!Q:Q,$A83,'Morayfield, AUS'!$I:$I,TRUE),TRUE,FALSE)</f>
        <v>0</v>
      </c>
      <c r="V83" s="11" t="b">
        <f>if(countifs('Arnhem, NL'!Q:Q,$A83,'Arnhem, NL'!$I:$I,TRUE),TRUE,FALSE)</f>
        <v>0</v>
      </c>
      <c r="W83" s="47" t="b">
        <f>if(countifs('Gotenborg, SW'!Q:Q,$A83,'Gotenborg, SW'!$I:$I,TRUE),TRUE,FALSE)</f>
        <v>0</v>
      </c>
      <c r="X83" s="47" t="b">
        <f>if(countifs('Shepparton, AUS'!Q:Q,$A83,'Shepparton, AUS'!$I:$I,TRUE),TRUE,FALSE)</f>
        <v>0</v>
      </c>
      <c r="Y83" s="47" t="b">
        <f>if(countifs('Hoofddorp, NL'!Q:Q,$A83,'Hoofddorp, NL'!$I:$I,TRUE),TRUE,FALSE)</f>
        <v>0</v>
      </c>
      <c r="Z83" s="47" t="b">
        <f>if(countifs('Bedford, UK'!Q:Q,$A83,'Bedford, UK'!$I:$I,TRUE),TRUE,FALSE)</f>
        <v>0</v>
      </c>
      <c r="AA83" s="47" t="b">
        <f>IF(COUNTIFS('Desert Lodge, USA'!Q:Q,$A83,'Desert Lodge, USA'!I:I,TRUE),TRUE,FALSE)</f>
        <v>0</v>
      </c>
      <c r="AB83" s="47" t="b">
        <f>if(countifs('Dapto, AUS'!Q:Q,$A83,'Dapto, AUS'!$I:$I,TRUE),TRUE,FALSE)</f>
        <v>0</v>
      </c>
      <c r="AC83" s="47" t="b">
        <f>if(countifs('New Westminster, CAN'!Q:Q,$A83,'New Westminster, CAN'!$I:$I,TRUE),TRUE,FALSE)</f>
        <v>0</v>
      </c>
      <c r="AD83" s="47" t="b">
        <f>if(countifs('Georgetown, CAN'!Q:Q,$A83,'Georgetown, CAN'!$I:$I,TRUE),TRUE,FALSE)</f>
        <v>0</v>
      </c>
      <c r="AE83" s="47" t="b">
        <f>if(countifs('Kingswood, UK'!Q:Q,$A83,'Kingswood, UK'!$I:$I,TRUE),TRUE,FALSE)</f>
        <v>0</v>
      </c>
      <c r="AF83" s="47" t="b">
        <f>if(countifs('Hagerstown, USA'!Q:Q,$A83,'Hagerstown, USA'!$I:$I,TRUE),TRUE,FALSE)</f>
        <v>0</v>
      </c>
      <c r="AG83" s="47" t="b">
        <f>if(countifs('Felsogalla, HU'!Q:Q,$A83,'Felsogalla, HU'!$I:$I,TRUE),TRUE,FALSE)</f>
        <v>0</v>
      </c>
      <c r="AH83" s="47" t="b">
        <f>if(countifs('Norlane, AUS'!Q:Q,$A83,'Norlane, AUS'!$I:$I,TRUE),TRUE,FALSE)</f>
        <v>0</v>
      </c>
      <c r="AI83" s="47" t="b">
        <f>if(countifs('Meitingen, GER'!Q:Q,$A83,'Meitingen, GER'!$I:$I,TRUE),TRUE,FALSE)</f>
        <v>0</v>
      </c>
      <c r="AJ83" s="47" t="b">
        <f>if(countifs('Groningen, NL'!Q:Q,$A83,'Groningen, NL'!$I:$I,TRUE),TRUE,FALSE)</f>
        <v>0</v>
      </c>
      <c r="AK83" s="47" t="b">
        <f>if(countifs('Linköping, SW'!Q:Q,$A83,'Linköping, SW'!$I:$I,TRUE),TRUE,FALSE)</f>
        <v>0</v>
      </c>
      <c r="AL83" s="47" t="b">
        <f>if(countifs('Austin, USA'!Q:Q,$A83,'Austin, USA'!$I:$I,TRUE),TRUE,FALSE)</f>
        <v>0</v>
      </c>
      <c r="AM83" s="47" t="b">
        <f>if(countifs('Thringstone, UK'!Q:Q,$A83,'Thringstone, UK'!$I:$I,TRUE),TRUE,FALSE)</f>
        <v>0</v>
      </c>
      <c r="AN83" s="47" t="b">
        <f>if(countifs('Andover, UK'!Q:Q,$A83,'Andover, UK'!$I:$I,TRUE),TRUE,FALSE)</f>
        <v>0</v>
      </c>
      <c r="AO83" s="47" t="b">
        <f>if(countifs('Ospel, NL'!Q:Q,$A83,'Ospel, NL'!$I:$I,TRUE),TRUE,FALSE)</f>
        <v>0</v>
      </c>
      <c r="AP83" s="47" t="b">
        <f>if(countifs('Wonthaggi, AUS'!Q:Q,$A83,'Wonthaggi, AUS'!$I:$I,TRUE),TRUE,FALSE)</f>
        <v>0</v>
      </c>
      <c r="AQ83" s="47" t="b">
        <f>if(countifs('Falling_Waters, USA'!$Q:$Q,$A83,'Falling_Waters, USA'!$I:$I,TRUE),TRUE,FALSE)</f>
        <v>0</v>
      </c>
      <c r="AR83" s="47" t="b">
        <f>if(countifs('Kelmscott, AUS'!Q:Q,$A83,'Kelmscott, AUS'!$I:$I,TRUE),TRUE,FALSE)</f>
        <v>0</v>
      </c>
    </row>
    <row r="84">
      <c r="A84" s="47" t="str">
        <f>IFERROR(__xludf.DUMMYFUNCTION("""COMPUTED_VALUE"""),"ruud-1987")</f>
        <v>ruud-1987</v>
      </c>
      <c r="B84" s="47">
        <f t="shared" si="1"/>
        <v>1</v>
      </c>
      <c r="C84" s="47" t="b">
        <v>0</v>
      </c>
      <c r="D84" s="47" t="b">
        <v>0</v>
      </c>
      <c r="E84" s="47" t="b">
        <v>0</v>
      </c>
      <c r="F84" s="47" t="b">
        <v>0</v>
      </c>
      <c r="G84" s="96"/>
      <c r="H84" s="96" t="b">
        <f>if(countifs('Berlin, GER'!Q:Q,A84,'Berlin, GER'!I:I,TRUE),TRUE,FALSE)</f>
        <v>0</v>
      </c>
      <c r="I84" s="96" t="b">
        <f>if(countifs('Escondido, USA'!Q:Q,A84,'Escondido, USA'!I:I,TRUE),TRUE,FALSE)</f>
        <v>0</v>
      </c>
      <c r="J84" s="96" t="b">
        <f>if(countifs('Onkaparinga_Hills, AUS'!Q:Q,A84,'Onkaparinga_Hills, AUS'!I:I,TRUE),TRUE,FALSE)</f>
        <v>0</v>
      </c>
      <c r="K84" s="96" t="b">
        <f>if(countifs('Perth, AUS'!Q:Q,A84,'Perth, AUS'!I:I,TRUE),TRUE,FALSE)</f>
        <v>0</v>
      </c>
      <c r="L84" s="96" t="b">
        <f>if(countifs('Raleigh, USA'!Q:Q,A84,'Raleigh, USA'!I:I,TRUE),TRUE,FALSE)</f>
        <v>0</v>
      </c>
      <c r="M84" s="96" t="b">
        <f>if(countifs('Browns Plains, AUS'!Q:Q,A84,'Browns Plains, AUS'!I:I,TRUE),TRUE,FALSE)</f>
        <v>0</v>
      </c>
      <c r="N84" s="96" t="b">
        <f>if(countifs('Brossard, CAN'!Q:Q,A84,'Brossard, CAN'!I:I,TRUE),TRUE,FALSE)</f>
        <v>0</v>
      </c>
      <c r="O84" s="96" t="b">
        <f>if(countifs('Gouda, NL'!Q:Q,$A84,'Gouda, NL'!$I:$I,TRUE),TRUE,FALSE)</f>
        <v>1</v>
      </c>
      <c r="P84" s="47" t="b">
        <f>if(countifs('Plympton, UK'!Q:Q,$A84,'Plympton, UK'!$I:$I,TRUE),TRUE,FALSE)</f>
        <v>0</v>
      </c>
      <c r="Q84" s="47" t="b">
        <f>if(countifs('Glen Oaks, USA'!Q:Q,$A84,'Glen Oaks, USA'!$I:$I,TRUE),TRUE,FALSE)</f>
        <v>0</v>
      </c>
      <c r="R84" s="47" t="b">
        <f>if(countifs('Chemnitz, GER'!Q:Q,$A84,'Chemnitz, GER'!I:I,TRUE),TRUE,FALSE)</f>
        <v>0</v>
      </c>
      <c r="S84" s="47" t="b">
        <f>if(countifs('Vosselaar, BE'!Q:Q,$A84,'Vosselaar, BE'!$I:$I,TRUE),TRUE,FALSE)</f>
        <v>0</v>
      </c>
      <c r="T84" s="47" t="b">
        <f>if(countifs('MHQ, USA'!Q:Q,$A84,'MHQ, USA'!$I:$I,TRUE),TRUE,FALSE)</f>
        <v>0</v>
      </c>
      <c r="U84" s="47" t="b">
        <f>if(countifs('Morayfield, AUS'!Q:Q,$A84,'Morayfield, AUS'!$I:$I,TRUE),TRUE,FALSE)</f>
        <v>0</v>
      </c>
      <c r="V84" s="11" t="b">
        <f>if(countifs('Arnhem, NL'!Q:Q,$A84,'Arnhem, NL'!$I:$I,TRUE),TRUE,FALSE)</f>
        <v>0</v>
      </c>
      <c r="W84" s="47" t="b">
        <f>if(countifs('Gotenborg, SW'!Q:Q,$A84,'Gotenborg, SW'!$I:$I,TRUE),TRUE,FALSE)</f>
        <v>0</v>
      </c>
      <c r="X84" s="47" t="b">
        <f>if(countifs('Shepparton, AUS'!Q:Q,$A84,'Shepparton, AUS'!$I:$I,TRUE),TRUE,FALSE)</f>
        <v>0</v>
      </c>
      <c r="Y84" s="47" t="b">
        <f>if(countifs('Hoofddorp, NL'!Q:Q,$A84,'Hoofddorp, NL'!$I:$I,TRUE),TRUE,FALSE)</f>
        <v>0</v>
      </c>
      <c r="Z84" s="47" t="b">
        <f>if(countifs('Bedford, UK'!Q:Q,$A84,'Bedford, UK'!$I:$I,TRUE),TRUE,FALSE)</f>
        <v>0</v>
      </c>
      <c r="AA84" s="47" t="b">
        <f>IF(COUNTIFS('Desert Lodge, USA'!Q:Q,$A84,'Desert Lodge, USA'!I:I,TRUE),TRUE,FALSE)</f>
        <v>0</v>
      </c>
      <c r="AB84" s="47" t="b">
        <f>if(countifs('Dapto, AUS'!Q:Q,$A84,'Dapto, AUS'!$I:$I,TRUE),TRUE,FALSE)</f>
        <v>0</v>
      </c>
      <c r="AC84" s="47" t="b">
        <f>if(countifs('New Westminster, CAN'!Q:Q,$A84,'New Westminster, CAN'!$I:$I,TRUE),TRUE,FALSE)</f>
        <v>0</v>
      </c>
      <c r="AD84" s="47" t="b">
        <f>if(countifs('Georgetown, CAN'!Q:Q,$A84,'Georgetown, CAN'!$I:$I,TRUE),TRUE,FALSE)</f>
        <v>0</v>
      </c>
      <c r="AE84" s="47" t="b">
        <f>if(countifs('Kingswood, UK'!Q:Q,$A84,'Kingswood, UK'!$I:$I,TRUE),TRUE,FALSE)</f>
        <v>0</v>
      </c>
      <c r="AF84" s="47" t="b">
        <f>if(countifs('Hagerstown, USA'!Q:Q,$A84,'Hagerstown, USA'!$I:$I,TRUE),TRUE,FALSE)</f>
        <v>0</v>
      </c>
      <c r="AG84" s="47" t="b">
        <f>if(countifs('Felsogalla, HU'!Q:Q,$A84,'Felsogalla, HU'!$I:$I,TRUE),TRUE,FALSE)</f>
        <v>0</v>
      </c>
      <c r="AH84" s="47" t="b">
        <f>if(countifs('Norlane, AUS'!Q:Q,$A84,'Norlane, AUS'!$I:$I,TRUE),TRUE,FALSE)</f>
        <v>0</v>
      </c>
      <c r="AI84" s="47" t="b">
        <f>if(countifs('Meitingen, GER'!Q:Q,$A84,'Meitingen, GER'!$I:$I,TRUE),TRUE,FALSE)</f>
        <v>0</v>
      </c>
      <c r="AJ84" s="47" t="b">
        <f>if(countifs('Groningen, NL'!Q:Q,$A84,'Groningen, NL'!$I:$I,TRUE),TRUE,FALSE)</f>
        <v>0</v>
      </c>
      <c r="AK84" s="47" t="b">
        <f>if(countifs('Linköping, SW'!Q:Q,$A84,'Linköping, SW'!$I:$I,TRUE),TRUE,FALSE)</f>
        <v>0</v>
      </c>
      <c r="AL84" s="47" t="b">
        <f>if(countifs('Austin, USA'!Q:Q,$A84,'Austin, USA'!$I:$I,TRUE),TRUE,FALSE)</f>
        <v>0</v>
      </c>
      <c r="AM84" s="47" t="b">
        <f>if(countifs('Thringstone, UK'!Q:Q,$A84,'Thringstone, UK'!$I:$I,TRUE),TRUE,FALSE)</f>
        <v>0</v>
      </c>
      <c r="AN84" s="47" t="b">
        <f>if(countifs('Andover, UK'!Q:Q,$A84,'Andover, UK'!$I:$I,TRUE),TRUE,FALSE)</f>
        <v>0</v>
      </c>
      <c r="AO84" s="47" t="b">
        <f>if(countifs('Ospel, NL'!Q:Q,$A84,'Ospel, NL'!$I:$I,TRUE),TRUE,FALSE)</f>
        <v>0</v>
      </c>
      <c r="AP84" s="47" t="b">
        <f>if(countifs('Wonthaggi, AUS'!Q:Q,$A84,'Wonthaggi, AUS'!$I:$I,TRUE),TRUE,FALSE)</f>
        <v>0</v>
      </c>
      <c r="AQ84" s="47" t="b">
        <f>if(countifs('Falling_Waters, USA'!$Q:$Q,$A84,'Falling_Waters, USA'!$I:$I,TRUE),TRUE,FALSE)</f>
        <v>0</v>
      </c>
      <c r="AR84" s="47" t="b">
        <f>if(countifs('Kelmscott, AUS'!Q:Q,$A84,'Kelmscott, AUS'!$I:$I,TRUE),TRUE,FALSE)</f>
        <v>0</v>
      </c>
    </row>
    <row r="85">
      <c r="A85" s="47" t="str">
        <f>IFERROR(__xludf.DUMMYFUNCTION("""COMPUTED_VALUE"""),"MunziMeg")</f>
        <v>MunziMeg</v>
      </c>
      <c r="B85" s="47">
        <f t="shared" si="1"/>
        <v>3</v>
      </c>
      <c r="C85" s="47" t="b">
        <v>0</v>
      </c>
      <c r="D85" s="47" t="b">
        <v>0</v>
      </c>
      <c r="E85" s="47" t="b">
        <v>0</v>
      </c>
      <c r="F85" s="47" t="b">
        <v>0</v>
      </c>
      <c r="G85" s="96"/>
      <c r="H85" s="96" t="b">
        <f>if(countifs('Berlin, GER'!Q:Q,A85,'Berlin, GER'!I:I,TRUE),TRUE,FALSE)</f>
        <v>0</v>
      </c>
      <c r="I85" s="96" t="b">
        <f>if(countifs('Escondido, USA'!Q:Q,A85,'Escondido, USA'!I:I,TRUE),TRUE,FALSE)</f>
        <v>0</v>
      </c>
      <c r="J85" s="96" t="b">
        <f>if(countifs('Onkaparinga_Hills, AUS'!Q:Q,A85,'Onkaparinga_Hills, AUS'!I:I,TRUE),TRUE,FALSE)</f>
        <v>0</v>
      </c>
      <c r="K85" s="96" t="b">
        <f>if(countifs('Perth, AUS'!Q:Q,A85,'Perth, AUS'!I:I,TRUE),TRUE,FALSE)</f>
        <v>0</v>
      </c>
      <c r="L85" s="96" t="b">
        <f>if(countifs('Raleigh, USA'!Q:Q,A85,'Raleigh, USA'!I:I,TRUE),TRUE,FALSE)</f>
        <v>0</v>
      </c>
      <c r="M85" s="96" t="b">
        <f>if(countifs('Browns Plains, AUS'!Q:Q,A85,'Browns Plains, AUS'!I:I,TRUE),TRUE,FALSE)</f>
        <v>0</v>
      </c>
      <c r="N85" s="96" t="b">
        <f>if(countifs('Brossard, CAN'!Q:Q,A85,'Brossard, CAN'!I:I,TRUE),TRUE,FALSE)</f>
        <v>0</v>
      </c>
      <c r="O85" s="96" t="b">
        <f>if(countifs('Gouda, NL'!Q:Q,$A85,'Gouda, NL'!$I:$I,TRUE),TRUE,FALSE)</f>
        <v>1</v>
      </c>
      <c r="P85" s="47" t="b">
        <f>if(countifs('Plympton, UK'!Q:Q,$A85,'Plympton, UK'!$I:$I,TRUE),TRUE,FALSE)</f>
        <v>1</v>
      </c>
      <c r="Q85" s="47" t="b">
        <f>if(countifs('Glen Oaks, USA'!Q:Q,$A85,'Glen Oaks, USA'!$I:$I,TRUE),TRUE,FALSE)</f>
        <v>0</v>
      </c>
      <c r="R85" s="47" t="b">
        <f>if(countifs('Chemnitz, GER'!Q:Q,$A85,'Chemnitz, GER'!I:I,TRUE),TRUE,FALSE)</f>
        <v>0</v>
      </c>
      <c r="S85" s="47" t="b">
        <f>if(countifs('Vosselaar, BE'!Q:Q,$A85,'Vosselaar, BE'!$I:$I,TRUE),TRUE,FALSE)</f>
        <v>0</v>
      </c>
      <c r="T85" s="47" t="b">
        <f>if(countifs('MHQ, USA'!Q:Q,$A85,'MHQ, USA'!$I:$I,TRUE),TRUE,FALSE)</f>
        <v>1</v>
      </c>
      <c r="U85" s="47" t="b">
        <f>if(countifs('Morayfield, AUS'!Q:Q,$A85,'Morayfield, AUS'!$I:$I,TRUE),TRUE,FALSE)</f>
        <v>0</v>
      </c>
      <c r="V85" s="11" t="b">
        <f>if(countifs('Arnhem, NL'!Q:Q,$A85,'Arnhem, NL'!$I:$I,TRUE),TRUE,FALSE)</f>
        <v>0</v>
      </c>
      <c r="W85" s="47" t="b">
        <f>if(countifs('Gotenborg, SW'!Q:Q,$A85,'Gotenborg, SW'!$I:$I,TRUE),TRUE,FALSE)</f>
        <v>0</v>
      </c>
      <c r="X85" s="47" t="b">
        <f>if(countifs('Shepparton, AUS'!Q:Q,$A85,'Shepparton, AUS'!$I:$I,TRUE),TRUE,FALSE)</f>
        <v>0</v>
      </c>
      <c r="Y85" s="47" t="b">
        <f>if(countifs('Hoofddorp, NL'!Q:Q,$A85,'Hoofddorp, NL'!$I:$I,TRUE),TRUE,FALSE)</f>
        <v>0</v>
      </c>
      <c r="Z85" s="47" t="b">
        <f>if(countifs('Bedford, UK'!Q:Q,$A85,'Bedford, UK'!$I:$I,TRUE),TRUE,FALSE)</f>
        <v>0</v>
      </c>
      <c r="AA85" s="47" t="b">
        <f>IF(COUNTIFS('Desert Lodge, USA'!Q:Q,$A85,'Desert Lodge, USA'!I:I,TRUE),TRUE,FALSE)</f>
        <v>0</v>
      </c>
      <c r="AB85" s="47" t="b">
        <f>if(countifs('Dapto, AUS'!Q:Q,$A85,'Dapto, AUS'!$I:$I,TRUE),TRUE,FALSE)</f>
        <v>0</v>
      </c>
      <c r="AC85" s="47" t="b">
        <f>if(countifs('New Westminster, CAN'!Q:Q,$A85,'New Westminster, CAN'!$I:$I,TRUE),TRUE,FALSE)</f>
        <v>0</v>
      </c>
      <c r="AD85" s="47" t="b">
        <f>if(countifs('Georgetown, CAN'!Q:Q,$A85,'Georgetown, CAN'!$I:$I,TRUE),TRUE,FALSE)</f>
        <v>0</v>
      </c>
      <c r="AE85" s="47" t="b">
        <f>if(countifs('Kingswood, UK'!Q:Q,$A85,'Kingswood, UK'!$I:$I,TRUE),TRUE,FALSE)</f>
        <v>0</v>
      </c>
      <c r="AF85" s="47" t="b">
        <f>if(countifs('Hagerstown, USA'!Q:Q,$A85,'Hagerstown, USA'!$I:$I,TRUE),TRUE,FALSE)</f>
        <v>0</v>
      </c>
      <c r="AG85" s="47" t="b">
        <f>if(countifs('Felsogalla, HU'!Q:Q,$A85,'Felsogalla, HU'!$I:$I,TRUE),TRUE,FALSE)</f>
        <v>0</v>
      </c>
      <c r="AH85" s="47" t="b">
        <f>if(countifs('Norlane, AUS'!Q:Q,$A85,'Norlane, AUS'!$I:$I,TRUE),TRUE,FALSE)</f>
        <v>0</v>
      </c>
      <c r="AI85" s="47" t="b">
        <f>if(countifs('Meitingen, GER'!Q:Q,$A85,'Meitingen, GER'!$I:$I,TRUE),TRUE,FALSE)</f>
        <v>0</v>
      </c>
      <c r="AJ85" s="47" t="b">
        <f>if(countifs('Groningen, NL'!Q:Q,$A85,'Groningen, NL'!$I:$I,TRUE),TRUE,FALSE)</f>
        <v>0</v>
      </c>
      <c r="AK85" s="47" t="b">
        <f>if(countifs('Linköping, SW'!Q:Q,$A85,'Linköping, SW'!$I:$I,TRUE),TRUE,FALSE)</f>
        <v>0</v>
      </c>
      <c r="AL85" s="47" t="b">
        <f>if(countifs('Austin, USA'!Q:Q,$A85,'Austin, USA'!$I:$I,TRUE),TRUE,FALSE)</f>
        <v>0</v>
      </c>
      <c r="AM85" s="47" t="b">
        <f>if(countifs('Thringstone, UK'!Q:Q,$A85,'Thringstone, UK'!$I:$I,TRUE),TRUE,FALSE)</f>
        <v>0</v>
      </c>
      <c r="AN85" s="47" t="b">
        <f>if(countifs('Andover, UK'!Q:Q,$A85,'Andover, UK'!$I:$I,TRUE),TRUE,FALSE)</f>
        <v>0</v>
      </c>
      <c r="AO85" s="47" t="b">
        <f>if(countifs('Ospel, NL'!Q:Q,$A85,'Ospel, NL'!$I:$I,TRUE),TRUE,FALSE)</f>
        <v>0</v>
      </c>
      <c r="AP85" s="47" t="b">
        <f>if(countifs('Wonthaggi, AUS'!Q:Q,$A85,'Wonthaggi, AUS'!$I:$I,TRUE),TRUE,FALSE)</f>
        <v>0</v>
      </c>
      <c r="AQ85" s="47" t="b">
        <f>if(countifs('Falling_Waters, USA'!$Q:$Q,$A85,'Falling_Waters, USA'!$I:$I,TRUE),TRUE,FALSE)</f>
        <v>0</v>
      </c>
      <c r="AR85" s="47" t="b">
        <f>if(countifs('Kelmscott, AUS'!Q:Q,$A85,'Kelmscott, AUS'!$I:$I,TRUE),TRUE,FALSE)</f>
        <v>0</v>
      </c>
    </row>
    <row r="86">
      <c r="A86" s="47" t="str">
        <f>IFERROR(__xludf.DUMMYFUNCTION("""COMPUTED_VALUE"""),"rholierhoek")</f>
        <v>rholierhoek</v>
      </c>
      <c r="B86" s="47">
        <f t="shared" si="1"/>
        <v>1</v>
      </c>
      <c r="C86" s="47" t="b">
        <v>0</v>
      </c>
      <c r="D86" s="47" t="b">
        <v>0</v>
      </c>
      <c r="E86" s="47" t="b">
        <v>0</v>
      </c>
      <c r="F86" s="47" t="b">
        <v>0</v>
      </c>
      <c r="G86" s="96"/>
      <c r="H86" s="96" t="b">
        <f>if(countifs('Berlin, GER'!Q:Q,A86,'Berlin, GER'!I:I,TRUE),TRUE,FALSE)</f>
        <v>0</v>
      </c>
      <c r="I86" s="96" t="b">
        <f>if(countifs('Escondido, USA'!Q:Q,A86,'Escondido, USA'!I:I,TRUE),TRUE,FALSE)</f>
        <v>0</v>
      </c>
      <c r="J86" s="96" t="b">
        <f>if(countifs('Onkaparinga_Hills, AUS'!Q:Q,A86,'Onkaparinga_Hills, AUS'!I:I,TRUE),TRUE,FALSE)</f>
        <v>0</v>
      </c>
      <c r="K86" s="96" t="b">
        <f>if(countifs('Perth, AUS'!Q:Q,A86,'Perth, AUS'!I:I,TRUE),TRUE,FALSE)</f>
        <v>0</v>
      </c>
      <c r="L86" s="96" t="b">
        <f>if(countifs('Raleigh, USA'!Q:Q,A86,'Raleigh, USA'!I:I,TRUE),TRUE,FALSE)</f>
        <v>0</v>
      </c>
      <c r="M86" s="96" t="b">
        <f>if(countifs('Browns Plains, AUS'!Q:Q,A86,'Browns Plains, AUS'!I:I,TRUE),TRUE,FALSE)</f>
        <v>0</v>
      </c>
      <c r="N86" s="96" t="b">
        <f>if(countifs('Brossard, CAN'!Q:Q,A86,'Brossard, CAN'!I:I,TRUE),TRUE,FALSE)</f>
        <v>0</v>
      </c>
      <c r="O86" s="96" t="b">
        <f>if(countifs('Gouda, NL'!Q:Q,$A86,'Gouda, NL'!$I:$I,TRUE),TRUE,FALSE)</f>
        <v>1</v>
      </c>
      <c r="P86" s="47" t="b">
        <f>if(countifs('Plympton, UK'!Q:Q,$A86,'Plympton, UK'!$I:$I,TRUE),TRUE,FALSE)</f>
        <v>0</v>
      </c>
      <c r="Q86" s="47" t="b">
        <f>if(countifs('Glen Oaks, USA'!Q:Q,$A86,'Glen Oaks, USA'!$I:$I,TRUE),TRUE,FALSE)</f>
        <v>0</v>
      </c>
      <c r="R86" s="47" t="b">
        <f>if(countifs('Chemnitz, GER'!Q:Q,$A86,'Chemnitz, GER'!I:I,TRUE),TRUE,FALSE)</f>
        <v>0</v>
      </c>
      <c r="S86" s="47" t="b">
        <f>if(countifs('Vosselaar, BE'!Q:Q,$A86,'Vosselaar, BE'!$I:$I,TRUE),TRUE,FALSE)</f>
        <v>0</v>
      </c>
      <c r="T86" s="47" t="b">
        <f>if(countifs('MHQ, USA'!Q:Q,$A86,'MHQ, USA'!$I:$I,TRUE),TRUE,FALSE)</f>
        <v>0</v>
      </c>
      <c r="U86" s="47" t="b">
        <f>if(countifs('Morayfield, AUS'!Q:Q,$A86,'Morayfield, AUS'!$I:$I,TRUE),TRUE,FALSE)</f>
        <v>0</v>
      </c>
      <c r="V86" s="11" t="b">
        <f>if(countifs('Arnhem, NL'!Q:Q,$A86,'Arnhem, NL'!$I:$I,TRUE),TRUE,FALSE)</f>
        <v>0</v>
      </c>
      <c r="W86" s="47" t="b">
        <f>if(countifs('Gotenborg, SW'!Q:Q,$A86,'Gotenborg, SW'!$I:$I,TRUE),TRUE,FALSE)</f>
        <v>0</v>
      </c>
      <c r="X86" s="47" t="b">
        <f>if(countifs('Shepparton, AUS'!Q:Q,$A86,'Shepparton, AUS'!$I:$I,TRUE),TRUE,FALSE)</f>
        <v>0</v>
      </c>
      <c r="Y86" s="47" t="b">
        <f>if(countifs('Hoofddorp, NL'!Q:Q,$A86,'Hoofddorp, NL'!$I:$I,TRUE),TRUE,FALSE)</f>
        <v>0</v>
      </c>
      <c r="Z86" s="47" t="b">
        <f>if(countifs('Bedford, UK'!Q:Q,$A86,'Bedford, UK'!$I:$I,TRUE),TRUE,FALSE)</f>
        <v>0</v>
      </c>
      <c r="AA86" s="47" t="b">
        <f>IF(COUNTIFS('Desert Lodge, USA'!Q:Q,$A86,'Desert Lodge, USA'!I:I,TRUE),TRUE,FALSE)</f>
        <v>0</v>
      </c>
      <c r="AB86" s="47" t="b">
        <f>if(countifs('Dapto, AUS'!Q:Q,$A86,'Dapto, AUS'!$I:$I,TRUE),TRUE,FALSE)</f>
        <v>0</v>
      </c>
      <c r="AC86" s="47" t="b">
        <f>if(countifs('New Westminster, CAN'!Q:Q,$A86,'New Westminster, CAN'!$I:$I,TRUE),TRUE,FALSE)</f>
        <v>0</v>
      </c>
      <c r="AD86" s="47" t="b">
        <f>if(countifs('Georgetown, CAN'!Q:Q,$A86,'Georgetown, CAN'!$I:$I,TRUE),TRUE,FALSE)</f>
        <v>0</v>
      </c>
      <c r="AE86" s="47" t="b">
        <f>if(countifs('Kingswood, UK'!Q:Q,$A86,'Kingswood, UK'!$I:$I,TRUE),TRUE,FALSE)</f>
        <v>0</v>
      </c>
      <c r="AF86" s="47" t="b">
        <f>if(countifs('Hagerstown, USA'!Q:Q,$A86,'Hagerstown, USA'!$I:$I,TRUE),TRUE,FALSE)</f>
        <v>0</v>
      </c>
      <c r="AG86" s="47" t="b">
        <f>if(countifs('Felsogalla, HU'!Q:Q,$A86,'Felsogalla, HU'!$I:$I,TRUE),TRUE,FALSE)</f>
        <v>0</v>
      </c>
      <c r="AH86" s="47" t="b">
        <f>if(countifs('Norlane, AUS'!Q:Q,$A86,'Norlane, AUS'!$I:$I,TRUE),TRUE,FALSE)</f>
        <v>0</v>
      </c>
      <c r="AI86" s="47" t="b">
        <f>if(countifs('Meitingen, GER'!Q:Q,$A86,'Meitingen, GER'!$I:$I,TRUE),TRUE,FALSE)</f>
        <v>0</v>
      </c>
      <c r="AJ86" s="47" t="b">
        <f>if(countifs('Groningen, NL'!Q:Q,$A86,'Groningen, NL'!$I:$I,TRUE),TRUE,FALSE)</f>
        <v>0</v>
      </c>
      <c r="AK86" s="47" t="b">
        <f>if(countifs('Linköping, SW'!Q:Q,$A86,'Linköping, SW'!$I:$I,TRUE),TRUE,FALSE)</f>
        <v>0</v>
      </c>
      <c r="AL86" s="47" t="b">
        <f>if(countifs('Austin, USA'!Q:Q,$A86,'Austin, USA'!$I:$I,TRUE),TRUE,FALSE)</f>
        <v>0</v>
      </c>
      <c r="AM86" s="47" t="b">
        <f>if(countifs('Thringstone, UK'!Q:Q,$A86,'Thringstone, UK'!$I:$I,TRUE),TRUE,FALSE)</f>
        <v>0</v>
      </c>
      <c r="AN86" s="47" t="b">
        <f>if(countifs('Andover, UK'!Q:Q,$A86,'Andover, UK'!$I:$I,TRUE),TRUE,FALSE)</f>
        <v>0</v>
      </c>
      <c r="AO86" s="47" t="b">
        <f>if(countifs('Ospel, NL'!Q:Q,$A86,'Ospel, NL'!$I:$I,TRUE),TRUE,FALSE)</f>
        <v>0</v>
      </c>
      <c r="AP86" s="47" t="b">
        <f>if(countifs('Wonthaggi, AUS'!Q:Q,$A86,'Wonthaggi, AUS'!$I:$I,TRUE),TRUE,FALSE)</f>
        <v>0</v>
      </c>
      <c r="AQ86" s="47" t="b">
        <f>if(countifs('Falling_Waters, USA'!$Q:$Q,$A86,'Falling_Waters, USA'!$I:$I,TRUE),TRUE,FALSE)</f>
        <v>0</v>
      </c>
      <c r="AR86" s="47" t="b">
        <f>if(countifs('Kelmscott, AUS'!Q:Q,$A86,'Kelmscott, AUS'!$I:$I,TRUE),TRUE,FALSE)</f>
        <v>0</v>
      </c>
    </row>
    <row r="87">
      <c r="A87" s="47" t="str">
        <f>IFERROR(__xludf.DUMMYFUNCTION("""COMPUTED_VALUE"""),"ArchieRuby")</f>
        <v>ArchieRuby</v>
      </c>
      <c r="B87" s="47">
        <f t="shared" si="1"/>
        <v>1</v>
      </c>
      <c r="C87" s="47" t="b">
        <v>0</v>
      </c>
      <c r="D87" s="47" t="b">
        <v>0</v>
      </c>
      <c r="E87" s="47" t="b">
        <v>0</v>
      </c>
      <c r="F87" s="47" t="b">
        <v>0</v>
      </c>
      <c r="G87" s="96"/>
      <c r="H87" s="96" t="b">
        <f>if(countifs('Berlin, GER'!Q:Q,A87,'Berlin, GER'!I:I,TRUE),TRUE,FALSE)</f>
        <v>0</v>
      </c>
      <c r="I87" s="96" t="b">
        <f>if(countifs('Escondido, USA'!Q:Q,A87,'Escondido, USA'!I:I,TRUE),TRUE,FALSE)</f>
        <v>0</v>
      </c>
      <c r="J87" s="96" t="b">
        <f>if(countifs('Onkaparinga_Hills, AUS'!Q:Q,A87,'Onkaparinga_Hills, AUS'!I:I,TRUE),TRUE,FALSE)</f>
        <v>0</v>
      </c>
      <c r="K87" s="96" t="b">
        <f>if(countifs('Perth, AUS'!Q:Q,A87,'Perth, AUS'!I:I,TRUE),TRUE,FALSE)</f>
        <v>0</v>
      </c>
      <c r="L87" s="96" t="b">
        <f>if(countifs('Raleigh, USA'!Q:Q,A87,'Raleigh, USA'!I:I,TRUE),TRUE,FALSE)</f>
        <v>0</v>
      </c>
      <c r="M87" s="96" t="b">
        <f>if(countifs('Browns Plains, AUS'!Q:Q,A87,'Browns Plains, AUS'!I:I,TRUE),TRUE,FALSE)</f>
        <v>0</v>
      </c>
      <c r="N87" s="96" t="b">
        <f>if(countifs('Brossard, CAN'!Q:Q,A87,'Brossard, CAN'!I:I,TRUE),TRUE,FALSE)</f>
        <v>0</v>
      </c>
      <c r="O87" s="96" t="b">
        <f>if(countifs('Gouda, NL'!Q:Q,$A87,'Gouda, NL'!$I:$I,TRUE),TRUE,FALSE)</f>
        <v>1</v>
      </c>
      <c r="P87" s="47" t="b">
        <f>if(countifs('Plympton, UK'!Q:Q,$A87,'Plympton, UK'!$I:$I,TRUE),TRUE,FALSE)</f>
        <v>0</v>
      </c>
      <c r="Q87" s="47" t="b">
        <f>if(countifs('Glen Oaks, USA'!Q:Q,$A87,'Glen Oaks, USA'!$I:$I,TRUE),TRUE,FALSE)</f>
        <v>0</v>
      </c>
      <c r="R87" s="47" t="b">
        <f>if(countifs('Chemnitz, GER'!Q:Q,$A87,'Chemnitz, GER'!I:I,TRUE),TRUE,FALSE)</f>
        <v>0</v>
      </c>
      <c r="S87" s="47" t="b">
        <f>if(countifs('Vosselaar, BE'!Q:Q,$A87,'Vosselaar, BE'!$I:$I,TRUE),TRUE,FALSE)</f>
        <v>0</v>
      </c>
      <c r="T87" s="47" t="b">
        <f>if(countifs('MHQ, USA'!Q:Q,$A87,'MHQ, USA'!$I:$I,TRUE),TRUE,FALSE)</f>
        <v>0</v>
      </c>
      <c r="U87" s="47" t="b">
        <f>if(countifs('Morayfield, AUS'!Q:Q,$A87,'Morayfield, AUS'!$I:$I,TRUE),TRUE,FALSE)</f>
        <v>0</v>
      </c>
      <c r="V87" s="11" t="b">
        <f>if(countifs('Arnhem, NL'!Q:Q,$A87,'Arnhem, NL'!$I:$I,TRUE),TRUE,FALSE)</f>
        <v>0</v>
      </c>
      <c r="W87" s="47" t="b">
        <f>if(countifs('Gotenborg, SW'!Q:Q,$A87,'Gotenborg, SW'!$I:$I,TRUE),TRUE,FALSE)</f>
        <v>0</v>
      </c>
      <c r="X87" s="47" t="b">
        <f>if(countifs('Shepparton, AUS'!Q:Q,$A87,'Shepparton, AUS'!$I:$I,TRUE),TRUE,FALSE)</f>
        <v>0</v>
      </c>
      <c r="Y87" s="47" t="b">
        <f>if(countifs('Hoofddorp, NL'!Q:Q,$A87,'Hoofddorp, NL'!$I:$I,TRUE),TRUE,FALSE)</f>
        <v>0</v>
      </c>
      <c r="Z87" s="47" t="b">
        <f>if(countifs('Bedford, UK'!Q:Q,$A87,'Bedford, UK'!$I:$I,TRUE),TRUE,FALSE)</f>
        <v>0</v>
      </c>
      <c r="AA87" s="47" t="b">
        <f>IF(COUNTIFS('Desert Lodge, USA'!Q:Q,$A87,'Desert Lodge, USA'!I:I,TRUE),TRUE,FALSE)</f>
        <v>0</v>
      </c>
      <c r="AB87" s="47" t="b">
        <f>if(countifs('Dapto, AUS'!Q:Q,$A87,'Dapto, AUS'!$I:$I,TRUE),TRUE,FALSE)</f>
        <v>0</v>
      </c>
      <c r="AC87" s="47" t="b">
        <f>if(countifs('New Westminster, CAN'!Q:Q,$A87,'New Westminster, CAN'!$I:$I,TRUE),TRUE,FALSE)</f>
        <v>0</v>
      </c>
      <c r="AD87" s="47" t="b">
        <f>if(countifs('Georgetown, CAN'!Q:Q,$A87,'Georgetown, CAN'!$I:$I,TRUE),TRUE,FALSE)</f>
        <v>0</v>
      </c>
      <c r="AE87" s="47" t="b">
        <f>if(countifs('Kingswood, UK'!Q:Q,$A87,'Kingswood, UK'!$I:$I,TRUE),TRUE,FALSE)</f>
        <v>0</v>
      </c>
      <c r="AF87" s="47" t="b">
        <f>if(countifs('Hagerstown, USA'!Q:Q,$A87,'Hagerstown, USA'!$I:$I,TRUE),TRUE,FALSE)</f>
        <v>0</v>
      </c>
      <c r="AG87" s="47" t="b">
        <f>if(countifs('Felsogalla, HU'!Q:Q,$A87,'Felsogalla, HU'!$I:$I,TRUE),TRUE,FALSE)</f>
        <v>0</v>
      </c>
      <c r="AH87" s="47" t="b">
        <f>if(countifs('Norlane, AUS'!Q:Q,$A87,'Norlane, AUS'!$I:$I,TRUE),TRUE,FALSE)</f>
        <v>0</v>
      </c>
      <c r="AI87" s="47" t="b">
        <f>if(countifs('Meitingen, GER'!Q:Q,$A87,'Meitingen, GER'!$I:$I,TRUE),TRUE,FALSE)</f>
        <v>0</v>
      </c>
      <c r="AJ87" s="47" t="b">
        <f>if(countifs('Groningen, NL'!Q:Q,$A87,'Groningen, NL'!$I:$I,TRUE),TRUE,FALSE)</f>
        <v>0</v>
      </c>
      <c r="AK87" s="47" t="b">
        <f>if(countifs('Linköping, SW'!Q:Q,$A87,'Linköping, SW'!$I:$I,TRUE),TRUE,FALSE)</f>
        <v>0</v>
      </c>
      <c r="AL87" s="47" t="b">
        <f>if(countifs('Austin, USA'!Q:Q,$A87,'Austin, USA'!$I:$I,TRUE),TRUE,FALSE)</f>
        <v>0</v>
      </c>
      <c r="AM87" s="47" t="b">
        <f>if(countifs('Thringstone, UK'!Q:Q,$A87,'Thringstone, UK'!$I:$I,TRUE),TRUE,FALSE)</f>
        <v>0</v>
      </c>
      <c r="AN87" s="47" t="b">
        <f>if(countifs('Andover, UK'!Q:Q,$A87,'Andover, UK'!$I:$I,TRUE),TRUE,FALSE)</f>
        <v>0</v>
      </c>
      <c r="AO87" s="47" t="b">
        <f>if(countifs('Ospel, NL'!Q:Q,$A87,'Ospel, NL'!$I:$I,TRUE),TRUE,FALSE)</f>
        <v>0</v>
      </c>
      <c r="AP87" s="47" t="b">
        <f>if(countifs('Wonthaggi, AUS'!Q:Q,$A87,'Wonthaggi, AUS'!$I:$I,TRUE),TRUE,FALSE)</f>
        <v>0</v>
      </c>
      <c r="AQ87" s="47" t="b">
        <f>if(countifs('Falling_Waters, USA'!$Q:$Q,$A87,'Falling_Waters, USA'!$I:$I,TRUE),TRUE,FALSE)</f>
        <v>0</v>
      </c>
      <c r="AR87" s="47" t="b">
        <f>if(countifs('Kelmscott, AUS'!Q:Q,$A87,'Kelmscott, AUS'!$I:$I,TRUE),TRUE,FALSE)</f>
        <v>0</v>
      </c>
    </row>
    <row r="88">
      <c r="A88" s="47" t="str">
        <f>IFERROR(__xludf.DUMMYFUNCTION("""COMPUTED_VALUE"""),"artofmunzeeing")</f>
        <v>artofmunzeeing</v>
      </c>
      <c r="B88" s="47">
        <f t="shared" si="1"/>
        <v>3</v>
      </c>
      <c r="C88" s="47" t="b">
        <v>0</v>
      </c>
      <c r="D88" s="47" t="b">
        <v>0</v>
      </c>
      <c r="E88" s="47" t="b">
        <v>0</v>
      </c>
      <c r="F88" s="47" t="b">
        <v>0</v>
      </c>
      <c r="G88" s="96"/>
      <c r="H88" s="96" t="b">
        <f>if(countifs('Berlin, GER'!Q:Q,A88,'Berlin, GER'!I:I,TRUE),TRUE,FALSE)</f>
        <v>0</v>
      </c>
      <c r="I88" s="96" t="b">
        <f>if(countifs('Escondido, USA'!Q:Q,A88,'Escondido, USA'!I:I,TRUE),TRUE,FALSE)</f>
        <v>0</v>
      </c>
      <c r="J88" s="96" t="b">
        <f>if(countifs('Onkaparinga_Hills, AUS'!Q:Q,A88,'Onkaparinga_Hills, AUS'!I:I,TRUE),TRUE,FALSE)</f>
        <v>0</v>
      </c>
      <c r="K88" s="96" t="b">
        <f>if(countifs('Perth, AUS'!Q:Q,A88,'Perth, AUS'!I:I,TRUE),TRUE,FALSE)</f>
        <v>0</v>
      </c>
      <c r="L88" s="96" t="b">
        <f>if(countifs('Raleigh, USA'!Q:Q,A88,'Raleigh, USA'!I:I,TRUE),TRUE,FALSE)</f>
        <v>0</v>
      </c>
      <c r="M88" s="96" t="b">
        <f>if(countifs('Browns Plains, AUS'!Q:Q,A88,'Browns Plains, AUS'!I:I,TRUE),TRUE,FALSE)</f>
        <v>0</v>
      </c>
      <c r="N88" s="96" t="b">
        <f>if(countifs('Brossard, CAN'!Q:Q,A88,'Brossard, CAN'!I:I,TRUE),TRUE,FALSE)</f>
        <v>0</v>
      </c>
      <c r="O88" s="96" t="b">
        <f>if(countifs('Gouda, NL'!Q:Q,$A88,'Gouda, NL'!$I:$I,TRUE),TRUE,FALSE)</f>
        <v>1</v>
      </c>
      <c r="P88" s="47" t="b">
        <f>if(countifs('Plympton, UK'!Q:Q,$A88,'Plympton, UK'!$I:$I,TRUE),TRUE,FALSE)</f>
        <v>1</v>
      </c>
      <c r="Q88" s="47" t="b">
        <f>if(countifs('Glen Oaks, USA'!Q:Q,$A88,'Glen Oaks, USA'!$I:$I,TRUE),TRUE,FALSE)</f>
        <v>0</v>
      </c>
      <c r="R88" s="47" t="b">
        <f>if(countifs('Chemnitz, GER'!Q:Q,$A88,'Chemnitz, GER'!I:I,TRUE),TRUE,FALSE)</f>
        <v>0</v>
      </c>
      <c r="S88" s="47" t="b">
        <f>if(countifs('Vosselaar, BE'!Q:Q,$A88,'Vosselaar, BE'!$I:$I,TRUE),TRUE,FALSE)</f>
        <v>0</v>
      </c>
      <c r="T88" s="47" t="b">
        <f>if(countifs('MHQ, USA'!Q:Q,$A88,'MHQ, USA'!$I:$I,TRUE),TRUE,FALSE)</f>
        <v>1</v>
      </c>
      <c r="U88" s="47" t="b">
        <f>if(countifs('Morayfield, AUS'!Q:Q,$A88,'Morayfield, AUS'!$I:$I,TRUE),TRUE,FALSE)</f>
        <v>0</v>
      </c>
      <c r="V88" s="11" t="b">
        <f>if(countifs('Arnhem, NL'!Q:Q,$A88,'Arnhem, NL'!$I:$I,TRUE),TRUE,FALSE)</f>
        <v>0</v>
      </c>
      <c r="W88" s="47" t="b">
        <f>if(countifs('Gotenborg, SW'!Q:Q,$A88,'Gotenborg, SW'!$I:$I,TRUE),TRUE,FALSE)</f>
        <v>0</v>
      </c>
      <c r="X88" s="47" t="b">
        <f>if(countifs('Shepparton, AUS'!Q:Q,$A88,'Shepparton, AUS'!$I:$I,TRUE),TRUE,FALSE)</f>
        <v>0</v>
      </c>
      <c r="Y88" s="47" t="b">
        <f>if(countifs('Hoofddorp, NL'!Q:Q,$A88,'Hoofddorp, NL'!$I:$I,TRUE),TRUE,FALSE)</f>
        <v>0</v>
      </c>
      <c r="Z88" s="47" t="b">
        <f>if(countifs('Bedford, UK'!Q:Q,$A88,'Bedford, UK'!$I:$I,TRUE),TRUE,FALSE)</f>
        <v>0</v>
      </c>
      <c r="AA88" s="47" t="b">
        <f>IF(COUNTIFS('Desert Lodge, USA'!Q:Q,$A88,'Desert Lodge, USA'!I:I,TRUE),TRUE,FALSE)</f>
        <v>0</v>
      </c>
      <c r="AB88" s="47" t="b">
        <f>if(countifs('Dapto, AUS'!Q:Q,$A88,'Dapto, AUS'!$I:$I,TRUE),TRUE,FALSE)</f>
        <v>0</v>
      </c>
      <c r="AC88" s="47" t="b">
        <f>if(countifs('New Westminster, CAN'!Q:Q,$A88,'New Westminster, CAN'!$I:$I,TRUE),TRUE,FALSE)</f>
        <v>0</v>
      </c>
      <c r="AD88" s="47" t="b">
        <f>if(countifs('Georgetown, CAN'!Q:Q,$A88,'Georgetown, CAN'!$I:$I,TRUE),TRUE,FALSE)</f>
        <v>0</v>
      </c>
      <c r="AE88" s="47" t="b">
        <f>if(countifs('Kingswood, UK'!Q:Q,$A88,'Kingswood, UK'!$I:$I,TRUE),TRUE,FALSE)</f>
        <v>0</v>
      </c>
      <c r="AF88" s="47" t="b">
        <f>if(countifs('Hagerstown, USA'!Q:Q,$A88,'Hagerstown, USA'!$I:$I,TRUE),TRUE,FALSE)</f>
        <v>0</v>
      </c>
      <c r="AG88" s="47" t="b">
        <f>if(countifs('Felsogalla, HU'!Q:Q,$A88,'Felsogalla, HU'!$I:$I,TRUE),TRUE,FALSE)</f>
        <v>0</v>
      </c>
      <c r="AH88" s="47" t="b">
        <f>if(countifs('Norlane, AUS'!Q:Q,$A88,'Norlane, AUS'!$I:$I,TRUE),TRUE,FALSE)</f>
        <v>0</v>
      </c>
      <c r="AI88" s="47" t="b">
        <f>if(countifs('Meitingen, GER'!Q:Q,$A88,'Meitingen, GER'!$I:$I,TRUE),TRUE,FALSE)</f>
        <v>0</v>
      </c>
      <c r="AJ88" s="47" t="b">
        <f>if(countifs('Groningen, NL'!Q:Q,$A88,'Groningen, NL'!$I:$I,TRUE),TRUE,FALSE)</f>
        <v>0</v>
      </c>
      <c r="AK88" s="47" t="b">
        <f>if(countifs('Linköping, SW'!Q:Q,$A88,'Linköping, SW'!$I:$I,TRUE),TRUE,FALSE)</f>
        <v>0</v>
      </c>
      <c r="AL88" s="47" t="b">
        <f>if(countifs('Austin, USA'!Q:Q,$A88,'Austin, USA'!$I:$I,TRUE),TRUE,FALSE)</f>
        <v>0</v>
      </c>
      <c r="AM88" s="47" t="b">
        <f>if(countifs('Thringstone, UK'!Q:Q,$A88,'Thringstone, UK'!$I:$I,TRUE),TRUE,FALSE)</f>
        <v>0</v>
      </c>
      <c r="AN88" s="47" t="b">
        <f>if(countifs('Andover, UK'!Q:Q,$A88,'Andover, UK'!$I:$I,TRUE),TRUE,FALSE)</f>
        <v>0</v>
      </c>
      <c r="AO88" s="47" t="b">
        <f>if(countifs('Ospel, NL'!Q:Q,$A88,'Ospel, NL'!$I:$I,TRUE),TRUE,FALSE)</f>
        <v>0</v>
      </c>
      <c r="AP88" s="47" t="b">
        <f>if(countifs('Wonthaggi, AUS'!Q:Q,$A88,'Wonthaggi, AUS'!$I:$I,TRUE),TRUE,FALSE)</f>
        <v>0</v>
      </c>
      <c r="AQ88" s="47" t="b">
        <f>if(countifs('Falling_Waters, USA'!$Q:$Q,$A88,'Falling_Waters, USA'!$I:$I,TRUE),TRUE,FALSE)</f>
        <v>0</v>
      </c>
      <c r="AR88" s="47" t="b">
        <f>if(countifs('Kelmscott, AUS'!Q:Q,$A88,'Kelmscott, AUS'!$I:$I,TRUE),TRUE,FALSE)</f>
        <v>0</v>
      </c>
    </row>
    <row r="89">
      <c r="A89" s="47" t="str">
        <f>IFERROR(__xludf.DUMMYFUNCTION("""COMPUTED_VALUE"""),"MadDogLady")</f>
        <v>MadDogLady</v>
      </c>
      <c r="B89" s="47">
        <f t="shared" si="1"/>
        <v>1</v>
      </c>
      <c r="C89" s="47" t="b">
        <v>0</v>
      </c>
      <c r="D89" s="47" t="b">
        <v>0</v>
      </c>
      <c r="E89" s="47" t="b">
        <v>0</v>
      </c>
      <c r="F89" s="47" t="b">
        <v>0</v>
      </c>
      <c r="G89" s="96"/>
      <c r="H89" s="96" t="b">
        <f>if(countifs('Berlin, GER'!Q:Q,A89,'Berlin, GER'!I:I,TRUE),TRUE,FALSE)</f>
        <v>0</v>
      </c>
      <c r="I89" s="96" t="b">
        <f>if(countifs('Escondido, USA'!Q:Q,A89,'Escondido, USA'!I:I,TRUE),TRUE,FALSE)</f>
        <v>0</v>
      </c>
      <c r="J89" s="96" t="b">
        <f>if(countifs('Onkaparinga_Hills, AUS'!Q:Q,A89,'Onkaparinga_Hills, AUS'!I:I,TRUE),TRUE,FALSE)</f>
        <v>0</v>
      </c>
      <c r="K89" s="96" t="b">
        <f>if(countifs('Perth, AUS'!Q:Q,A89,'Perth, AUS'!I:I,TRUE),TRUE,FALSE)</f>
        <v>0</v>
      </c>
      <c r="L89" s="96" t="b">
        <f>if(countifs('Raleigh, USA'!Q:Q,A89,'Raleigh, USA'!I:I,TRUE),TRUE,FALSE)</f>
        <v>0</v>
      </c>
      <c r="M89" s="96" t="b">
        <f>if(countifs('Browns Plains, AUS'!Q:Q,A89,'Browns Plains, AUS'!I:I,TRUE),TRUE,FALSE)</f>
        <v>0</v>
      </c>
      <c r="N89" s="96" t="b">
        <f>if(countifs('Brossard, CAN'!Q:Q,A89,'Brossard, CAN'!I:I,TRUE),TRUE,FALSE)</f>
        <v>0</v>
      </c>
      <c r="O89" s="96" t="b">
        <f>if(countifs('Gouda, NL'!Q:Q,$A89,'Gouda, NL'!$I:$I,TRUE),TRUE,FALSE)</f>
        <v>0</v>
      </c>
      <c r="P89" s="47" t="b">
        <f>if(countifs('Plympton, UK'!Q:Q,$A89,'Plympton, UK'!$I:$I,TRUE),TRUE,FALSE)</f>
        <v>1</v>
      </c>
      <c r="Q89" s="47" t="b">
        <f>if(countifs('Glen Oaks, USA'!Q:Q,$A89,'Glen Oaks, USA'!$I:$I,TRUE),TRUE,FALSE)</f>
        <v>0</v>
      </c>
      <c r="R89" s="47" t="b">
        <f>if(countifs('Chemnitz, GER'!Q:Q,$A89,'Chemnitz, GER'!I:I,TRUE),TRUE,FALSE)</f>
        <v>0</v>
      </c>
      <c r="S89" s="47" t="b">
        <f>if(countifs('Vosselaar, BE'!Q:Q,$A89,'Vosselaar, BE'!$I:$I,TRUE),TRUE,FALSE)</f>
        <v>0</v>
      </c>
      <c r="T89" s="47" t="b">
        <f>if(countifs('MHQ, USA'!Q:Q,$A89,'MHQ, USA'!$I:$I,TRUE),TRUE,FALSE)</f>
        <v>0</v>
      </c>
      <c r="U89" s="47" t="b">
        <f>if(countifs('Morayfield, AUS'!Q:Q,$A89,'Morayfield, AUS'!$I:$I,TRUE),TRUE,FALSE)</f>
        <v>0</v>
      </c>
      <c r="V89" s="11" t="b">
        <f>if(countifs('Arnhem, NL'!Q:Q,$A89,'Arnhem, NL'!$I:$I,TRUE),TRUE,FALSE)</f>
        <v>0</v>
      </c>
      <c r="W89" s="47" t="b">
        <f>if(countifs('Gotenborg, SW'!Q:Q,$A89,'Gotenborg, SW'!$I:$I,TRUE),TRUE,FALSE)</f>
        <v>0</v>
      </c>
      <c r="X89" s="47" t="b">
        <f>if(countifs('Shepparton, AUS'!Q:Q,$A89,'Shepparton, AUS'!$I:$I,TRUE),TRUE,FALSE)</f>
        <v>0</v>
      </c>
      <c r="Y89" s="47" t="b">
        <f>if(countifs('Hoofddorp, NL'!Q:Q,$A89,'Hoofddorp, NL'!$I:$I,TRUE),TRUE,FALSE)</f>
        <v>0</v>
      </c>
      <c r="Z89" s="47" t="b">
        <f>if(countifs('Bedford, UK'!Q:Q,$A89,'Bedford, UK'!$I:$I,TRUE),TRUE,FALSE)</f>
        <v>0</v>
      </c>
      <c r="AA89" s="47" t="b">
        <f>IF(COUNTIFS('Desert Lodge, USA'!Q:Q,$A89,'Desert Lodge, USA'!I:I,TRUE),TRUE,FALSE)</f>
        <v>0</v>
      </c>
      <c r="AB89" s="47" t="b">
        <f>if(countifs('Dapto, AUS'!Q:Q,$A89,'Dapto, AUS'!$I:$I,TRUE),TRUE,FALSE)</f>
        <v>0</v>
      </c>
      <c r="AC89" s="47" t="b">
        <f>if(countifs('New Westminster, CAN'!Q:Q,$A89,'New Westminster, CAN'!$I:$I,TRUE),TRUE,FALSE)</f>
        <v>0</v>
      </c>
      <c r="AD89" s="47" t="b">
        <f>if(countifs('Georgetown, CAN'!Q:Q,$A89,'Georgetown, CAN'!$I:$I,TRUE),TRUE,FALSE)</f>
        <v>0</v>
      </c>
      <c r="AE89" s="47" t="b">
        <f>if(countifs('Kingswood, UK'!Q:Q,$A89,'Kingswood, UK'!$I:$I,TRUE),TRUE,FALSE)</f>
        <v>0</v>
      </c>
      <c r="AF89" s="47" t="b">
        <f>if(countifs('Hagerstown, USA'!Q:Q,$A89,'Hagerstown, USA'!$I:$I,TRUE),TRUE,FALSE)</f>
        <v>0</v>
      </c>
      <c r="AG89" s="47" t="b">
        <f>if(countifs('Felsogalla, HU'!Q:Q,$A89,'Felsogalla, HU'!$I:$I,TRUE),TRUE,FALSE)</f>
        <v>0</v>
      </c>
      <c r="AH89" s="47" t="b">
        <f>if(countifs('Norlane, AUS'!Q:Q,$A89,'Norlane, AUS'!$I:$I,TRUE),TRUE,FALSE)</f>
        <v>0</v>
      </c>
      <c r="AI89" s="47" t="b">
        <f>if(countifs('Meitingen, GER'!Q:Q,$A89,'Meitingen, GER'!$I:$I,TRUE),TRUE,FALSE)</f>
        <v>0</v>
      </c>
      <c r="AJ89" s="47" t="b">
        <f>if(countifs('Groningen, NL'!Q:Q,$A89,'Groningen, NL'!$I:$I,TRUE),TRUE,FALSE)</f>
        <v>0</v>
      </c>
      <c r="AK89" s="47" t="b">
        <f>if(countifs('Linköping, SW'!Q:Q,$A89,'Linköping, SW'!$I:$I,TRUE),TRUE,FALSE)</f>
        <v>0</v>
      </c>
      <c r="AL89" s="47" t="b">
        <f>if(countifs('Austin, USA'!Q:Q,$A89,'Austin, USA'!$I:$I,TRUE),TRUE,FALSE)</f>
        <v>0</v>
      </c>
      <c r="AM89" s="47" t="b">
        <f>if(countifs('Thringstone, UK'!Q:Q,$A89,'Thringstone, UK'!$I:$I,TRUE),TRUE,FALSE)</f>
        <v>0</v>
      </c>
      <c r="AN89" s="47" t="b">
        <f>if(countifs('Andover, UK'!Q:Q,$A89,'Andover, UK'!$I:$I,TRUE),TRUE,FALSE)</f>
        <v>0</v>
      </c>
      <c r="AO89" s="47" t="b">
        <f>if(countifs('Ospel, NL'!Q:Q,$A89,'Ospel, NL'!$I:$I,TRUE),TRUE,FALSE)</f>
        <v>0</v>
      </c>
      <c r="AP89" s="47" t="b">
        <f>if(countifs('Wonthaggi, AUS'!Q:Q,$A89,'Wonthaggi, AUS'!$I:$I,TRUE),TRUE,FALSE)</f>
        <v>0</v>
      </c>
      <c r="AQ89" s="47" t="b">
        <f>if(countifs('Falling_Waters, USA'!$Q:$Q,$A89,'Falling_Waters, USA'!$I:$I,TRUE),TRUE,FALSE)</f>
        <v>0</v>
      </c>
      <c r="AR89" s="47" t="b">
        <f>if(countifs('Kelmscott, AUS'!Q:Q,$A89,'Kelmscott, AUS'!$I:$I,TRUE),TRUE,FALSE)</f>
        <v>0</v>
      </c>
    </row>
    <row r="90">
      <c r="A90" s="47" t="str">
        <f>IFERROR(__xludf.DUMMYFUNCTION("""COMPUTED_VALUE"""),"Sinister")</f>
        <v>Sinister</v>
      </c>
      <c r="B90" s="47">
        <f t="shared" si="1"/>
        <v>1</v>
      </c>
      <c r="C90" s="47" t="b">
        <v>0</v>
      </c>
      <c r="D90" s="47" t="b">
        <v>0</v>
      </c>
      <c r="E90" s="47" t="b">
        <v>0</v>
      </c>
      <c r="F90" s="47" t="b">
        <v>0</v>
      </c>
      <c r="G90" s="96"/>
      <c r="H90" s="96" t="b">
        <f>if(countifs('Berlin, GER'!Q:Q,A90,'Berlin, GER'!I:I,TRUE),TRUE,FALSE)</f>
        <v>0</v>
      </c>
      <c r="I90" s="96" t="b">
        <f>if(countifs('Escondido, USA'!Q:Q,A90,'Escondido, USA'!I:I,TRUE),TRUE,FALSE)</f>
        <v>0</v>
      </c>
      <c r="J90" s="96" t="b">
        <f>if(countifs('Onkaparinga_Hills, AUS'!Q:Q,A90,'Onkaparinga_Hills, AUS'!I:I,TRUE),TRUE,FALSE)</f>
        <v>0</v>
      </c>
      <c r="K90" s="96" t="b">
        <f>if(countifs('Perth, AUS'!Q:Q,A90,'Perth, AUS'!I:I,TRUE),TRUE,FALSE)</f>
        <v>0</v>
      </c>
      <c r="L90" s="96" t="b">
        <f>if(countifs('Raleigh, USA'!Q:Q,A90,'Raleigh, USA'!I:I,TRUE),TRUE,FALSE)</f>
        <v>0</v>
      </c>
      <c r="M90" s="96" t="b">
        <f>if(countifs('Browns Plains, AUS'!Q:Q,A90,'Browns Plains, AUS'!I:I,TRUE),TRUE,FALSE)</f>
        <v>0</v>
      </c>
      <c r="N90" s="96" t="b">
        <f>if(countifs('Brossard, CAN'!Q:Q,A90,'Brossard, CAN'!I:I,TRUE),TRUE,FALSE)</f>
        <v>0</v>
      </c>
      <c r="O90" s="96" t="b">
        <f>if(countifs('Gouda, NL'!Q:Q,$A90,'Gouda, NL'!$I:$I,TRUE),TRUE,FALSE)</f>
        <v>0</v>
      </c>
      <c r="P90" s="47" t="b">
        <f>if(countifs('Plympton, UK'!Q:Q,$A90,'Plympton, UK'!$I:$I,TRUE),TRUE,FALSE)</f>
        <v>1</v>
      </c>
      <c r="Q90" s="47" t="b">
        <f>if(countifs('Glen Oaks, USA'!Q:Q,$A90,'Glen Oaks, USA'!$I:$I,TRUE),TRUE,FALSE)</f>
        <v>0</v>
      </c>
      <c r="R90" s="47" t="b">
        <f>if(countifs('Chemnitz, GER'!Q:Q,$A90,'Chemnitz, GER'!I:I,TRUE),TRUE,FALSE)</f>
        <v>0</v>
      </c>
      <c r="S90" s="47" t="b">
        <f>if(countifs('Vosselaar, BE'!Q:Q,$A90,'Vosselaar, BE'!$I:$I,TRUE),TRUE,FALSE)</f>
        <v>0</v>
      </c>
      <c r="T90" s="47" t="b">
        <f>if(countifs('MHQ, USA'!Q:Q,$A90,'MHQ, USA'!$I:$I,TRUE),TRUE,FALSE)</f>
        <v>0</v>
      </c>
      <c r="U90" s="47" t="b">
        <f>if(countifs('Morayfield, AUS'!Q:Q,$A90,'Morayfield, AUS'!$I:$I,TRUE),TRUE,FALSE)</f>
        <v>0</v>
      </c>
      <c r="V90" s="11" t="b">
        <f>if(countifs('Arnhem, NL'!Q:Q,$A90,'Arnhem, NL'!$I:$I,TRUE),TRUE,FALSE)</f>
        <v>0</v>
      </c>
      <c r="W90" s="47" t="b">
        <f>if(countifs('Gotenborg, SW'!Q:Q,$A90,'Gotenborg, SW'!$I:$I,TRUE),TRUE,FALSE)</f>
        <v>0</v>
      </c>
      <c r="X90" s="47" t="b">
        <f>if(countifs('Shepparton, AUS'!Q:Q,$A90,'Shepparton, AUS'!$I:$I,TRUE),TRUE,FALSE)</f>
        <v>0</v>
      </c>
      <c r="Y90" s="47" t="b">
        <f>if(countifs('Hoofddorp, NL'!Q:Q,$A90,'Hoofddorp, NL'!$I:$I,TRUE),TRUE,FALSE)</f>
        <v>0</v>
      </c>
      <c r="Z90" s="47" t="b">
        <f>if(countifs('Bedford, UK'!Q:Q,$A90,'Bedford, UK'!$I:$I,TRUE),TRUE,FALSE)</f>
        <v>0</v>
      </c>
      <c r="AA90" s="47" t="b">
        <f>IF(COUNTIFS('Desert Lodge, USA'!Q:Q,$A90,'Desert Lodge, USA'!I:I,TRUE),TRUE,FALSE)</f>
        <v>0</v>
      </c>
      <c r="AB90" s="47" t="b">
        <f>if(countifs('Dapto, AUS'!Q:Q,$A90,'Dapto, AUS'!$I:$I,TRUE),TRUE,FALSE)</f>
        <v>0</v>
      </c>
      <c r="AC90" s="47" t="b">
        <f>if(countifs('New Westminster, CAN'!Q:Q,$A90,'New Westminster, CAN'!$I:$I,TRUE),TRUE,FALSE)</f>
        <v>0</v>
      </c>
      <c r="AD90" s="47" t="b">
        <f>if(countifs('Georgetown, CAN'!Q:Q,$A90,'Georgetown, CAN'!$I:$I,TRUE),TRUE,FALSE)</f>
        <v>0</v>
      </c>
      <c r="AE90" s="47" t="b">
        <f>if(countifs('Kingswood, UK'!Q:Q,$A90,'Kingswood, UK'!$I:$I,TRUE),TRUE,FALSE)</f>
        <v>0</v>
      </c>
      <c r="AF90" s="47" t="b">
        <f>if(countifs('Hagerstown, USA'!Q:Q,$A90,'Hagerstown, USA'!$I:$I,TRUE),TRUE,FALSE)</f>
        <v>0</v>
      </c>
      <c r="AG90" s="47" t="b">
        <f>if(countifs('Felsogalla, HU'!Q:Q,$A90,'Felsogalla, HU'!$I:$I,TRUE),TRUE,FALSE)</f>
        <v>0</v>
      </c>
      <c r="AH90" s="47" t="b">
        <f>if(countifs('Norlane, AUS'!Q:Q,$A90,'Norlane, AUS'!$I:$I,TRUE),TRUE,FALSE)</f>
        <v>0</v>
      </c>
      <c r="AI90" s="47" t="b">
        <f>if(countifs('Meitingen, GER'!Q:Q,$A90,'Meitingen, GER'!$I:$I,TRUE),TRUE,FALSE)</f>
        <v>0</v>
      </c>
      <c r="AJ90" s="47" t="b">
        <f>if(countifs('Groningen, NL'!Q:Q,$A90,'Groningen, NL'!$I:$I,TRUE),TRUE,FALSE)</f>
        <v>0</v>
      </c>
      <c r="AK90" s="47" t="b">
        <f>if(countifs('Linköping, SW'!Q:Q,$A90,'Linköping, SW'!$I:$I,TRUE),TRUE,FALSE)</f>
        <v>0</v>
      </c>
      <c r="AL90" s="47" t="b">
        <f>if(countifs('Austin, USA'!Q:Q,$A90,'Austin, USA'!$I:$I,TRUE),TRUE,FALSE)</f>
        <v>0</v>
      </c>
      <c r="AM90" s="47" t="b">
        <f>if(countifs('Thringstone, UK'!Q:Q,$A90,'Thringstone, UK'!$I:$I,TRUE),TRUE,FALSE)</f>
        <v>0</v>
      </c>
      <c r="AN90" s="47" t="b">
        <f>if(countifs('Andover, UK'!Q:Q,$A90,'Andover, UK'!$I:$I,TRUE),TRUE,FALSE)</f>
        <v>0</v>
      </c>
      <c r="AO90" s="47" t="b">
        <f>if(countifs('Ospel, NL'!Q:Q,$A90,'Ospel, NL'!$I:$I,TRUE),TRUE,FALSE)</f>
        <v>0</v>
      </c>
      <c r="AP90" s="47" t="b">
        <f>if(countifs('Wonthaggi, AUS'!Q:Q,$A90,'Wonthaggi, AUS'!$I:$I,TRUE),TRUE,FALSE)</f>
        <v>0</v>
      </c>
      <c r="AQ90" s="47" t="b">
        <f>if(countifs('Falling_Waters, USA'!$Q:$Q,$A90,'Falling_Waters, USA'!$I:$I,TRUE),TRUE,FALSE)</f>
        <v>0</v>
      </c>
      <c r="AR90" s="47" t="b">
        <f>if(countifs('Kelmscott, AUS'!Q:Q,$A90,'Kelmscott, AUS'!$I:$I,TRUE),TRUE,FALSE)</f>
        <v>0</v>
      </c>
    </row>
    <row r="91">
      <c r="A91" s="47" t="str">
        <f>IFERROR(__xludf.DUMMYFUNCTION("""COMPUTED_VALUE"""),"wangotango")</f>
        <v>wangotango</v>
      </c>
      <c r="B91" s="47">
        <f t="shared" si="1"/>
        <v>22</v>
      </c>
      <c r="C91" s="47" t="b">
        <v>0</v>
      </c>
      <c r="D91" s="47" t="b">
        <v>0</v>
      </c>
      <c r="E91" s="47" t="b">
        <v>0</v>
      </c>
      <c r="F91" s="47" t="b">
        <v>0</v>
      </c>
      <c r="G91" s="96"/>
      <c r="H91" s="96" t="b">
        <f>if(countifs('Berlin, GER'!Q:Q,A91,'Berlin, GER'!I:I,TRUE),TRUE,FALSE)</f>
        <v>1</v>
      </c>
      <c r="I91" s="96" t="b">
        <f>if(countifs('Escondido, USA'!Q:Q,A91,'Escondido, USA'!I:I,TRUE),TRUE,FALSE)</f>
        <v>1</v>
      </c>
      <c r="J91" s="96" t="b">
        <f>if(countifs('Onkaparinga_Hills, AUS'!Q:Q,A91,'Onkaparinga_Hills, AUS'!I:I,TRUE),TRUE,FALSE)</f>
        <v>1</v>
      </c>
      <c r="K91" s="96" t="b">
        <f>if(countifs('Perth, AUS'!Q:Q,A91,'Perth, AUS'!I:I,TRUE),TRUE,FALSE)</f>
        <v>1</v>
      </c>
      <c r="L91" s="96" t="b">
        <f>if(countifs('Raleigh, USA'!Q:Q,A91,'Raleigh, USA'!I:I,TRUE),TRUE,FALSE)</f>
        <v>1</v>
      </c>
      <c r="M91" s="96" t="b">
        <f>if(countifs('Browns Plains, AUS'!Q:Q,A91,'Browns Plains, AUS'!I:I,TRUE),TRUE,FALSE)</f>
        <v>1</v>
      </c>
      <c r="N91" s="96" t="b">
        <f>if(countifs('Brossard, CAN'!Q:Q,A91,'Brossard, CAN'!I:I,TRUE),TRUE,FALSE)</f>
        <v>0</v>
      </c>
      <c r="O91" s="96" t="b">
        <f>if(countifs('Gouda, NL'!Q:Q,$A91,'Gouda, NL'!$I:$I,TRUE),TRUE,FALSE)</f>
        <v>1</v>
      </c>
      <c r="P91" s="47" t="b">
        <f>if(countifs('Plympton, UK'!Q:Q,$A91,'Plympton, UK'!$I:$I,TRUE),TRUE,FALSE)</f>
        <v>1</v>
      </c>
      <c r="Q91" s="47" t="b">
        <f>if(countifs('Glen Oaks, USA'!Q:Q,$A91,'Glen Oaks, USA'!$I:$I,TRUE),TRUE,FALSE)</f>
        <v>1</v>
      </c>
      <c r="R91" s="47" t="b">
        <f>if(countifs('Chemnitz, GER'!Q:Q,$A91,'Chemnitz, GER'!I:I,TRUE),TRUE,FALSE)</f>
        <v>1</v>
      </c>
      <c r="S91" s="47" t="b">
        <f>if(countifs('Vosselaar, BE'!Q:Q,$A91,'Vosselaar, BE'!$I:$I,TRUE),TRUE,FALSE)</f>
        <v>1</v>
      </c>
      <c r="T91" s="47" t="b">
        <f>if(countifs('MHQ, USA'!Q:Q,$A91,'MHQ, USA'!$I:$I,TRUE),TRUE,FALSE)</f>
        <v>0</v>
      </c>
      <c r="U91" s="47" t="b">
        <f>if(countifs('Morayfield, AUS'!Q:Q,$A91,'Morayfield, AUS'!$I:$I,TRUE),TRUE,FALSE)</f>
        <v>1</v>
      </c>
      <c r="V91" s="11" t="b">
        <f>if(countifs('Arnhem, NL'!Q:Q,$A91,'Arnhem, NL'!$I:$I,TRUE),TRUE,FALSE)</f>
        <v>0</v>
      </c>
      <c r="W91" s="47" t="b">
        <f>if(countifs('Gotenborg, SW'!Q:Q,$A91,'Gotenborg, SW'!$I:$I,TRUE),TRUE,FALSE)</f>
        <v>1</v>
      </c>
      <c r="X91" s="47" t="b">
        <f>if(countifs('Shepparton, AUS'!Q:Q,$A91,'Shepparton, AUS'!$I:$I,TRUE),TRUE,FALSE)</f>
        <v>1</v>
      </c>
      <c r="Y91" s="47" t="b">
        <f>if(countifs('Hoofddorp, NL'!Q:Q,$A91,'Hoofddorp, NL'!$I:$I,TRUE),TRUE,FALSE)</f>
        <v>1</v>
      </c>
      <c r="Z91" s="47" t="b">
        <f>if(countifs('Bedford, UK'!Q:Q,$A91,'Bedford, UK'!$I:$I,TRUE),TRUE,FALSE)</f>
        <v>1</v>
      </c>
      <c r="AA91" s="47" t="b">
        <f>IF(COUNTIFS('Desert Lodge, USA'!Q:Q,$A91,'Desert Lodge, USA'!I:I,TRUE),TRUE,FALSE)</f>
        <v>1</v>
      </c>
      <c r="AB91" s="47" t="b">
        <f>if(countifs('Dapto, AUS'!Q:Q,$A91,'Dapto, AUS'!$I:$I,TRUE),TRUE,FALSE)</f>
        <v>1</v>
      </c>
      <c r="AC91" s="47" t="b">
        <f>if(countifs('New Westminster, CAN'!Q:Q,$A91,'New Westminster, CAN'!$I:$I,TRUE),TRUE,FALSE)</f>
        <v>0</v>
      </c>
      <c r="AD91" s="47" t="b">
        <f>if(countifs('Georgetown, CAN'!Q:Q,$A91,'Georgetown, CAN'!$I:$I,TRUE),TRUE,FALSE)</f>
        <v>0</v>
      </c>
      <c r="AE91" s="47" t="b">
        <f>if(countifs('Kingswood, UK'!Q:Q,$A91,'Kingswood, UK'!$I:$I,TRUE),TRUE,FALSE)</f>
        <v>0</v>
      </c>
      <c r="AF91" s="47" t="b">
        <f>if(countifs('Hagerstown, USA'!Q:Q,$A91,'Hagerstown, USA'!$I:$I,TRUE),TRUE,FALSE)</f>
        <v>1</v>
      </c>
      <c r="AG91" s="47" t="b">
        <f>if(countifs('Felsogalla, HU'!Q:Q,$A91,'Felsogalla, HU'!$I:$I,TRUE),TRUE,FALSE)</f>
        <v>0</v>
      </c>
      <c r="AH91" s="47" t="b">
        <f>if(countifs('Norlane, AUS'!Q:Q,$A91,'Norlane, AUS'!$I:$I,TRUE),TRUE,FALSE)</f>
        <v>0</v>
      </c>
      <c r="AI91" s="47" t="b">
        <f>if(countifs('Meitingen, GER'!Q:Q,$A91,'Meitingen, GER'!$I:$I,TRUE),TRUE,FALSE)</f>
        <v>0</v>
      </c>
      <c r="AJ91" s="47" t="b">
        <f>if(countifs('Groningen, NL'!Q:Q,$A91,'Groningen, NL'!$I:$I,TRUE),TRUE,FALSE)</f>
        <v>0</v>
      </c>
      <c r="AK91" s="47" t="b">
        <f>if(countifs('Linköping, SW'!Q:Q,$A91,'Linköping, SW'!$I:$I,TRUE),TRUE,FALSE)</f>
        <v>0</v>
      </c>
      <c r="AL91" s="47" t="b">
        <f>if(countifs('Austin, USA'!Q:Q,$A91,'Austin, USA'!$I:$I,TRUE),TRUE,FALSE)</f>
        <v>0</v>
      </c>
      <c r="AM91" s="47" t="b">
        <f>if(countifs('Thringstone, UK'!Q:Q,$A91,'Thringstone, UK'!$I:$I,TRUE),TRUE,FALSE)</f>
        <v>0</v>
      </c>
      <c r="AN91" s="47" t="b">
        <f>if(countifs('Andover, UK'!Q:Q,$A91,'Andover, UK'!$I:$I,TRUE),TRUE,FALSE)</f>
        <v>1</v>
      </c>
      <c r="AO91" s="47" t="b">
        <f>if(countifs('Ospel, NL'!Q:Q,$A91,'Ospel, NL'!$I:$I,TRUE),TRUE,FALSE)</f>
        <v>0</v>
      </c>
      <c r="AP91" s="47" t="b">
        <f>if(countifs('Wonthaggi, AUS'!Q:Q,$A91,'Wonthaggi, AUS'!$I:$I,TRUE),TRUE,FALSE)</f>
        <v>1</v>
      </c>
      <c r="AQ91" s="47" t="b">
        <f>if(countifs('Falling_Waters, USA'!$Q:$Q,$A91,'Falling_Waters, USA'!$I:$I,TRUE),TRUE,FALSE)</f>
        <v>1</v>
      </c>
      <c r="AR91" s="47" t="b">
        <f>if(countifs('Kelmscott, AUS'!Q:Q,$A91,'Kelmscott, AUS'!$I:$I,TRUE),TRUE,FALSE)</f>
        <v>0</v>
      </c>
    </row>
    <row r="92">
      <c r="A92" s="47" t="str">
        <f>IFERROR(__xludf.DUMMYFUNCTION("""COMPUTED_VALUE"""),"MurphyLM")</f>
        <v>MurphyLM</v>
      </c>
      <c r="B92" s="47">
        <f t="shared" si="1"/>
        <v>2</v>
      </c>
      <c r="C92" s="47" t="b">
        <v>0</v>
      </c>
      <c r="D92" s="47" t="b">
        <v>0</v>
      </c>
      <c r="E92" s="47" t="b">
        <v>0</v>
      </c>
      <c r="F92" s="47" t="b">
        <v>0</v>
      </c>
      <c r="G92" s="96"/>
      <c r="H92" s="96" t="b">
        <f>if(countifs('Berlin, GER'!Q:Q,A92,'Berlin, GER'!I:I,TRUE),TRUE,FALSE)</f>
        <v>0</v>
      </c>
      <c r="I92" s="96" t="b">
        <f>if(countifs('Escondido, USA'!Q:Q,A92,'Escondido, USA'!I:I,TRUE),TRUE,FALSE)</f>
        <v>0</v>
      </c>
      <c r="J92" s="96" t="b">
        <f>if(countifs('Onkaparinga_Hills, AUS'!Q:Q,A92,'Onkaparinga_Hills, AUS'!I:I,TRUE),TRUE,FALSE)</f>
        <v>0</v>
      </c>
      <c r="K92" s="96" t="b">
        <f>if(countifs('Perth, AUS'!Q:Q,A92,'Perth, AUS'!I:I,TRUE),TRUE,FALSE)</f>
        <v>0</v>
      </c>
      <c r="L92" s="96" t="b">
        <f>if(countifs('Raleigh, USA'!Q:Q,A92,'Raleigh, USA'!I:I,TRUE),TRUE,FALSE)</f>
        <v>0</v>
      </c>
      <c r="M92" s="96" t="b">
        <f>if(countifs('Browns Plains, AUS'!Q:Q,A92,'Browns Plains, AUS'!I:I,TRUE),TRUE,FALSE)</f>
        <v>0</v>
      </c>
      <c r="N92" s="96" t="b">
        <f>if(countifs('Brossard, CAN'!Q:Q,A92,'Brossard, CAN'!I:I,TRUE),TRUE,FALSE)</f>
        <v>0</v>
      </c>
      <c r="O92" s="96" t="b">
        <f>if(countifs('Gouda, NL'!Q:Q,$A92,'Gouda, NL'!$I:$I,TRUE),TRUE,FALSE)</f>
        <v>0</v>
      </c>
      <c r="P92" s="47" t="b">
        <f>if(countifs('Plympton, UK'!Q:Q,$A92,'Plympton, UK'!$I:$I,TRUE),TRUE,FALSE)</f>
        <v>0</v>
      </c>
      <c r="Q92" s="47" t="b">
        <f>if(countifs('Glen Oaks, USA'!Q:Q,$A92,'Glen Oaks, USA'!$I:$I,TRUE),TRUE,FALSE)</f>
        <v>1</v>
      </c>
      <c r="R92" s="47" t="b">
        <f>if(countifs('Chemnitz, GER'!Q:Q,$A92,'Chemnitz, GER'!I:I,TRUE),TRUE,FALSE)</f>
        <v>0</v>
      </c>
      <c r="S92" s="47" t="b">
        <f>if(countifs('Vosselaar, BE'!Q:Q,$A92,'Vosselaar, BE'!$I:$I,TRUE),TRUE,FALSE)</f>
        <v>0</v>
      </c>
      <c r="T92" s="47" t="b">
        <f>if(countifs('MHQ, USA'!Q:Q,$A92,'MHQ, USA'!$I:$I,TRUE),TRUE,FALSE)</f>
        <v>0</v>
      </c>
      <c r="U92" s="47" t="b">
        <f>if(countifs('Morayfield, AUS'!Q:Q,$A92,'Morayfield, AUS'!$I:$I,TRUE),TRUE,FALSE)</f>
        <v>0</v>
      </c>
      <c r="V92" s="11" t="b">
        <f>if(countifs('Arnhem, NL'!Q:Q,$A92,'Arnhem, NL'!$I:$I,TRUE),TRUE,FALSE)</f>
        <v>0</v>
      </c>
      <c r="W92" s="47" t="b">
        <f>if(countifs('Gotenborg, SW'!Q:Q,$A92,'Gotenborg, SW'!$I:$I,TRUE),TRUE,FALSE)</f>
        <v>0</v>
      </c>
      <c r="X92" s="47" t="b">
        <f>if(countifs('Shepparton, AUS'!Q:Q,$A92,'Shepparton, AUS'!$I:$I,TRUE),TRUE,FALSE)</f>
        <v>0</v>
      </c>
      <c r="Y92" s="47" t="b">
        <f>if(countifs('Hoofddorp, NL'!Q:Q,$A92,'Hoofddorp, NL'!$I:$I,TRUE),TRUE,FALSE)</f>
        <v>0</v>
      </c>
      <c r="Z92" s="47" t="b">
        <f>if(countifs('Bedford, UK'!Q:Q,$A92,'Bedford, UK'!$I:$I,TRUE),TRUE,FALSE)</f>
        <v>0</v>
      </c>
      <c r="AA92" s="47" t="b">
        <f>IF(COUNTIFS('Desert Lodge, USA'!Q:Q,$A92,'Desert Lodge, USA'!I:I,TRUE),TRUE,FALSE)</f>
        <v>1</v>
      </c>
      <c r="AB92" s="47" t="b">
        <f>if(countifs('Dapto, AUS'!Q:Q,$A92,'Dapto, AUS'!$I:$I,TRUE),TRUE,FALSE)</f>
        <v>0</v>
      </c>
      <c r="AC92" s="47" t="b">
        <f>if(countifs('New Westminster, CAN'!Q:Q,$A92,'New Westminster, CAN'!$I:$I,TRUE),TRUE,FALSE)</f>
        <v>0</v>
      </c>
      <c r="AD92" s="47" t="b">
        <f>if(countifs('Georgetown, CAN'!Q:Q,$A92,'Georgetown, CAN'!$I:$I,TRUE),TRUE,FALSE)</f>
        <v>0</v>
      </c>
      <c r="AE92" s="47" t="b">
        <f>if(countifs('Kingswood, UK'!Q:Q,$A92,'Kingswood, UK'!$I:$I,TRUE),TRUE,FALSE)</f>
        <v>0</v>
      </c>
      <c r="AF92" s="47" t="b">
        <f>if(countifs('Hagerstown, USA'!Q:Q,$A92,'Hagerstown, USA'!$I:$I,TRUE),TRUE,FALSE)</f>
        <v>0</v>
      </c>
      <c r="AG92" s="47" t="b">
        <f>if(countifs('Felsogalla, HU'!Q:Q,$A92,'Felsogalla, HU'!$I:$I,TRUE),TRUE,FALSE)</f>
        <v>0</v>
      </c>
      <c r="AH92" s="47" t="b">
        <f>if(countifs('Norlane, AUS'!Q:Q,$A92,'Norlane, AUS'!$I:$I,TRUE),TRUE,FALSE)</f>
        <v>0</v>
      </c>
      <c r="AI92" s="47" t="b">
        <f>if(countifs('Meitingen, GER'!Q:Q,$A92,'Meitingen, GER'!$I:$I,TRUE),TRUE,FALSE)</f>
        <v>0</v>
      </c>
      <c r="AJ92" s="47" t="b">
        <f>if(countifs('Groningen, NL'!Q:Q,$A92,'Groningen, NL'!$I:$I,TRUE),TRUE,FALSE)</f>
        <v>0</v>
      </c>
      <c r="AK92" s="47" t="b">
        <f>if(countifs('Linköping, SW'!Q:Q,$A92,'Linköping, SW'!$I:$I,TRUE),TRUE,FALSE)</f>
        <v>0</v>
      </c>
      <c r="AL92" s="47" t="b">
        <f>if(countifs('Austin, USA'!Q:Q,$A92,'Austin, USA'!$I:$I,TRUE),TRUE,FALSE)</f>
        <v>0</v>
      </c>
      <c r="AM92" s="47" t="b">
        <f>if(countifs('Thringstone, UK'!Q:Q,$A92,'Thringstone, UK'!$I:$I,TRUE),TRUE,FALSE)</f>
        <v>0</v>
      </c>
      <c r="AN92" s="47" t="b">
        <f>if(countifs('Andover, UK'!Q:Q,$A92,'Andover, UK'!$I:$I,TRUE),TRUE,FALSE)</f>
        <v>0</v>
      </c>
      <c r="AO92" s="47" t="b">
        <f>if(countifs('Ospel, NL'!Q:Q,$A92,'Ospel, NL'!$I:$I,TRUE),TRUE,FALSE)</f>
        <v>0</v>
      </c>
      <c r="AP92" s="47" t="b">
        <f>if(countifs('Wonthaggi, AUS'!Q:Q,$A92,'Wonthaggi, AUS'!$I:$I,TRUE),TRUE,FALSE)</f>
        <v>0</v>
      </c>
      <c r="AQ92" s="47" t="b">
        <f>if(countifs('Falling_Waters, USA'!$Q:$Q,$A92,'Falling_Waters, USA'!$I:$I,TRUE),TRUE,FALSE)</f>
        <v>0</v>
      </c>
      <c r="AR92" s="47" t="b">
        <f>if(countifs('Kelmscott, AUS'!Q:Q,$A92,'Kelmscott, AUS'!$I:$I,TRUE),TRUE,FALSE)</f>
        <v>0</v>
      </c>
    </row>
    <row r="93">
      <c r="A93" s="47" t="str">
        <f>IFERROR(__xludf.DUMMYFUNCTION("""COMPUTED_VALUE"""),"szakica")</f>
        <v>szakica</v>
      </c>
      <c r="B93" s="47">
        <f t="shared" si="1"/>
        <v>1</v>
      </c>
      <c r="C93" s="47" t="b">
        <v>0</v>
      </c>
      <c r="D93" s="47" t="b">
        <v>0</v>
      </c>
      <c r="E93" s="47" t="b">
        <v>0</v>
      </c>
      <c r="F93" s="47" t="b">
        <v>0</v>
      </c>
      <c r="G93" s="96"/>
      <c r="H93" s="96" t="b">
        <f>if(countifs('Berlin, GER'!Q:Q,A93,'Berlin, GER'!I:I,TRUE),TRUE,FALSE)</f>
        <v>0</v>
      </c>
      <c r="I93" s="96" t="b">
        <f>if(countifs('Escondido, USA'!Q:Q,A93,'Escondido, USA'!I:I,TRUE),TRUE,FALSE)</f>
        <v>0</v>
      </c>
      <c r="J93" s="96" t="b">
        <f>if(countifs('Onkaparinga_Hills, AUS'!Q:Q,A93,'Onkaparinga_Hills, AUS'!I:I,TRUE),TRUE,FALSE)</f>
        <v>0</v>
      </c>
      <c r="K93" s="96" t="b">
        <f>if(countifs('Perth, AUS'!Q:Q,A93,'Perth, AUS'!I:I,TRUE),TRUE,FALSE)</f>
        <v>0</v>
      </c>
      <c r="L93" s="96" t="b">
        <f>if(countifs('Raleigh, USA'!Q:Q,A93,'Raleigh, USA'!I:I,TRUE),TRUE,FALSE)</f>
        <v>0</v>
      </c>
      <c r="M93" s="96" t="b">
        <f>if(countifs('Browns Plains, AUS'!Q:Q,A93,'Browns Plains, AUS'!I:I,TRUE),TRUE,FALSE)</f>
        <v>0</v>
      </c>
      <c r="N93" s="96" t="b">
        <f>if(countifs('Brossard, CAN'!Q:Q,A93,'Brossard, CAN'!I:I,TRUE),TRUE,FALSE)</f>
        <v>0</v>
      </c>
      <c r="O93" s="96" t="b">
        <f>if(countifs('Gouda, NL'!Q:Q,$A93,'Gouda, NL'!$I:$I,TRUE),TRUE,FALSE)</f>
        <v>0</v>
      </c>
      <c r="P93" s="47" t="b">
        <f>if(countifs('Plympton, UK'!Q:Q,$A93,'Plympton, UK'!$I:$I,TRUE),TRUE,FALSE)</f>
        <v>0</v>
      </c>
      <c r="Q93" s="47" t="b">
        <f>if(countifs('Glen Oaks, USA'!Q:Q,$A93,'Glen Oaks, USA'!$I:$I,TRUE),TRUE,FALSE)</f>
        <v>1</v>
      </c>
      <c r="R93" s="47" t="b">
        <f>if(countifs('Chemnitz, GER'!Q:Q,$A93,'Chemnitz, GER'!I:I,TRUE),TRUE,FALSE)</f>
        <v>0</v>
      </c>
      <c r="S93" s="47" t="b">
        <f>if(countifs('Vosselaar, BE'!Q:Q,$A93,'Vosselaar, BE'!$I:$I,TRUE),TRUE,FALSE)</f>
        <v>0</v>
      </c>
      <c r="T93" s="47" t="b">
        <f>if(countifs('MHQ, USA'!Q:Q,$A93,'MHQ, USA'!$I:$I,TRUE),TRUE,FALSE)</f>
        <v>0</v>
      </c>
      <c r="U93" s="47" t="b">
        <f>if(countifs('Morayfield, AUS'!Q:Q,$A93,'Morayfield, AUS'!$I:$I,TRUE),TRUE,FALSE)</f>
        <v>0</v>
      </c>
      <c r="V93" s="11" t="b">
        <f>if(countifs('Arnhem, NL'!Q:Q,$A93,'Arnhem, NL'!$I:$I,TRUE),TRUE,FALSE)</f>
        <v>0</v>
      </c>
      <c r="W93" s="47" t="b">
        <f>if(countifs('Gotenborg, SW'!Q:Q,$A93,'Gotenborg, SW'!$I:$I,TRUE),TRUE,FALSE)</f>
        <v>0</v>
      </c>
      <c r="X93" s="47" t="b">
        <f>if(countifs('Shepparton, AUS'!Q:Q,$A93,'Shepparton, AUS'!$I:$I,TRUE),TRUE,FALSE)</f>
        <v>0</v>
      </c>
      <c r="Y93" s="47" t="b">
        <f>if(countifs('Hoofddorp, NL'!Q:Q,$A93,'Hoofddorp, NL'!$I:$I,TRUE),TRUE,FALSE)</f>
        <v>0</v>
      </c>
      <c r="Z93" s="47" t="b">
        <f>if(countifs('Bedford, UK'!Q:Q,$A93,'Bedford, UK'!$I:$I,TRUE),TRUE,FALSE)</f>
        <v>0</v>
      </c>
      <c r="AA93" s="47" t="b">
        <f>IF(COUNTIFS('Desert Lodge, USA'!Q:Q,$A93,'Desert Lodge, USA'!I:I,TRUE),TRUE,FALSE)</f>
        <v>0</v>
      </c>
      <c r="AB93" s="47" t="b">
        <f>if(countifs('Dapto, AUS'!Q:Q,$A93,'Dapto, AUS'!$I:$I,TRUE),TRUE,FALSE)</f>
        <v>0</v>
      </c>
      <c r="AC93" s="47" t="b">
        <f>if(countifs('New Westminster, CAN'!Q:Q,$A93,'New Westminster, CAN'!$I:$I,TRUE),TRUE,FALSE)</f>
        <v>0</v>
      </c>
      <c r="AD93" s="47" t="b">
        <f>if(countifs('Georgetown, CAN'!Q:Q,$A93,'Georgetown, CAN'!$I:$I,TRUE),TRUE,FALSE)</f>
        <v>0</v>
      </c>
      <c r="AE93" s="47" t="b">
        <f>if(countifs('Kingswood, UK'!Q:Q,$A93,'Kingswood, UK'!$I:$I,TRUE),TRUE,FALSE)</f>
        <v>0</v>
      </c>
      <c r="AF93" s="47" t="b">
        <f>if(countifs('Hagerstown, USA'!Q:Q,$A93,'Hagerstown, USA'!$I:$I,TRUE),TRUE,FALSE)</f>
        <v>0</v>
      </c>
      <c r="AG93" s="47" t="b">
        <f>if(countifs('Felsogalla, HU'!Q:Q,$A93,'Felsogalla, HU'!$I:$I,TRUE),TRUE,FALSE)</f>
        <v>0</v>
      </c>
      <c r="AH93" s="47" t="b">
        <f>if(countifs('Norlane, AUS'!Q:Q,$A93,'Norlane, AUS'!$I:$I,TRUE),TRUE,FALSE)</f>
        <v>0</v>
      </c>
      <c r="AI93" s="47" t="b">
        <f>if(countifs('Meitingen, GER'!Q:Q,$A93,'Meitingen, GER'!$I:$I,TRUE),TRUE,FALSE)</f>
        <v>0</v>
      </c>
      <c r="AJ93" s="47" t="b">
        <f>if(countifs('Groningen, NL'!Q:Q,$A93,'Groningen, NL'!$I:$I,TRUE),TRUE,FALSE)</f>
        <v>0</v>
      </c>
      <c r="AK93" s="47" t="b">
        <f>if(countifs('Linköping, SW'!Q:Q,$A93,'Linköping, SW'!$I:$I,TRUE),TRUE,FALSE)</f>
        <v>0</v>
      </c>
      <c r="AL93" s="47" t="b">
        <f>if(countifs('Austin, USA'!Q:Q,$A93,'Austin, USA'!$I:$I,TRUE),TRUE,FALSE)</f>
        <v>0</v>
      </c>
      <c r="AM93" s="47" t="b">
        <f>if(countifs('Thringstone, UK'!Q:Q,$A93,'Thringstone, UK'!$I:$I,TRUE),TRUE,FALSE)</f>
        <v>0</v>
      </c>
      <c r="AN93" s="47" t="b">
        <f>if(countifs('Andover, UK'!Q:Q,$A93,'Andover, UK'!$I:$I,TRUE),TRUE,FALSE)</f>
        <v>0</v>
      </c>
      <c r="AO93" s="47" t="b">
        <f>if(countifs('Ospel, NL'!Q:Q,$A93,'Ospel, NL'!$I:$I,TRUE),TRUE,FALSE)</f>
        <v>0</v>
      </c>
      <c r="AP93" s="47" t="b">
        <f>if(countifs('Wonthaggi, AUS'!Q:Q,$A93,'Wonthaggi, AUS'!$I:$I,TRUE),TRUE,FALSE)</f>
        <v>0</v>
      </c>
      <c r="AQ93" s="47" t="b">
        <f>if(countifs('Falling_Waters, USA'!$Q:$Q,$A93,'Falling_Waters, USA'!$I:$I,TRUE),TRUE,FALSE)</f>
        <v>0</v>
      </c>
      <c r="AR93" s="47" t="b">
        <f>if(countifs('Kelmscott, AUS'!Q:Q,$A93,'Kelmscott, AUS'!$I:$I,TRUE),TRUE,FALSE)</f>
        <v>0</v>
      </c>
    </row>
    <row r="94">
      <c r="A94" s="47" t="str">
        <f>IFERROR(__xludf.DUMMYFUNCTION("""COMPUTED_VALUE"""),"mihul")</f>
        <v>mihul</v>
      </c>
      <c r="B94" s="47">
        <f t="shared" si="1"/>
        <v>1</v>
      </c>
      <c r="C94" s="47" t="b">
        <v>0</v>
      </c>
      <c r="D94" s="47" t="b">
        <v>0</v>
      </c>
      <c r="E94" s="47" t="b">
        <v>0</v>
      </c>
      <c r="F94" s="47" t="b">
        <v>0</v>
      </c>
      <c r="G94" s="96"/>
      <c r="H94" s="96" t="b">
        <f>if(countifs('Berlin, GER'!Q:Q,A94,'Berlin, GER'!I:I,TRUE),TRUE,FALSE)</f>
        <v>0</v>
      </c>
      <c r="I94" s="96" t="b">
        <f>if(countifs('Escondido, USA'!Q:Q,A94,'Escondido, USA'!I:I,TRUE),TRUE,FALSE)</f>
        <v>0</v>
      </c>
      <c r="J94" s="96" t="b">
        <f>if(countifs('Onkaparinga_Hills, AUS'!Q:Q,A94,'Onkaparinga_Hills, AUS'!I:I,TRUE),TRUE,FALSE)</f>
        <v>0</v>
      </c>
      <c r="K94" s="96" t="b">
        <f>if(countifs('Perth, AUS'!Q:Q,A94,'Perth, AUS'!I:I,TRUE),TRUE,FALSE)</f>
        <v>0</v>
      </c>
      <c r="L94" s="96" t="b">
        <f>if(countifs('Raleigh, USA'!Q:Q,A94,'Raleigh, USA'!I:I,TRUE),TRUE,FALSE)</f>
        <v>0</v>
      </c>
      <c r="M94" s="96" t="b">
        <f>if(countifs('Browns Plains, AUS'!Q:Q,A94,'Browns Plains, AUS'!I:I,TRUE),TRUE,FALSE)</f>
        <v>0</v>
      </c>
      <c r="N94" s="96" t="b">
        <f>if(countifs('Brossard, CAN'!Q:Q,A94,'Brossard, CAN'!I:I,TRUE),TRUE,FALSE)</f>
        <v>0</v>
      </c>
      <c r="O94" s="96" t="b">
        <f>if(countifs('Gouda, NL'!Q:Q,$A94,'Gouda, NL'!$I:$I,TRUE),TRUE,FALSE)</f>
        <v>0</v>
      </c>
      <c r="P94" s="47" t="b">
        <f>if(countifs('Plympton, UK'!Q:Q,$A94,'Plympton, UK'!$I:$I,TRUE),TRUE,FALSE)</f>
        <v>0</v>
      </c>
      <c r="Q94" s="47" t="b">
        <f>if(countifs('Glen Oaks, USA'!Q:Q,$A94,'Glen Oaks, USA'!$I:$I,TRUE),TRUE,FALSE)</f>
        <v>1</v>
      </c>
      <c r="R94" s="47" t="b">
        <f>if(countifs('Chemnitz, GER'!Q:Q,$A94,'Chemnitz, GER'!I:I,TRUE),TRUE,FALSE)</f>
        <v>0</v>
      </c>
      <c r="S94" s="47" t="b">
        <f>if(countifs('Vosselaar, BE'!Q:Q,$A94,'Vosselaar, BE'!$I:$I,TRUE),TRUE,FALSE)</f>
        <v>0</v>
      </c>
      <c r="T94" s="47" t="b">
        <f>if(countifs('MHQ, USA'!Q:Q,$A94,'MHQ, USA'!$I:$I,TRUE),TRUE,FALSE)</f>
        <v>0</v>
      </c>
      <c r="U94" s="47" t="b">
        <f>if(countifs('Morayfield, AUS'!Q:Q,$A94,'Morayfield, AUS'!$I:$I,TRUE),TRUE,FALSE)</f>
        <v>0</v>
      </c>
      <c r="V94" s="11" t="b">
        <f>if(countifs('Arnhem, NL'!Q:Q,$A94,'Arnhem, NL'!$I:$I,TRUE),TRUE,FALSE)</f>
        <v>0</v>
      </c>
      <c r="W94" s="47" t="b">
        <f>if(countifs('Gotenborg, SW'!Q:Q,$A94,'Gotenborg, SW'!$I:$I,TRUE),TRUE,FALSE)</f>
        <v>0</v>
      </c>
      <c r="X94" s="47" t="b">
        <f>if(countifs('Shepparton, AUS'!Q:Q,$A94,'Shepparton, AUS'!$I:$I,TRUE),TRUE,FALSE)</f>
        <v>0</v>
      </c>
      <c r="Y94" s="47" t="b">
        <f>if(countifs('Hoofddorp, NL'!Q:Q,$A94,'Hoofddorp, NL'!$I:$I,TRUE),TRUE,FALSE)</f>
        <v>0</v>
      </c>
      <c r="Z94" s="47" t="b">
        <f>if(countifs('Bedford, UK'!Q:Q,$A94,'Bedford, UK'!$I:$I,TRUE),TRUE,FALSE)</f>
        <v>0</v>
      </c>
      <c r="AA94" s="47" t="b">
        <f>IF(COUNTIFS('Desert Lodge, USA'!Q:Q,$A94,'Desert Lodge, USA'!I:I,TRUE),TRUE,FALSE)</f>
        <v>0</v>
      </c>
      <c r="AB94" s="47" t="b">
        <f>if(countifs('Dapto, AUS'!Q:Q,$A94,'Dapto, AUS'!$I:$I,TRUE),TRUE,FALSE)</f>
        <v>0</v>
      </c>
      <c r="AC94" s="47" t="b">
        <f>if(countifs('New Westminster, CAN'!Q:Q,$A94,'New Westminster, CAN'!$I:$I,TRUE),TRUE,FALSE)</f>
        <v>0</v>
      </c>
      <c r="AD94" s="47" t="b">
        <f>if(countifs('Georgetown, CAN'!Q:Q,$A94,'Georgetown, CAN'!$I:$I,TRUE),TRUE,FALSE)</f>
        <v>0</v>
      </c>
      <c r="AE94" s="47" t="b">
        <f>if(countifs('Kingswood, UK'!Q:Q,$A94,'Kingswood, UK'!$I:$I,TRUE),TRUE,FALSE)</f>
        <v>0</v>
      </c>
      <c r="AF94" s="47" t="b">
        <f>if(countifs('Hagerstown, USA'!Q:Q,$A94,'Hagerstown, USA'!$I:$I,TRUE),TRUE,FALSE)</f>
        <v>0</v>
      </c>
      <c r="AG94" s="47" t="b">
        <f>if(countifs('Felsogalla, HU'!Q:Q,$A94,'Felsogalla, HU'!$I:$I,TRUE),TRUE,FALSE)</f>
        <v>0</v>
      </c>
      <c r="AH94" s="47" t="b">
        <f>if(countifs('Norlane, AUS'!Q:Q,$A94,'Norlane, AUS'!$I:$I,TRUE),TRUE,FALSE)</f>
        <v>0</v>
      </c>
      <c r="AI94" s="47" t="b">
        <f>if(countifs('Meitingen, GER'!Q:Q,$A94,'Meitingen, GER'!$I:$I,TRUE),TRUE,FALSE)</f>
        <v>0</v>
      </c>
      <c r="AJ94" s="47" t="b">
        <f>if(countifs('Groningen, NL'!Q:Q,$A94,'Groningen, NL'!$I:$I,TRUE),TRUE,FALSE)</f>
        <v>0</v>
      </c>
      <c r="AK94" s="47" t="b">
        <f>if(countifs('Linköping, SW'!Q:Q,$A94,'Linköping, SW'!$I:$I,TRUE),TRUE,FALSE)</f>
        <v>0</v>
      </c>
      <c r="AL94" s="47" t="b">
        <f>if(countifs('Austin, USA'!Q:Q,$A94,'Austin, USA'!$I:$I,TRUE),TRUE,FALSE)</f>
        <v>0</v>
      </c>
      <c r="AM94" s="47" t="b">
        <f>if(countifs('Thringstone, UK'!Q:Q,$A94,'Thringstone, UK'!$I:$I,TRUE),TRUE,FALSE)</f>
        <v>0</v>
      </c>
      <c r="AN94" s="47" t="b">
        <f>if(countifs('Andover, UK'!Q:Q,$A94,'Andover, UK'!$I:$I,TRUE),TRUE,FALSE)</f>
        <v>0</v>
      </c>
      <c r="AO94" s="47" t="b">
        <f>if(countifs('Ospel, NL'!Q:Q,$A94,'Ospel, NL'!$I:$I,TRUE),TRUE,FALSE)</f>
        <v>0</v>
      </c>
      <c r="AP94" s="47" t="b">
        <f>if(countifs('Wonthaggi, AUS'!Q:Q,$A94,'Wonthaggi, AUS'!$I:$I,TRUE),TRUE,FALSE)</f>
        <v>0</v>
      </c>
      <c r="AQ94" s="47" t="b">
        <f>if(countifs('Falling_Waters, USA'!$Q:$Q,$A94,'Falling_Waters, USA'!$I:$I,TRUE),TRUE,FALSE)</f>
        <v>0</v>
      </c>
      <c r="AR94" s="47" t="b">
        <f>if(countifs('Kelmscott, AUS'!Q:Q,$A94,'Kelmscott, AUS'!$I:$I,TRUE),TRUE,FALSE)</f>
        <v>0</v>
      </c>
    </row>
    <row r="95">
      <c r="A95" s="47" t="str">
        <f>IFERROR(__xludf.DUMMYFUNCTION("""COMPUTED_VALUE"""),"Jawillia")</f>
        <v>Jawillia</v>
      </c>
      <c r="B95" s="47">
        <f t="shared" si="1"/>
        <v>1</v>
      </c>
      <c r="C95" s="47" t="b">
        <v>0</v>
      </c>
      <c r="D95" s="47" t="b">
        <v>0</v>
      </c>
      <c r="E95" s="47" t="b">
        <v>0</v>
      </c>
      <c r="F95" s="47" t="b">
        <v>0</v>
      </c>
      <c r="G95" s="96"/>
      <c r="H95" s="96" t="b">
        <f>if(countifs('Berlin, GER'!Q:Q,A95,'Berlin, GER'!I:I,TRUE),TRUE,FALSE)</f>
        <v>0</v>
      </c>
      <c r="I95" s="96" t="b">
        <f>if(countifs('Escondido, USA'!Q:Q,A95,'Escondido, USA'!I:I,TRUE),TRUE,FALSE)</f>
        <v>0</v>
      </c>
      <c r="J95" s="96" t="b">
        <f>if(countifs('Onkaparinga_Hills, AUS'!Q:Q,A95,'Onkaparinga_Hills, AUS'!I:I,TRUE),TRUE,FALSE)</f>
        <v>0</v>
      </c>
      <c r="K95" s="96" t="b">
        <f>if(countifs('Perth, AUS'!Q:Q,A95,'Perth, AUS'!I:I,TRUE),TRUE,FALSE)</f>
        <v>0</v>
      </c>
      <c r="L95" s="96" t="b">
        <f>if(countifs('Raleigh, USA'!Q:Q,A95,'Raleigh, USA'!I:I,TRUE),TRUE,FALSE)</f>
        <v>0</v>
      </c>
      <c r="M95" s="96" t="b">
        <f>if(countifs('Browns Plains, AUS'!Q:Q,A95,'Browns Plains, AUS'!I:I,TRUE),TRUE,FALSE)</f>
        <v>0</v>
      </c>
      <c r="N95" s="96" t="b">
        <f>if(countifs('Brossard, CAN'!Q:Q,A95,'Brossard, CAN'!I:I,TRUE),TRUE,FALSE)</f>
        <v>0</v>
      </c>
      <c r="O95" s="96" t="b">
        <f>if(countifs('Gouda, NL'!Q:Q,$A95,'Gouda, NL'!$I:$I,TRUE),TRUE,FALSE)</f>
        <v>0</v>
      </c>
      <c r="P95" s="47" t="b">
        <f>if(countifs('Plympton, UK'!Q:Q,$A95,'Plympton, UK'!$I:$I,TRUE),TRUE,FALSE)</f>
        <v>0</v>
      </c>
      <c r="Q95" s="47" t="b">
        <f>if(countifs('Glen Oaks, USA'!Q:Q,$A95,'Glen Oaks, USA'!$I:$I,TRUE),TRUE,FALSE)</f>
        <v>1</v>
      </c>
      <c r="R95" s="47" t="b">
        <f>if(countifs('Chemnitz, GER'!Q:Q,$A95,'Chemnitz, GER'!I:I,TRUE),TRUE,FALSE)</f>
        <v>0</v>
      </c>
      <c r="S95" s="47" t="b">
        <f>if(countifs('Vosselaar, BE'!Q:Q,$A95,'Vosselaar, BE'!$I:$I,TRUE),TRUE,FALSE)</f>
        <v>0</v>
      </c>
      <c r="T95" s="47" t="b">
        <f>if(countifs('MHQ, USA'!Q:Q,$A95,'MHQ, USA'!$I:$I,TRUE),TRUE,FALSE)</f>
        <v>0</v>
      </c>
      <c r="U95" s="47" t="b">
        <f>if(countifs('Morayfield, AUS'!Q:Q,$A95,'Morayfield, AUS'!$I:$I,TRUE),TRUE,FALSE)</f>
        <v>0</v>
      </c>
      <c r="V95" s="11" t="b">
        <f>if(countifs('Arnhem, NL'!Q:Q,$A95,'Arnhem, NL'!$I:$I,TRUE),TRUE,FALSE)</f>
        <v>0</v>
      </c>
      <c r="W95" s="47" t="b">
        <f>if(countifs('Gotenborg, SW'!Q:Q,$A95,'Gotenborg, SW'!$I:$I,TRUE),TRUE,FALSE)</f>
        <v>0</v>
      </c>
      <c r="X95" s="47" t="b">
        <f>if(countifs('Shepparton, AUS'!Q:Q,$A95,'Shepparton, AUS'!$I:$I,TRUE),TRUE,FALSE)</f>
        <v>0</v>
      </c>
      <c r="Y95" s="47" t="b">
        <f>if(countifs('Hoofddorp, NL'!Q:Q,$A95,'Hoofddorp, NL'!$I:$I,TRUE),TRUE,FALSE)</f>
        <v>0</v>
      </c>
      <c r="Z95" s="47" t="b">
        <f>if(countifs('Bedford, UK'!Q:Q,$A95,'Bedford, UK'!$I:$I,TRUE),TRUE,FALSE)</f>
        <v>0</v>
      </c>
      <c r="AA95" s="47" t="b">
        <f>IF(COUNTIFS('Desert Lodge, USA'!Q:Q,$A95,'Desert Lodge, USA'!I:I,TRUE),TRUE,FALSE)</f>
        <v>0</v>
      </c>
      <c r="AB95" s="47" t="b">
        <f>if(countifs('Dapto, AUS'!Q:Q,$A95,'Dapto, AUS'!$I:$I,TRUE),TRUE,FALSE)</f>
        <v>0</v>
      </c>
      <c r="AC95" s="47" t="b">
        <f>if(countifs('New Westminster, CAN'!Q:Q,$A95,'New Westminster, CAN'!$I:$I,TRUE),TRUE,FALSE)</f>
        <v>0</v>
      </c>
      <c r="AD95" s="47" t="b">
        <f>if(countifs('Georgetown, CAN'!Q:Q,$A95,'Georgetown, CAN'!$I:$I,TRUE),TRUE,FALSE)</f>
        <v>0</v>
      </c>
      <c r="AE95" s="47" t="b">
        <f>if(countifs('Kingswood, UK'!Q:Q,$A95,'Kingswood, UK'!$I:$I,TRUE),TRUE,FALSE)</f>
        <v>0</v>
      </c>
      <c r="AF95" s="47" t="b">
        <f>if(countifs('Hagerstown, USA'!Q:Q,$A95,'Hagerstown, USA'!$I:$I,TRUE),TRUE,FALSE)</f>
        <v>0</v>
      </c>
      <c r="AG95" s="47" t="b">
        <f>if(countifs('Felsogalla, HU'!Q:Q,$A95,'Felsogalla, HU'!$I:$I,TRUE),TRUE,FALSE)</f>
        <v>0</v>
      </c>
      <c r="AH95" s="47" t="b">
        <f>if(countifs('Norlane, AUS'!Q:Q,$A95,'Norlane, AUS'!$I:$I,TRUE),TRUE,FALSE)</f>
        <v>0</v>
      </c>
      <c r="AI95" s="47" t="b">
        <f>if(countifs('Meitingen, GER'!Q:Q,$A95,'Meitingen, GER'!$I:$I,TRUE),TRUE,FALSE)</f>
        <v>0</v>
      </c>
      <c r="AJ95" s="47" t="b">
        <f>if(countifs('Groningen, NL'!Q:Q,$A95,'Groningen, NL'!$I:$I,TRUE),TRUE,FALSE)</f>
        <v>0</v>
      </c>
      <c r="AK95" s="47" t="b">
        <f>if(countifs('Linköping, SW'!Q:Q,$A95,'Linköping, SW'!$I:$I,TRUE),TRUE,FALSE)</f>
        <v>0</v>
      </c>
      <c r="AL95" s="47" t="b">
        <f>if(countifs('Austin, USA'!Q:Q,$A95,'Austin, USA'!$I:$I,TRUE),TRUE,FALSE)</f>
        <v>0</v>
      </c>
      <c r="AM95" s="47" t="b">
        <f>if(countifs('Thringstone, UK'!Q:Q,$A95,'Thringstone, UK'!$I:$I,TRUE),TRUE,FALSE)</f>
        <v>0</v>
      </c>
      <c r="AN95" s="47" t="b">
        <f>if(countifs('Andover, UK'!Q:Q,$A95,'Andover, UK'!$I:$I,TRUE),TRUE,FALSE)</f>
        <v>0</v>
      </c>
      <c r="AO95" s="47" t="b">
        <f>if(countifs('Ospel, NL'!Q:Q,$A95,'Ospel, NL'!$I:$I,TRUE),TRUE,FALSE)</f>
        <v>0</v>
      </c>
      <c r="AP95" s="47" t="b">
        <f>if(countifs('Wonthaggi, AUS'!Q:Q,$A95,'Wonthaggi, AUS'!$I:$I,TRUE),TRUE,FALSE)</f>
        <v>0</v>
      </c>
      <c r="AQ95" s="47" t="b">
        <f>if(countifs('Falling_Waters, USA'!$Q:$Q,$A95,'Falling_Waters, USA'!$I:$I,TRUE),TRUE,FALSE)</f>
        <v>0</v>
      </c>
      <c r="AR95" s="47" t="b">
        <f>if(countifs('Kelmscott, AUS'!Q:Q,$A95,'Kelmscott, AUS'!$I:$I,TRUE),TRUE,FALSE)</f>
        <v>0</v>
      </c>
    </row>
    <row r="96">
      <c r="A96" s="47" t="str">
        <f>IFERROR(__xludf.DUMMYFUNCTION("""COMPUTED_VALUE"""),"PennyCat")</f>
        <v>PennyCat</v>
      </c>
      <c r="B96" s="47">
        <f t="shared" si="1"/>
        <v>1</v>
      </c>
      <c r="C96" s="47" t="b">
        <v>0</v>
      </c>
      <c r="D96" s="47" t="b">
        <v>0</v>
      </c>
      <c r="E96" s="47" t="b">
        <v>0</v>
      </c>
      <c r="F96" s="47" t="b">
        <v>0</v>
      </c>
      <c r="G96" s="96"/>
      <c r="H96" s="96" t="b">
        <f>if(countifs('Berlin, GER'!Q:Q,A96,'Berlin, GER'!I:I,TRUE),TRUE,FALSE)</f>
        <v>0</v>
      </c>
      <c r="I96" s="96" t="b">
        <f>if(countifs('Escondido, USA'!Q:Q,A96,'Escondido, USA'!I:I,TRUE),TRUE,FALSE)</f>
        <v>0</v>
      </c>
      <c r="J96" s="96" t="b">
        <f>if(countifs('Onkaparinga_Hills, AUS'!Q:Q,A96,'Onkaparinga_Hills, AUS'!I:I,TRUE),TRUE,FALSE)</f>
        <v>0</v>
      </c>
      <c r="K96" s="96" t="b">
        <f>if(countifs('Perth, AUS'!Q:Q,A96,'Perth, AUS'!I:I,TRUE),TRUE,FALSE)</f>
        <v>0</v>
      </c>
      <c r="L96" s="96" t="b">
        <f>if(countifs('Raleigh, USA'!Q:Q,A96,'Raleigh, USA'!I:I,TRUE),TRUE,FALSE)</f>
        <v>0</v>
      </c>
      <c r="M96" s="96" t="b">
        <f>if(countifs('Browns Plains, AUS'!Q:Q,A96,'Browns Plains, AUS'!I:I,TRUE),TRUE,FALSE)</f>
        <v>0</v>
      </c>
      <c r="N96" s="96" t="b">
        <f>if(countifs('Brossard, CAN'!Q:Q,A96,'Brossard, CAN'!I:I,TRUE),TRUE,FALSE)</f>
        <v>0</v>
      </c>
      <c r="O96" s="96" t="b">
        <f>if(countifs('Gouda, NL'!Q:Q,$A96,'Gouda, NL'!$I:$I,TRUE),TRUE,FALSE)</f>
        <v>0</v>
      </c>
      <c r="P96" s="47" t="b">
        <f>if(countifs('Plympton, UK'!Q:Q,$A96,'Plympton, UK'!$I:$I,TRUE),TRUE,FALSE)</f>
        <v>0</v>
      </c>
      <c r="Q96" s="47" t="b">
        <f>if(countifs('Glen Oaks, USA'!Q:Q,$A96,'Glen Oaks, USA'!$I:$I,TRUE),TRUE,FALSE)</f>
        <v>1</v>
      </c>
      <c r="R96" s="47" t="b">
        <f>if(countifs('Chemnitz, GER'!Q:Q,$A96,'Chemnitz, GER'!I:I,TRUE),TRUE,FALSE)</f>
        <v>0</v>
      </c>
      <c r="S96" s="47" t="b">
        <f>if(countifs('Vosselaar, BE'!Q:Q,$A96,'Vosselaar, BE'!$I:$I,TRUE),TRUE,FALSE)</f>
        <v>0</v>
      </c>
      <c r="T96" s="47" t="b">
        <f>if(countifs('MHQ, USA'!Q:Q,$A96,'MHQ, USA'!$I:$I,TRUE),TRUE,FALSE)</f>
        <v>0</v>
      </c>
      <c r="U96" s="47" t="b">
        <f>if(countifs('Morayfield, AUS'!Q:Q,$A96,'Morayfield, AUS'!$I:$I,TRUE),TRUE,FALSE)</f>
        <v>0</v>
      </c>
      <c r="V96" s="11" t="b">
        <f>if(countifs('Arnhem, NL'!Q:Q,$A96,'Arnhem, NL'!$I:$I,TRUE),TRUE,FALSE)</f>
        <v>0</v>
      </c>
      <c r="W96" s="47" t="b">
        <f>if(countifs('Gotenborg, SW'!Q:Q,$A96,'Gotenborg, SW'!$I:$I,TRUE),TRUE,FALSE)</f>
        <v>0</v>
      </c>
      <c r="X96" s="47" t="b">
        <f>if(countifs('Shepparton, AUS'!Q:Q,$A96,'Shepparton, AUS'!$I:$I,TRUE),TRUE,FALSE)</f>
        <v>0</v>
      </c>
      <c r="Y96" s="47" t="b">
        <f>if(countifs('Hoofddorp, NL'!Q:Q,$A96,'Hoofddorp, NL'!$I:$I,TRUE),TRUE,FALSE)</f>
        <v>0</v>
      </c>
      <c r="Z96" s="47" t="b">
        <f>if(countifs('Bedford, UK'!Q:Q,$A96,'Bedford, UK'!$I:$I,TRUE),TRUE,FALSE)</f>
        <v>0</v>
      </c>
      <c r="AA96" s="47" t="b">
        <f>IF(COUNTIFS('Desert Lodge, USA'!Q:Q,$A96,'Desert Lodge, USA'!I:I,TRUE),TRUE,FALSE)</f>
        <v>0</v>
      </c>
      <c r="AB96" s="47" t="b">
        <f>if(countifs('Dapto, AUS'!Q:Q,$A96,'Dapto, AUS'!$I:$I,TRUE),TRUE,FALSE)</f>
        <v>0</v>
      </c>
      <c r="AC96" s="47" t="b">
        <f>if(countifs('New Westminster, CAN'!Q:Q,$A96,'New Westminster, CAN'!$I:$I,TRUE),TRUE,FALSE)</f>
        <v>0</v>
      </c>
      <c r="AD96" s="47" t="b">
        <f>if(countifs('Georgetown, CAN'!Q:Q,$A96,'Georgetown, CAN'!$I:$I,TRUE),TRUE,FALSE)</f>
        <v>0</v>
      </c>
      <c r="AE96" s="47" t="b">
        <f>if(countifs('Kingswood, UK'!Q:Q,$A96,'Kingswood, UK'!$I:$I,TRUE),TRUE,FALSE)</f>
        <v>0</v>
      </c>
      <c r="AF96" s="47" t="b">
        <f>if(countifs('Hagerstown, USA'!Q:Q,$A96,'Hagerstown, USA'!$I:$I,TRUE),TRUE,FALSE)</f>
        <v>0</v>
      </c>
      <c r="AG96" s="47" t="b">
        <f>if(countifs('Felsogalla, HU'!Q:Q,$A96,'Felsogalla, HU'!$I:$I,TRUE),TRUE,FALSE)</f>
        <v>0</v>
      </c>
      <c r="AH96" s="47" t="b">
        <f>if(countifs('Norlane, AUS'!Q:Q,$A96,'Norlane, AUS'!$I:$I,TRUE),TRUE,FALSE)</f>
        <v>0</v>
      </c>
      <c r="AI96" s="47" t="b">
        <f>if(countifs('Meitingen, GER'!Q:Q,$A96,'Meitingen, GER'!$I:$I,TRUE),TRUE,FALSE)</f>
        <v>0</v>
      </c>
      <c r="AJ96" s="47" t="b">
        <f>if(countifs('Groningen, NL'!Q:Q,$A96,'Groningen, NL'!$I:$I,TRUE),TRUE,FALSE)</f>
        <v>0</v>
      </c>
      <c r="AK96" s="47" t="b">
        <f>if(countifs('Linköping, SW'!Q:Q,$A96,'Linköping, SW'!$I:$I,TRUE),TRUE,FALSE)</f>
        <v>0</v>
      </c>
      <c r="AL96" s="47" t="b">
        <f>if(countifs('Austin, USA'!Q:Q,$A96,'Austin, USA'!$I:$I,TRUE),TRUE,FALSE)</f>
        <v>0</v>
      </c>
      <c r="AM96" s="47" t="b">
        <f>if(countifs('Thringstone, UK'!Q:Q,$A96,'Thringstone, UK'!$I:$I,TRUE),TRUE,FALSE)</f>
        <v>0</v>
      </c>
      <c r="AN96" s="47" t="b">
        <f>if(countifs('Andover, UK'!Q:Q,$A96,'Andover, UK'!$I:$I,TRUE),TRUE,FALSE)</f>
        <v>0</v>
      </c>
      <c r="AO96" s="47" t="b">
        <f>if(countifs('Ospel, NL'!Q:Q,$A96,'Ospel, NL'!$I:$I,TRUE),TRUE,FALSE)</f>
        <v>0</v>
      </c>
      <c r="AP96" s="47" t="b">
        <f>if(countifs('Wonthaggi, AUS'!Q:Q,$A96,'Wonthaggi, AUS'!$I:$I,TRUE),TRUE,FALSE)</f>
        <v>0</v>
      </c>
      <c r="AQ96" s="47" t="b">
        <f>if(countifs('Falling_Waters, USA'!$Q:$Q,$A96,'Falling_Waters, USA'!$I:$I,TRUE),TRUE,FALSE)</f>
        <v>0</v>
      </c>
      <c r="AR96" s="47" t="b">
        <f>if(countifs('Kelmscott, AUS'!Q:Q,$A96,'Kelmscott, AUS'!$I:$I,TRUE),TRUE,FALSE)</f>
        <v>0</v>
      </c>
    </row>
    <row r="97">
      <c r="A97" s="47" t="str">
        <f>IFERROR(__xludf.DUMMYFUNCTION("""COMPUTED_VALUE"""),"denali0407")</f>
        <v>denali0407</v>
      </c>
      <c r="B97" s="47">
        <f t="shared" si="1"/>
        <v>4</v>
      </c>
      <c r="C97" s="47" t="b">
        <v>0</v>
      </c>
      <c r="D97" s="47" t="b">
        <v>0</v>
      </c>
      <c r="E97" s="47" t="b">
        <v>0</v>
      </c>
      <c r="F97" s="47" t="b">
        <v>0</v>
      </c>
      <c r="G97" s="96"/>
      <c r="H97" s="96" t="b">
        <f>if(countifs('Berlin, GER'!Q:Q,A97,'Berlin, GER'!I:I,TRUE),TRUE,FALSE)</f>
        <v>0</v>
      </c>
      <c r="I97" s="96" t="b">
        <f>if(countifs('Escondido, USA'!Q:Q,A97,'Escondido, USA'!I:I,TRUE),TRUE,FALSE)</f>
        <v>0</v>
      </c>
      <c r="J97" s="96" t="b">
        <f>if(countifs('Onkaparinga_Hills, AUS'!Q:Q,A97,'Onkaparinga_Hills, AUS'!I:I,TRUE),TRUE,FALSE)</f>
        <v>0</v>
      </c>
      <c r="K97" s="96" t="b">
        <f>if(countifs('Perth, AUS'!Q:Q,A97,'Perth, AUS'!I:I,TRUE),TRUE,FALSE)</f>
        <v>0</v>
      </c>
      <c r="L97" s="96" t="b">
        <f>if(countifs('Raleigh, USA'!Q:Q,A97,'Raleigh, USA'!I:I,TRUE),TRUE,FALSE)</f>
        <v>0</v>
      </c>
      <c r="M97" s="96" t="b">
        <f>if(countifs('Browns Plains, AUS'!Q:Q,A97,'Browns Plains, AUS'!I:I,TRUE),TRUE,FALSE)</f>
        <v>0</v>
      </c>
      <c r="N97" s="96" t="b">
        <f>if(countifs('Brossard, CAN'!Q:Q,A97,'Brossard, CAN'!I:I,TRUE),TRUE,FALSE)</f>
        <v>0</v>
      </c>
      <c r="O97" s="96" t="b">
        <f>if(countifs('Gouda, NL'!Q:Q,$A97,'Gouda, NL'!$I:$I,TRUE),TRUE,FALSE)</f>
        <v>0</v>
      </c>
      <c r="P97" s="47" t="b">
        <f>if(countifs('Plympton, UK'!Q:Q,$A97,'Plympton, UK'!$I:$I,TRUE),TRUE,FALSE)</f>
        <v>0</v>
      </c>
      <c r="Q97" s="47" t="b">
        <f>if(countifs('Glen Oaks, USA'!Q:Q,$A97,'Glen Oaks, USA'!$I:$I,TRUE),TRUE,FALSE)</f>
        <v>0</v>
      </c>
      <c r="R97" s="47" t="b">
        <f>if(countifs('Chemnitz, GER'!Q:Q,$A97,'Chemnitz, GER'!I:I,TRUE),TRUE,FALSE)</f>
        <v>1</v>
      </c>
      <c r="S97" s="47" t="b">
        <f>if(countifs('Vosselaar, BE'!Q:Q,$A97,'Vosselaar, BE'!$I:$I,TRUE),TRUE,FALSE)</f>
        <v>1</v>
      </c>
      <c r="T97" s="47" t="b">
        <f>if(countifs('MHQ, USA'!Q:Q,$A97,'MHQ, USA'!$I:$I,TRUE),TRUE,FALSE)</f>
        <v>1</v>
      </c>
      <c r="U97" s="47" t="b">
        <f>if(countifs('Morayfield, AUS'!Q:Q,$A97,'Morayfield, AUS'!$I:$I,TRUE),TRUE,FALSE)</f>
        <v>0</v>
      </c>
      <c r="V97" s="11" t="b">
        <f>if(countifs('Arnhem, NL'!Q:Q,$A97,'Arnhem, NL'!$I:$I,TRUE),TRUE,FALSE)</f>
        <v>1</v>
      </c>
      <c r="W97" s="47" t="b">
        <f>if(countifs('Gotenborg, SW'!Q:Q,$A97,'Gotenborg, SW'!$I:$I,TRUE),TRUE,FALSE)</f>
        <v>0</v>
      </c>
      <c r="X97" s="47" t="b">
        <f>if(countifs('Shepparton, AUS'!Q:Q,$A97,'Shepparton, AUS'!$I:$I,TRUE),TRUE,FALSE)</f>
        <v>0</v>
      </c>
      <c r="Y97" s="47" t="b">
        <f>if(countifs('Hoofddorp, NL'!Q:Q,$A97,'Hoofddorp, NL'!$I:$I,TRUE),TRUE,FALSE)</f>
        <v>0</v>
      </c>
      <c r="Z97" s="47" t="b">
        <f>if(countifs('Bedford, UK'!Q:Q,$A97,'Bedford, UK'!$I:$I,TRUE),TRUE,FALSE)</f>
        <v>0</v>
      </c>
      <c r="AA97" s="47" t="b">
        <f>IF(COUNTIFS('Desert Lodge, USA'!Q:Q,$A97,'Desert Lodge, USA'!I:I,TRUE),TRUE,FALSE)</f>
        <v>0</v>
      </c>
      <c r="AB97" s="47" t="b">
        <f>if(countifs('Dapto, AUS'!Q:Q,$A97,'Dapto, AUS'!$I:$I,TRUE),TRUE,FALSE)</f>
        <v>0</v>
      </c>
      <c r="AC97" s="47" t="b">
        <f>if(countifs('New Westminster, CAN'!Q:Q,$A97,'New Westminster, CAN'!$I:$I,TRUE),TRUE,FALSE)</f>
        <v>0</v>
      </c>
      <c r="AD97" s="47" t="b">
        <f>if(countifs('Georgetown, CAN'!Q:Q,$A97,'Georgetown, CAN'!$I:$I,TRUE),TRUE,FALSE)</f>
        <v>0</v>
      </c>
      <c r="AE97" s="47" t="b">
        <f>if(countifs('Kingswood, UK'!Q:Q,$A97,'Kingswood, UK'!$I:$I,TRUE),TRUE,FALSE)</f>
        <v>0</v>
      </c>
      <c r="AF97" s="47" t="b">
        <f>if(countifs('Hagerstown, USA'!Q:Q,$A97,'Hagerstown, USA'!$I:$I,TRUE),TRUE,FALSE)</f>
        <v>0</v>
      </c>
      <c r="AG97" s="47" t="b">
        <f>if(countifs('Felsogalla, HU'!Q:Q,$A97,'Felsogalla, HU'!$I:$I,TRUE),TRUE,FALSE)</f>
        <v>0</v>
      </c>
      <c r="AH97" s="47" t="b">
        <f>if(countifs('Norlane, AUS'!Q:Q,$A97,'Norlane, AUS'!$I:$I,TRUE),TRUE,FALSE)</f>
        <v>0</v>
      </c>
      <c r="AI97" s="47" t="b">
        <f>if(countifs('Meitingen, GER'!Q:Q,$A97,'Meitingen, GER'!$I:$I,TRUE),TRUE,FALSE)</f>
        <v>0</v>
      </c>
      <c r="AJ97" s="47" t="b">
        <f>if(countifs('Groningen, NL'!Q:Q,$A97,'Groningen, NL'!$I:$I,TRUE),TRUE,FALSE)</f>
        <v>0</v>
      </c>
      <c r="AK97" s="47" t="b">
        <f>if(countifs('Linköping, SW'!Q:Q,$A97,'Linköping, SW'!$I:$I,TRUE),TRUE,FALSE)</f>
        <v>0</v>
      </c>
      <c r="AL97" s="47" t="b">
        <f>if(countifs('Austin, USA'!Q:Q,$A97,'Austin, USA'!$I:$I,TRUE),TRUE,FALSE)</f>
        <v>0</v>
      </c>
      <c r="AM97" s="47" t="b">
        <f>if(countifs('Thringstone, UK'!Q:Q,$A97,'Thringstone, UK'!$I:$I,TRUE),TRUE,FALSE)</f>
        <v>0</v>
      </c>
      <c r="AN97" s="47" t="b">
        <f>if(countifs('Andover, UK'!Q:Q,$A97,'Andover, UK'!$I:$I,TRUE),TRUE,FALSE)</f>
        <v>0</v>
      </c>
      <c r="AO97" s="47" t="b">
        <f>if(countifs('Ospel, NL'!Q:Q,$A97,'Ospel, NL'!$I:$I,TRUE),TRUE,FALSE)</f>
        <v>0</v>
      </c>
      <c r="AP97" s="47" t="b">
        <f>if(countifs('Wonthaggi, AUS'!Q:Q,$A97,'Wonthaggi, AUS'!$I:$I,TRUE),TRUE,FALSE)</f>
        <v>0</v>
      </c>
      <c r="AQ97" s="47" t="b">
        <f>if(countifs('Falling_Waters, USA'!$Q:$Q,$A97,'Falling_Waters, USA'!$I:$I,TRUE),TRUE,FALSE)</f>
        <v>0</v>
      </c>
      <c r="AR97" s="47" t="b">
        <f>if(countifs('Kelmscott, AUS'!Q:Q,$A97,'Kelmscott, AUS'!$I:$I,TRUE),TRUE,FALSE)</f>
        <v>0</v>
      </c>
    </row>
    <row r="98">
      <c r="A98" s="47" t="str">
        <f>IFERROR(__xludf.DUMMYFUNCTION("""COMPUTED_VALUE"""),"Krauseengineer")</f>
        <v>Krauseengineer</v>
      </c>
      <c r="B98" s="47">
        <f t="shared" si="1"/>
        <v>4</v>
      </c>
      <c r="C98" s="47" t="b">
        <v>0</v>
      </c>
      <c r="D98" s="47" t="b">
        <v>0</v>
      </c>
      <c r="E98" s="47" t="b">
        <v>0</v>
      </c>
      <c r="F98" s="47" t="b">
        <v>0</v>
      </c>
      <c r="G98" s="96"/>
      <c r="H98" s="96" t="b">
        <f>if(countifs('Berlin, GER'!Q:Q,A98,'Berlin, GER'!I:I,TRUE),TRUE,FALSE)</f>
        <v>0</v>
      </c>
      <c r="I98" s="96" t="b">
        <f>if(countifs('Escondido, USA'!Q:Q,A98,'Escondido, USA'!I:I,TRUE),TRUE,FALSE)</f>
        <v>0</v>
      </c>
      <c r="J98" s="96" t="b">
        <f>if(countifs('Onkaparinga_Hills, AUS'!Q:Q,A98,'Onkaparinga_Hills, AUS'!I:I,TRUE),TRUE,FALSE)</f>
        <v>0</v>
      </c>
      <c r="K98" s="96" t="b">
        <f>if(countifs('Perth, AUS'!Q:Q,A98,'Perth, AUS'!I:I,TRUE),TRUE,FALSE)</f>
        <v>0</v>
      </c>
      <c r="L98" s="96" t="b">
        <f>if(countifs('Raleigh, USA'!Q:Q,A98,'Raleigh, USA'!I:I,TRUE),TRUE,FALSE)</f>
        <v>0</v>
      </c>
      <c r="M98" s="96" t="b">
        <f>if(countifs('Browns Plains, AUS'!Q:Q,A98,'Browns Plains, AUS'!I:I,TRUE),TRUE,FALSE)</f>
        <v>0</v>
      </c>
      <c r="N98" s="96" t="b">
        <f>if(countifs('Brossard, CAN'!Q:Q,A98,'Brossard, CAN'!I:I,TRUE),TRUE,FALSE)</f>
        <v>0</v>
      </c>
      <c r="O98" s="96" t="b">
        <f>if(countifs('Gouda, NL'!Q:Q,$A98,'Gouda, NL'!$I:$I,TRUE),TRUE,FALSE)</f>
        <v>0</v>
      </c>
      <c r="P98" s="47" t="b">
        <f>if(countifs('Plympton, UK'!Q:Q,$A98,'Plympton, UK'!$I:$I,TRUE),TRUE,FALSE)</f>
        <v>0</v>
      </c>
      <c r="Q98" s="47" t="b">
        <f>if(countifs('Glen Oaks, USA'!Q:Q,$A98,'Glen Oaks, USA'!$I:$I,TRUE),TRUE,FALSE)</f>
        <v>0</v>
      </c>
      <c r="R98" s="47" t="b">
        <f>if(countifs('Chemnitz, GER'!Q:Q,$A98,'Chemnitz, GER'!I:I,TRUE),TRUE,FALSE)</f>
        <v>1</v>
      </c>
      <c r="S98" s="47" t="b">
        <f>if(countifs('Vosselaar, BE'!Q:Q,$A98,'Vosselaar, BE'!$I:$I,TRUE),TRUE,FALSE)</f>
        <v>1</v>
      </c>
      <c r="T98" s="47" t="b">
        <f>if(countifs('MHQ, USA'!Q:Q,$A98,'MHQ, USA'!$I:$I,TRUE),TRUE,FALSE)</f>
        <v>0</v>
      </c>
      <c r="U98" s="47" t="b">
        <f>if(countifs('Morayfield, AUS'!Q:Q,$A98,'Morayfield, AUS'!$I:$I,TRUE),TRUE,FALSE)</f>
        <v>0</v>
      </c>
      <c r="V98" s="11" t="b">
        <f>if(countifs('Arnhem, NL'!Q:Q,$A98,'Arnhem, NL'!$I:$I,TRUE),TRUE,FALSE)</f>
        <v>0</v>
      </c>
      <c r="W98" s="47" t="b">
        <f>if(countifs('Gotenborg, SW'!Q:Q,$A98,'Gotenborg, SW'!$I:$I,TRUE),TRUE,FALSE)</f>
        <v>0</v>
      </c>
      <c r="X98" s="47" t="b">
        <f>if(countifs('Shepparton, AUS'!Q:Q,$A98,'Shepparton, AUS'!$I:$I,TRUE),TRUE,FALSE)</f>
        <v>0</v>
      </c>
      <c r="Y98" s="47" t="b">
        <f>if(countifs('Hoofddorp, NL'!Q:Q,$A98,'Hoofddorp, NL'!$I:$I,TRUE),TRUE,FALSE)</f>
        <v>1</v>
      </c>
      <c r="Z98" s="47" t="b">
        <f>if(countifs('Bedford, UK'!Q:Q,$A98,'Bedford, UK'!$I:$I,TRUE),TRUE,FALSE)</f>
        <v>1</v>
      </c>
      <c r="AA98" s="47" t="b">
        <f>IF(COUNTIFS('Desert Lodge, USA'!Q:Q,$A98,'Desert Lodge, USA'!I:I,TRUE),TRUE,FALSE)</f>
        <v>0</v>
      </c>
      <c r="AB98" s="47" t="b">
        <f>if(countifs('Dapto, AUS'!Q:Q,$A98,'Dapto, AUS'!$I:$I,TRUE),TRUE,FALSE)</f>
        <v>0</v>
      </c>
      <c r="AC98" s="47" t="b">
        <f>if(countifs('New Westminster, CAN'!Q:Q,$A98,'New Westminster, CAN'!$I:$I,TRUE),TRUE,FALSE)</f>
        <v>0</v>
      </c>
      <c r="AD98" s="47" t="b">
        <f>if(countifs('Georgetown, CAN'!Q:Q,$A98,'Georgetown, CAN'!$I:$I,TRUE),TRUE,FALSE)</f>
        <v>0</v>
      </c>
      <c r="AE98" s="47" t="b">
        <f>if(countifs('Kingswood, UK'!Q:Q,$A98,'Kingswood, UK'!$I:$I,TRUE),TRUE,FALSE)</f>
        <v>0</v>
      </c>
      <c r="AF98" s="47" t="b">
        <f>if(countifs('Hagerstown, USA'!Q:Q,$A98,'Hagerstown, USA'!$I:$I,TRUE),TRUE,FALSE)</f>
        <v>0</v>
      </c>
      <c r="AG98" s="47" t="b">
        <f>if(countifs('Felsogalla, HU'!Q:Q,$A98,'Felsogalla, HU'!$I:$I,TRUE),TRUE,FALSE)</f>
        <v>0</v>
      </c>
      <c r="AH98" s="47" t="b">
        <f>if(countifs('Norlane, AUS'!Q:Q,$A98,'Norlane, AUS'!$I:$I,TRUE),TRUE,FALSE)</f>
        <v>0</v>
      </c>
      <c r="AI98" s="47" t="b">
        <f>if(countifs('Meitingen, GER'!Q:Q,$A98,'Meitingen, GER'!$I:$I,TRUE),TRUE,FALSE)</f>
        <v>0</v>
      </c>
      <c r="AJ98" s="47" t="b">
        <f>if(countifs('Groningen, NL'!Q:Q,$A98,'Groningen, NL'!$I:$I,TRUE),TRUE,FALSE)</f>
        <v>0</v>
      </c>
      <c r="AK98" s="47" t="b">
        <f>if(countifs('Linköping, SW'!Q:Q,$A98,'Linköping, SW'!$I:$I,TRUE),TRUE,FALSE)</f>
        <v>0</v>
      </c>
      <c r="AL98" s="47" t="b">
        <f>if(countifs('Austin, USA'!Q:Q,$A98,'Austin, USA'!$I:$I,TRUE),TRUE,FALSE)</f>
        <v>0</v>
      </c>
      <c r="AM98" s="47" t="b">
        <f>if(countifs('Thringstone, UK'!Q:Q,$A98,'Thringstone, UK'!$I:$I,TRUE),TRUE,FALSE)</f>
        <v>0</v>
      </c>
      <c r="AN98" s="47" t="b">
        <f>if(countifs('Andover, UK'!Q:Q,$A98,'Andover, UK'!$I:$I,TRUE),TRUE,FALSE)</f>
        <v>0</v>
      </c>
      <c r="AO98" s="47" t="b">
        <f>if(countifs('Ospel, NL'!Q:Q,$A98,'Ospel, NL'!$I:$I,TRUE),TRUE,FALSE)</f>
        <v>0</v>
      </c>
      <c r="AP98" s="47" t="b">
        <f>if(countifs('Wonthaggi, AUS'!Q:Q,$A98,'Wonthaggi, AUS'!$I:$I,TRUE),TRUE,FALSE)</f>
        <v>0</v>
      </c>
      <c r="AQ98" s="47" t="b">
        <f>if(countifs('Falling_Waters, USA'!$Q:$Q,$A98,'Falling_Waters, USA'!$I:$I,TRUE),TRUE,FALSE)</f>
        <v>0</v>
      </c>
      <c r="AR98" s="47" t="b">
        <f>if(countifs('Kelmscott, AUS'!Q:Q,$A98,'Kelmscott, AUS'!$I:$I,TRUE),TRUE,FALSE)</f>
        <v>0</v>
      </c>
    </row>
    <row r="99">
      <c r="A99" s="47" t="str">
        <f>IFERROR(__xludf.DUMMYFUNCTION("""COMPUTED_VALUE"""),"mding4gold")</f>
        <v>mding4gold</v>
      </c>
      <c r="B99" s="47">
        <f t="shared" si="1"/>
        <v>5</v>
      </c>
      <c r="C99" s="47" t="b">
        <v>0</v>
      </c>
      <c r="D99" s="47" t="b">
        <v>0</v>
      </c>
      <c r="E99" s="47" t="b">
        <v>0</v>
      </c>
      <c r="F99" s="47" t="b">
        <v>0</v>
      </c>
      <c r="G99" s="96"/>
      <c r="H99" s="96" t="b">
        <f>if(countifs('Berlin, GER'!Q:Q,A99,'Berlin, GER'!I:I,TRUE),TRUE,FALSE)</f>
        <v>0</v>
      </c>
      <c r="I99" s="96" t="b">
        <f>if(countifs('Escondido, USA'!Q:Q,A99,'Escondido, USA'!I:I,TRUE),TRUE,FALSE)</f>
        <v>0</v>
      </c>
      <c r="J99" s="96" t="b">
        <f>if(countifs('Onkaparinga_Hills, AUS'!Q:Q,A99,'Onkaparinga_Hills, AUS'!I:I,TRUE),TRUE,FALSE)</f>
        <v>0</v>
      </c>
      <c r="K99" s="96" t="b">
        <f>if(countifs('Perth, AUS'!Q:Q,A99,'Perth, AUS'!I:I,TRUE),TRUE,FALSE)</f>
        <v>0</v>
      </c>
      <c r="L99" s="96" t="b">
        <f>if(countifs('Raleigh, USA'!Q:Q,A99,'Raleigh, USA'!I:I,TRUE),TRUE,FALSE)</f>
        <v>0</v>
      </c>
      <c r="M99" s="96" t="b">
        <f>if(countifs('Browns Plains, AUS'!Q:Q,A99,'Browns Plains, AUS'!I:I,TRUE),TRUE,FALSE)</f>
        <v>0</v>
      </c>
      <c r="N99" s="96" t="b">
        <f>if(countifs('Brossard, CAN'!Q:Q,A99,'Brossard, CAN'!I:I,TRUE),TRUE,FALSE)</f>
        <v>0</v>
      </c>
      <c r="O99" s="96" t="b">
        <f>if(countifs('Gouda, NL'!Q:Q,$A99,'Gouda, NL'!$I:$I,TRUE),TRUE,FALSE)</f>
        <v>0</v>
      </c>
      <c r="P99" s="47" t="b">
        <f>if(countifs('Plympton, UK'!Q:Q,$A99,'Plympton, UK'!$I:$I,TRUE),TRUE,FALSE)</f>
        <v>0</v>
      </c>
      <c r="Q99" s="47" t="b">
        <f>if(countifs('Glen Oaks, USA'!Q:Q,$A99,'Glen Oaks, USA'!$I:$I,TRUE),TRUE,FALSE)</f>
        <v>0</v>
      </c>
      <c r="R99" s="47" t="b">
        <f>if(countifs('Chemnitz, GER'!Q:Q,$A99,'Chemnitz, GER'!I:I,TRUE),TRUE,FALSE)</f>
        <v>1</v>
      </c>
      <c r="S99" s="47" t="b">
        <f>if(countifs('Vosselaar, BE'!Q:Q,$A99,'Vosselaar, BE'!$I:$I,TRUE),TRUE,FALSE)</f>
        <v>0</v>
      </c>
      <c r="T99" s="47" t="b">
        <f>if(countifs('MHQ, USA'!Q:Q,$A99,'MHQ, USA'!$I:$I,TRUE),TRUE,FALSE)</f>
        <v>0</v>
      </c>
      <c r="U99" s="47" t="b">
        <f>if(countifs('Morayfield, AUS'!Q:Q,$A99,'Morayfield, AUS'!$I:$I,TRUE),TRUE,FALSE)</f>
        <v>1</v>
      </c>
      <c r="V99" s="11" t="b">
        <f>if(countifs('Arnhem, NL'!Q:Q,$A99,'Arnhem, NL'!$I:$I,TRUE),TRUE,FALSE)</f>
        <v>0</v>
      </c>
      <c r="W99" s="47" t="b">
        <f>if(countifs('Gotenborg, SW'!Q:Q,$A99,'Gotenborg, SW'!$I:$I,TRUE),TRUE,FALSE)</f>
        <v>1</v>
      </c>
      <c r="X99" s="47" t="b">
        <f>if(countifs('Shepparton, AUS'!Q:Q,$A99,'Shepparton, AUS'!$I:$I,TRUE),TRUE,FALSE)</f>
        <v>0</v>
      </c>
      <c r="Y99" s="47" t="b">
        <f>if(countifs('Hoofddorp, NL'!Q:Q,$A99,'Hoofddorp, NL'!$I:$I,TRUE),TRUE,FALSE)</f>
        <v>1</v>
      </c>
      <c r="Z99" s="47" t="b">
        <f>if(countifs('Bedford, UK'!Q:Q,$A99,'Bedford, UK'!$I:$I,TRUE),TRUE,FALSE)</f>
        <v>1</v>
      </c>
      <c r="AA99" s="47" t="b">
        <f>IF(COUNTIFS('Desert Lodge, USA'!Q:Q,$A99,'Desert Lodge, USA'!I:I,TRUE),TRUE,FALSE)</f>
        <v>0</v>
      </c>
      <c r="AB99" s="47" t="b">
        <f>if(countifs('Dapto, AUS'!Q:Q,$A99,'Dapto, AUS'!$I:$I,TRUE),TRUE,FALSE)</f>
        <v>0</v>
      </c>
      <c r="AC99" s="47" t="b">
        <f>if(countifs('New Westminster, CAN'!Q:Q,$A99,'New Westminster, CAN'!$I:$I,TRUE),TRUE,FALSE)</f>
        <v>0</v>
      </c>
      <c r="AD99" s="47" t="b">
        <f>if(countifs('Georgetown, CAN'!Q:Q,$A99,'Georgetown, CAN'!$I:$I,TRUE),TRUE,FALSE)</f>
        <v>0</v>
      </c>
      <c r="AE99" s="47" t="b">
        <f>if(countifs('Kingswood, UK'!Q:Q,$A99,'Kingswood, UK'!$I:$I,TRUE),TRUE,FALSE)</f>
        <v>0</v>
      </c>
      <c r="AF99" s="47" t="b">
        <f>if(countifs('Hagerstown, USA'!Q:Q,$A99,'Hagerstown, USA'!$I:$I,TRUE),TRUE,FALSE)</f>
        <v>0</v>
      </c>
      <c r="AG99" s="47" t="b">
        <f>if(countifs('Felsogalla, HU'!Q:Q,$A99,'Felsogalla, HU'!$I:$I,TRUE),TRUE,FALSE)</f>
        <v>0</v>
      </c>
      <c r="AH99" s="47" t="b">
        <f>if(countifs('Norlane, AUS'!Q:Q,$A99,'Norlane, AUS'!$I:$I,TRUE),TRUE,FALSE)</f>
        <v>0</v>
      </c>
      <c r="AI99" s="47" t="b">
        <f>if(countifs('Meitingen, GER'!Q:Q,$A99,'Meitingen, GER'!$I:$I,TRUE),TRUE,FALSE)</f>
        <v>0</v>
      </c>
      <c r="AJ99" s="47" t="b">
        <f>if(countifs('Groningen, NL'!Q:Q,$A99,'Groningen, NL'!$I:$I,TRUE),TRUE,FALSE)</f>
        <v>0</v>
      </c>
      <c r="AK99" s="47" t="b">
        <f>if(countifs('Linköping, SW'!Q:Q,$A99,'Linköping, SW'!$I:$I,TRUE),TRUE,FALSE)</f>
        <v>0</v>
      </c>
      <c r="AL99" s="47" t="b">
        <f>if(countifs('Austin, USA'!Q:Q,$A99,'Austin, USA'!$I:$I,TRUE),TRUE,FALSE)</f>
        <v>0</v>
      </c>
      <c r="AM99" s="47" t="b">
        <f>if(countifs('Thringstone, UK'!Q:Q,$A99,'Thringstone, UK'!$I:$I,TRUE),TRUE,FALSE)</f>
        <v>0</v>
      </c>
      <c r="AN99" s="47" t="b">
        <f>if(countifs('Andover, UK'!Q:Q,$A99,'Andover, UK'!$I:$I,TRUE),TRUE,FALSE)</f>
        <v>0</v>
      </c>
      <c r="AO99" s="47" t="b">
        <f>if(countifs('Ospel, NL'!Q:Q,$A99,'Ospel, NL'!$I:$I,TRUE),TRUE,FALSE)</f>
        <v>0</v>
      </c>
      <c r="AP99" s="47" t="b">
        <f>if(countifs('Wonthaggi, AUS'!Q:Q,$A99,'Wonthaggi, AUS'!$I:$I,TRUE),TRUE,FALSE)</f>
        <v>0</v>
      </c>
      <c r="AQ99" s="47" t="b">
        <f>if(countifs('Falling_Waters, USA'!$Q:$Q,$A99,'Falling_Waters, USA'!$I:$I,TRUE),TRUE,FALSE)</f>
        <v>0</v>
      </c>
      <c r="AR99" s="47" t="b">
        <f>if(countifs('Kelmscott, AUS'!Q:Q,$A99,'Kelmscott, AUS'!$I:$I,TRUE),TRUE,FALSE)</f>
        <v>0</v>
      </c>
    </row>
    <row r="100">
      <c r="A100" s="47" t="str">
        <f>IFERROR(__xludf.DUMMYFUNCTION("""COMPUTED_VALUE"""),"raftjen")</f>
        <v>raftjen</v>
      </c>
      <c r="B100" s="47">
        <f t="shared" si="1"/>
        <v>2</v>
      </c>
      <c r="C100" s="47" t="b">
        <v>0</v>
      </c>
      <c r="D100" s="47" t="b">
        <v>0</v>
      </c>
      <c r="E100" s="47" t="b">
        <v>0</v>
      </c>
      <c r="F100" s="47" t="b">
        <v>0</v>
      </c>
      <c r="G100" s="96"/>
      <c r="H100" s="96" t="b">
        <f>if(countifs('Berlin, GER'!Q:Q,A100,'Berlin, GER'!I:I,TRUE),TRUE,FALSE)</f>
        <v>0</v>
      </c>
      <c r="I100" s="96" t="b">
        <f>if(countifs('Escondido, USA'!Q:Q,A100,'Escondido, USA'!I:I,TRUE),TRUE,FALSE)</f>
        <v>0</v>
      </c>
      <c r="J100" s="96" t="b">
        <f>if(countifs('Onkaparinga_Hills, AUS'!Q:Q,A100,'Onkaparinga_Hills, AUS'!I:I,TRUE),TRUE,FALSE)</f>
        <v>0</v>
      </c>
      <c r="K100" s="96" t="b">
        <f>if(countifs('Perth, AUS'!Q:Q,A100,'Perth, AUS'!I:I,TRUE),TRUE,FALSE)</f>
        <v>0</v>
      </c>
      <c r="L100" s="96" t="b">
        <f>if(countifs('Raleigh, USA'!Q:Q,A100,'Raleigh, USA'!I:I,TRUE),TRUE,FALSE)</f>
        <v>0</v>
      </c>
      <c r="M100" s="96" t="b">
        <f>if(countifs('Browns Plains, AUS'!Q:Q,A100,'Browns Plains, AUS'!I:I,TRUE),TRUE,FALSE)</f>
        <v>0</v>
      </c>
      <c r="N100" s="96" t="b">
        <f>if(countifs('Brossard, CAN'!Q:Q,A100,'Brossard, CAN'!I:I,TRUE),TRUE,FALSE)</f>
        <v>0</v>
      </c>
      <c r="O100" s="96" t="b">
        <f>if(countifs('Gouda, NL'!Q:Q,$A100,'Gouda, NL'!$I:$I,TRUE),TRUE,FALSE)</f>
        <v>0</v>
      </c>
      <c r="P100" s="47" t="b">
        <f>if(countifs('Plympton, UK'!Q:Q,$A100,'Plympton, UK'!$I:$I,TRUE),TRUE,FALSE)</f>
        <v>0</v>
      </c>
      <c r="Q100" s="47" t="b">
        <f>if(countifs('Glen Oaks, USA'!Q:Q,$A100,'Glen Oaks, USA'!$I:$I,TRUE),TRUE,FALSE)</f>
        <v>0</v>
      </c>
      <c r="R100" s="47" t="b">
        <f>if(countifs('Chemnitz, GER'!Q:Q,$A100,'Chemnitz, GER'!I:I,TRUE),TRUE,FALSE)</f>
        <v>0</v>
      </c>
      <c r="S100" s="47" t="b">
        <f>if(countifs('Vosselaar, BE'!Q:Q,$A100,'Vosselaar, BE'!$I:$I,TRUE),TRUE,FALSE)</f>
        <v>1</v>
      </c>
      <c r="T100" s="47" t="b">
        <f>if(countifs('MHQ, USA'!Q:Q,$A100,'MHQ, USA'!$I:$I,TRUE),TRUE,FALSE)</f>
        <v>0</v>
      </c>
      <c r="U100" s="47" t="b">
        <f>if(countifs('Morayfield, AUS'!Q:Q,$A100,'Morayfield, AUS'!$I:$I,TRUE),TRUE,FALSE)</f>
        <v>0</v>
      </c>
      <c r="V100" s="11" t="b">
        <f>if(countifs('Arnhem, NL'!Q:Q,$A100,'Arnhem, NL'!$I:$I,TRUE),TRUE,FALSE)</f>
        <v>1</v>
      </c>
      <c r="W100" s="47" t="b">
        <f>if(countifs('Gotenborg, SW'!Q:Q,$A100,'Gotenborg, SW'!$I:$I,TRUE),TRUE,FALSE)</f>
        <v>0</v>
      </c>
      <c r="X100" s="47" t="b">
        <f>if(countifs('Shepparton, AUS'!Q:Q,$A100,'Shepparton, AUS'!$I:$I,TRUE),TRUE,FALSE)</f>
        <v>0</v>
      </c>
      <c r="Y100" s="47" t="b">
        <f>if(countifs('Hoofddorp, NL'!Q:Q,$A100,'Hoofddorp, NL'!$I:$I,TRUE),TRUE,FALSE)</f>
        <v>0</v>
      </c>
      <c r="Z100" s="47" t="b">
        <f>if(countifs('Bedford, UK'!Q:Q,$A100,'Bedford, UK'!$I:$I,TRUE),TRUE,FALSE)</f>
        <v>0</v>
      </c>
      <c r="AA100" s="47" t="b">
        <f>IF(COUNTIFS('Desert Lodge, USA'!Q:Q,$A100,'Desert Lodge, USA'!I:I,TRUE),TRUE,FALSE)</f>
        <v>0</v>
      </c>
      <c r="AB100" s="47" t="b">
        <f>if(countifs('Dapto, AUS'!Q:Q,$A100,'Dapto, AUS'!$I:$I,TRUE),TRUE,FALSE)</f>
        <v>0</v>
      </c>
      <c r="AC100" s="47" t="b">
        <f>if(countifs('New Westminster, CAN'!Q:Q,$A100,'New Westminster, CAN'!$I:$I,TRUE),TRUE,FALSE)</f>
        <v>0</v>
      </c>
      <c r="AD100" s="47" t="b">
        <f>if(countifs('Georgetown, CAN'!Q:Q,$A100,'Georgetown, CAN'!$I:$I,TRUE),TRUE,FALSE)</f>
        <v>0</v>
      </c>
      <c r="AE100" s="47" t="b">
        <f>if(countifs('Kingswood, UK'!Q:Q,$A100,'Kingswood, UK'!$I:$I,TRUE),TRUE,FALSE)</f>
        <v>0</v>
      </c>
      <c r="AF100" s="47" t="b">
        <f>if(countifs('Hagerstown, USA'!Q:Q,$A100,'Hagerstown, USA'!$I:$I,TRUE),TRUE,FALSE)</f>
        <v>0</v>
      </c>
      <c r="AG100" s="47" t="b">
        <f>if(countifs('Felsogalla, HU'!Q:Q,$A100,'Felsogalla, HU'!$I:$I,TRUE),TRUE,FALSE)</f>
        <v>0</v>
      </c>
      <c r="AH100" s="47" t="b">
        <f>if(countifs('Norlane, AUS'!Q:Q,$A100,'Norlane, AUS'!$I:$I,TRUE),TRUE,FALSE)</f>
        <v>0</v>
      </c>
      <c r="AI100" s="47" t="b">
        <f>if(countifs('Meitingen, GER'!Q:Q,$A100,'Meitingen, GER'!$I:$I,TRUE),TRUE,FALSE)</f>
        <v>0</v>
      </c>
      <c r="AJ100" s="47" t="b">
        <f>if(countifs('Groningen, NL'!Q:Q,$A100,'Groningen, NL'!$I:$I,TRUE),TRUE,FALSE)</f>
        <v>0</v>
      </c>
      <c r="AK100" s="47" t="b">
        <f>if(countifs('Linköping, SW'!Q:Q,$A100,'Linköping, SW'!$I:$I,TRUE),TRUE,FALSE)</f>
        <v>0</v>
      </c>
      <c r="AL100" s="47" t="b">
        <f>if(countifs('Austin, USA'!Q:Q,$A100,'Austin, USA'!$I:$I,TRUE),TRUE,FALSE)</f>
        <v>0</v>
      </c>
      <c r="AM100" s="47" t="b">
        <f>if(countifs('Thringstone, UK'!Q:Q,$A100,'Thringstone, UK'!$I:$I,TRUE),TRUE,FALSE)</f>
        <v>0</v>
      </c>
      <c r="AN100" s="47" t="b">
        <f>if(countifs('Andover, UK'!Q:Q,$A100,'Andover, UK'!$I:$I,TRUE),TRUE,FALSE)</f>
        <v>0</v>
      </c>
      <c r="AO100" s="47" t="b">
        <f>if(countifs('Ospel, NL'!Q:Q,$A100,'Ospel, NL'!$I:$I,TRUE),TRUE,FALSE)</f>
        <v>0</v>
      </c>
      <c r="AP100" s="47" t="b">
        <f>if(countifs('Wonthaggi, AUS'!Q:Q,$A100,'Wonthaggi, AUS'!$I:$I,TRUE),TRUE,FALSE)</f>
        <v>0</v>
      </c>
      <c r="AQ100" s="47" t="b">
        <f>if(countifs('Falling_Waters, USA'!$Q:$Q,$A100,'Falling_Waters, USA'!$I:$I,TRUE),TRUE,FALSE)</f>
        <v>0</v>
      </c>
      <c r="AR100" s="47" t="b">
        <f>if(countifs('Kelmscott, AUS'!Q:Q,$A100,'Kelmscott, AUS'!$I:$I,TRUE),TRUE,FALSE)</f>
        <v>0</v>
      </c>
    </row>
    <row r="101">
      <c r="A101" s="47" t="str">
        <f>IFERROR(__xludf.DUMMYFUNCTION("""COMPUTED_VALUE"""),"Dazzaf")</f>
        <v>Dazzaf</v>
      </c>
      <c r="B101" s="47">
        <f t="shared" si="1"/>
        <v>1</v>
      </c>
      <c r="C101" s="47" t="b">
        <v>0</v>
      </c>
      <c r="D101" s="47" t="b">
        <v>0</v>
      </c>
      <c r="E101" s="47" t="b">
        <v>0</v>
      </c>
      <c r="F101" s="47" t="b">
        <v>0</v>
      </c>
      <c r="G101" s="96"/>
      <c r="H101" s="96" t="b">
        <f>if(countifs('Berlin, GER'!Q:Q,A101,'Berlin, GER'!I:I,TRUE),TRUE,FALSE)</f>
        <v>0</v>
      </c>
      <c r="I101" s="96" t="b">
        <f>if(countifs('Escondido, USA'!Q:Q,A101,'Escondido, USA'!I:I,TRUE),TRUE,FALSE)</f>
        <v>0</v>
      </c>
      <c r="J101" s="96" t="b">
        <f>if(countifs('Onkaparinga_Hills, AUS'!Q:Q,A101,'Onkaparinga_Hills, AUS'!I:I,TRUE),TRUE,FALSE)</f>
        <v>0</v>
      </c>
      <c r="K101" s="96" t="b">
        <f>if(countifs('Perth, AUS'!Q:Q,A101,'Perth, AUS'!I:I,TRUE),TRUE,FALSE)</f>
        <v>0</v>
      </c>
      <c r="L101" s="96" t="b">
        <f>if(countifs('Raleigh, USA'!Q:Q,A101,'Raleigh, USA'!I:I,TRUE),TRUE,FALSE)</f>
        <v>0</v>
      </c>
      <c r="M101" s="96" t="b">
        <f>if(countifs('Browns Plains, AUS'!Q:Q,A101,'Browns Plains, AUS'!I:I,TRUE),TRUE,FALSE)</f>
        <v>0</v>
      </c>
      <c r="N101" s="96" t="b">
        <f>if(countifs('Brossard, CAN'!Q:Q,A101,'Brossard, CAN'!I:I,TRUE),TRUE,FALSE)</f>
        <v>0</v>
      </c>
      <c r="O101" s="96" t="b">
        <f>if(countifs('Gouda, NL'!Q:Q,$A101,'Gouda, NL'!$I:$I,TRUE),TRUE,FALSE)</f>
        <v>0</v>
      </c>
      <c r="P101" s="47" t="b">
        <f>if(countifs('Plympton, UK'!Q:Q,$A101,'Plympton, UK'!$I:$I,TRUE),TRUE,FALSE)</f>
        <v>0</v>
      </c>
      <c r="Q101" s="47" t="b">
        <f>if(countifs('Glen Oaks, USA'!Q:Q,$A101,'Glen Oaks, USA'!$I:$I,TRUE),TRUE,FALSE)</f>
        <v>0</v>
      </c>
      <c r="R101" s="47" t="b">
        <f>if(countifs('Chemnitz, GER'!Q:Q,$A101,'Chemnitz, GER'!I:I,TRUE),TRUE,FALSE)</f>
        <v>0</v>
      </c>
      <c r="S101" s="47" t="b">
        <f>if(countifs('Vosselaar, BE'!Q:Q,$A101,'Vosselaar, BE'!$I:$I,TRUE),TRUE,FALSE)</f>
        <v>1</v>
      </c>
      <c r="T101" s="47" t="b">
        <f>if(countifs('MHQ, USA'!Q:Q,$A101,'MHQ, USA'!$I:$I,TRUE),TRUE,FALSE)</f>
        <v>0</v>
      </c>
      <c r="U101" s="47" t="b">
        <f>if(countifs('Morayfield, AUS'!Q:Q,$A101,'Morayfield, AUS'!$I:$I,TRUE),TRUE,FALSE)</f>
        <v>0</v>
      </c>
      <c r="V101" s="11" t="b">
        <f>if(countifs('Arnhem, NL'!Q:Q,$A101,'Arnhem, NL'!$I:$I,TRUE),TRUE,FALSE)</f>
        <v>0</v>
      </c>
      <c r="W101" s="47" t="b">
        <f>if(countifs('Gotenborg, SW'!Q:Q,$A101,'Gotenborg, SW'!$I:$I,TRUE),TRUE,FALSE)</f>
        <v>0</v>
      </c>
      <c r="X101" s="47" t="b">
        <f>if(countifs('Shepparton, AUS'!Q:Q,$A101,'Shepparton, AUS'!$I:$I,TRUE),TRUE,FALSE)</f>
        <v>0</v>
      </c>
      <c r="Y101" s="47" t="b">
        <f>if(countifs('Hoofddorp, NL'!Q:Q,$A101,'Hoofddorp, NL'!$I:$I,TRUE),TRUE,FALSE)</f>
        <v>0</v>
      </c>
      <c r="Z101" s="47" t="b">
        <f>if(countifs('Bedford, UK'!Q:Q,$A101,'Bedford, UK'!$I:$I,TRUE),TRUE,FALSE)</f>
        <v>0</v>
      </c>
      <c r="AA101" s="47" t="b">
        <f>IF(COUNTIFS('Desert Lodge, USA'!Q:Q,$A101,'Desert Lodge, USA'!I:I,TRUE),TRUE,FALSE)</f>
        <v>0</v>
      </c>
      <c r="AB101" s="47" t="b">
        <f>if(countifs('Dapto, AUS'!Q:Q,$A101,'Dapto, AUS'!$I:$I,TRUE),TRUE,FALSE)</f>
        <v>0</v>
      </c>
      <c r="AC101" s="47" t="b">
        <f>if(countifs('New Westminster, CAN'!Q:Q,$A101,'New Westminster, CAN'!$I:$I,TRUE),TRUE,FALSE)</f>
        <v>0</v>
      </c>
      <c r="AD101" s="47" t="b">
        <f>if(countifs('Georgetown, CAN'!Q:Q,$A101,'Georgetown, CAN'!$I:$I,TRUE),TRUE,FALSE)</f>
        <v>0</v>
      </c>
      <c r="AE101" s="47" t="b">
        <f>if(countifs('Kingswood, UK'!Q:Q,$A101,'Kingswood, UK'!$I:$I,TRUE),TRUE,FALSE)</f>
        <v>0</v>
      </c>
      <c r="AF101" s="47" t="b">
        <f>if(countifs('Hagerstown, USA'!Q:Q,$A101,'Hagerstown, USA'!$I:$I,TRUE),TRUE,FALSE)</f>
        <v>0</v>
      </c>
      <c r="AG101" s="47" t="b">
        <f>if(countifs('Felsogalla, HU'!Q:Q,$A101,'Felsogalla, HU'!$I:$I,TRUE),TRUE,FALSE)</f>
        <v>0</v>
      </c>
      <c r="AH101" s="47" t="b">
        <f>if(countifs('Norlane, AUS'!Q:Q,$A101,'Norlane, AUS'!$I:$I,TRUE),TRUE,FALSE)</f>
        <v>0</v>
      </c>
      <c r="AI101" s="47" t="b">
        <f>if(countifs('Meitingen, GER'!Q:Q,$A101,'Meitingen, GER'!$I:$I,TRUE),TRUE,FALSE)</f>
        <v>0</v>
      </c>
      <c r="AJ101" s="47" t="b">
        <f>if(countifs('Groningen, NL'!Q:Q,$A101,'Groningen, NL'!$I:$I,TRUE),TRUE,FALSE)</f>
        <v>0</v>
      </c>
      <c r="AK101" s="47" t="b">
        <f>if(countifs('Linköping, SW'!Q:Q,$A101,'Linköping, SW'!$I:$I,TRUE),TRUE,FALSE)</f>
        <v>0</v>
      </c>
      <c r="AL101" s="47" t="b">
        <f>if(countifs('Austin, USA'!Q:Q,$A101,'Austin, USA'!$I:$I,TRUE),TRUE,FALSE)</f>
        <v>0</v>
      </c>
      <c r="AM101" s="47" t="b">
        <f>if(countifs('Thringstone, UK'!Q:Q,$A101,'Thringstone, UK'!$I:$I,TRUE),TRUE,FALSE)</f>
        <v>0</v>
      </c>
      <c r="AN101" s="47" t="b">
        <f>if(countifs('Andover, UK'!Q:Q,$A101,'Andover, UK'!$I:$I,TRUE),TRUE,FALSE)</f>
        <v>0</v>
      </c>
      <c r="AO101" s="47" t="b">
        <f>if(countifs('Ospel, NL'!Q:Q,$A101,'Ospel, NL'!$I:$I,TRUE),TRUE,FALSE)</f>
        <v>0</v>
      </c>
      <c r="AP101" s="47" t="b">
        <f>if(countifs('Wonthaggi, AUS'!Q:Q,$A101,'Wonthaggi, AUS'!$I:$I,TRUE),TRUE,FALSE)</f>
        <v>0</v>
      </c>
      <c r="AQ101" s="47" t="b">
        <f>if(countifs('Falling_Waters, USA'!$Q:$Q,$A101,'Falling_Waters, USA'!$I:$I,TRUE),TRUE,FALSE)</f>
        <v>0</v>
      </c>
      <c r="AR101" s="47" t="b">
        <f>if(countifs('Kelmscott, AUS'!Q:Q,$A101,'Kelmscott, AUS'!$I:$I,TRUE),TRUE,FALSE)</f>
        <v>0</v>
      </c>
    </row>
    <row r="102">
      <c r="A102" s="47" t="str">
        <f>IFERROR(__xludf.DUMMYFUNCTION("""COMPUTED_VALUE"""),"pawpatrolthomas")</f>
        <v>pawpatrolthomas</v>
      </c>
      <c r="B102" s="47">
        <f t="shared" si="1"/>
        <v>36</v>
      </c>
      <c r="C102" s="47" t="b">
        <v>0</v>
      </c>
      <c r="D102" s="47" t="b">
        <v>0</v>
      </c>
      <c r="E102" s="47" t="b">
        <v>0</v>
      </c>
      <c r="F102" s="47" t="b">
        <v>0</v>
      </c>
      <c r="G102" s="96"/>
      <c r="H102" s="96" t="b">
        <f>if(countifs('Berlin, GER'!Q:Q,A102,'Berlin, GER'!I:I,TRUE),TRUE,FALSE)</f>
        <v>1</v>
      </c>
      <c r="I102" s="96" t="b">
        <f>if(countifs('Escondido, USA'!Q:Q,A102,'Escondido, USA'!I:I,TRUE),TRUE,FALSE)</f>
        <v>1</v>
      </c>
      <c r="J102" s="96" t="b">
        <f>if(countifs('Onkaparinga_Hills, AUS'!Q:Q,A102,'Onkaparinga_Hills, AUS'!I:I,TRUE),TRUE,FALSE)</f>
        <v>1</v>
      </c>
      <c r="K102" s="96" t="b">
        <f>if(countifs('Perth, AUS'!Q:Q,A102,'Perth, AUS'!I:I,TRUE),TRUE,FALSE)</f>
        <v>1</v>
      </c>
      <c r="L102" s="96" t="b">
        <f>if(countifs('Raleigh, USA'!Q:Q,A102,'Raleigh, USA'!I:I,TRUE),TRUE,FALSE)</f>
        <v>1</v>
      </c>
      <c r="M102" s="96" t="b">
        <f>if(countifs('Browns Plains, AUS'!Q:Q,A102,'Browns Plains, AUS'!I:I,TRUE),TRUE,FALSE)</f>
        <v>1</v>
      </c>
      <c r="N102" s="96" t="b">
        <f>if(countifs('Brossard, CAN'!Q:Q,A102,'Brossard, CAN'!I:I,TRUE),TRUE,FALSE)</f>
        <v>1</v>
      </c>
      <c r="O102" s="96" t="b">
        <f>if(countifs('Gouda, NL'!Q:Q,$A102,'Gouda, NL'!$I:$I,TRUE),TRUE,FALSE)</f>
        <v>1</v>
      </c>
      <c r="P102" s="47" t="b">
        <f>if(countifs('Plympton, UK'!Q:Q,$A102,'Plympton, UK'!$I:$I,TRUE),TRUE,FALSE)</f>
        <v>1</v>
      </c>
      <c r="Q102" s="47" t="b">
        <f>if(countifs('Glen Oaks, USA'!Q:Q,$A102,'Glen Oaks, USA'!$I:$I,TRUE),TRUE,FALSE)</f>
        <v>1</v>
      </c>
      <c r="R102" s="47" t="b">
        <f>if(countifs('Chemnitz, GER'!Q:Q,$A102,'Chemnitz, GER'!I:I,TRUE),TRUE,FALSE)</f>
        <v>1</v>
      </c>
      <c r="S102" s="47" t="b">
        <f>if(countifs('Vosselaar, BE'!Q:Q,$A102,'Vosselaar, BE'!$I:$I,TRUE),TRUE,FALSE)</f>
        <v>1</v>
      </c>
      <c r="T102" s="47" t="b">
        <f>if(countifs('MHQ, USA'!Q:Q,$A102,'MHQ, USA'!$I:$I,TRUE),TRUE,FALSE)</f>
        <v>1</v>
      </c>
      <c r="U102" s="47" t="b">
        <f>if(countifs('Morayfield, AUS'!Q:Q,$A102,'Morayfield, AUS'!$I:$I,TRUE),TRUE,FALSE)</f>
        <v>1</v>
      </c>
      <c r="V102" s="11" t="b">
        <f>if(countifs('Arnhem, NL'!Q:Q,$A102,'Arnhem, NL'!$I:$I,TRUE),TRUE,FALSE)</f>
        <v>1</v>
      </c>
      <c r="W102" s="47" t="b">
        <f>if(countifs('Gotenborg, SW'!Q:Q,$A102,'Gotenborg, SW'!$I:$I,TRUE),TRUE,FALSE)</f>
        <v>1</v>
      </c>
      <c r="X102" s="47" t="b">
        <f>if(countifs('Shepparton, AUS'!Q:Q,$A102,'Shepparton, AUS'!$I:$I,TRUE),TRUE,FALSE)</f>
        <v>1</v>
      </c>
      <c r="Y102" s="47" t="b">
        <f>if(countifs('Hoofddorp, NL'!Q:Q,$A102,'Hoofddorp, NL'!$I:$I,TRUE),TRUE,FALSE)</f>
        <v>1</v>
      </c>
      <c r="Z102" s="47" t="b">
        <f>if(countifs('Bedford, UK'!Q:Q,$A102,'Bedford, UK'!$I:$I,TRUE),TRUE,FALSE)</f>
        <v>1</v>
      </c>
      <c r="AA102" s="47" t="b">
        <f>IF(COUNTIFS('Desert Lodge, USA'!Q:Q,$A102,'Desert Lodge, USA'!I:I,TRUE),TRUE,FALSE)</f>
        <v>1</v>
      </c>
      <c r="AB102" s="47" t="b">
        <f>if(countifs('Dapto, AUS'!Q:Q,$A102,'Dapto, AUS'!$I:$I,TRUE),TRUE,FALSE)</f>
        <v>1</v>
      </c>
      <c r="AC102" s="47" t="b">
        <f>if(countifs('New Westminster, CAN'!Q:Q,$A102,'New Westminster, CAN'!$I:$I,TRUE),TRUE,FALSE)</f>
        <v>1</v>
      </c>
      <c r="AD102" s="47" t="b">
        <f>if(countifs('Georgetown, CAN'!Q:Q,$A102,'Georgetown, CAN'!$I:$I,TRUE),TRUE,FALSE)</f>
        <v>1</v>
      </c>
      <c r="AE102" s="47" t="b">
        <f>if(countifs('Kingswood, UK'!Q:Q,$A102,'Kingswood, UK'!$I:$I,TRUE),TRUE,FALSE)</f>
        <v>1</v>
      </c>
      <c r="AF102" s="47" t="b">
        <f>if(countifs('Hagerstown, USA'!Q:Q,$A102,'Hagerstown, USA'!$I:$I,TRUE),TRUE,FALSE)</f>
        <v>1</v>
      </c>
      <c r="AG102" s="47" t="b">
        <f>if(countifs('Felsogalla, HU'!Q:Q,$A102,'Felsogalla, HU'!$I:$I,TRUE),TRUE,FALSE)</f>
        <v>1</v>
      </c>
      <c r="AH102" s="47" t="b">
        <f>if(countifs('Norlane, AUS'!Q:Q,$A102,'Norlane, AUS'!$I:$I,TRUE),TRUE,FALSE)</f>
        <v>1</v>
      </c>
      <c r="AI102" s="47" t="b">
        <f>if(countifs('Meitingen, GER'!Q:Q,$A102,'Meitingen, GER'!$I:$I,TRUE),TRUE,FALSE)</f>
        <v>1</v>
      </c>
      <c r="AJ102" s="47" t="b">
        <f>if(countifs('Groningen, NL'!Q:Q,$A102,'Groningen, NL'!$I:$I,TRUE),TRUE,FALSE)</f>
        <v>1</v>
      </c>
      <c r="AK102" s="47" t="b">
        <f>if(countifs('Linköping, SW'!Q:Q,$A102,'Linköping, SW'!$I:$I,TRUE),TRUE,FALSE)</f>
        <v>1</v>
      </c>
      <c r="AL102" s="47" t="b">
        <f>if(countifs('Austin, USA'!Q:Q,$A102,'Austin, USA'!$I:$I,TRUE),TRUE,FALSE)</f>
        <v>0</v>
      </c>
      <c r="AM102" s="47" t="b">
        <f>if(countifs('Thringstone, UK'!Q:Q,$A102,'Thringstone, UK'!$I:$I,TRUE),TRUE,FALSE)</f>
        <v>1</v>
      </c>
      <c r="AN102" s="47" t="b">
        <f>if(countifs('Andover, UK'!Q:Q,$A102,'Andover, UK'!$I:$I,TRUE),TRUE,FALSE)</f>
        <v>1</v>
      </c>
      <c r="AO102" s="47" t="b">
        <f>if(countifs('Ospel, NL'!Q:Q,$A102,'Ospel, NL'!$I:$I,TRUE),TRUE,FALSE)</f>
        <v>1</v>
      </c>
      <c r="AP102" s="47" t="b">
        <f>if(countifs('Wonthaggi, AUS'!Q:Q,$A102,'Wonthaggi, AUS'!$I:$I,TRUE),TRUE,FALSE)</f>
        <v>1</v>
      </c>
      <c r="AQ102" s="47" t="b">
        <f>if(countifs('Falling_Waters, USA'!$Q:$Q,$A102,'Falling_Waters, USA'!$I:$I,TRUE),TRUE,FALSE)</f>
        <v>1</v>
      </c>
      <c r="AR102" s="47" t="b">
        <f>if(countifs('Kelmscott, AUS'!Q:Q,$A102,'Kelmscott, AUS'!$I:$I,TRUE),TRUE,FALSE)</f>
        <v>1</v>
      </c>
    </row>
    <row r="103">
      <c r="A103" s="47" t="str">
        <f>IFERROR(__xludf.DUMMYFUNCTION("""COMPUTED_VALUE"""),"klc1960")</f>
        <v>klc1960</v>
      </c>
      <c r="B103" s="47">
        <f t="shared" si="1"/>
        <v>1</v>
      </c>
      <c r="C103" s="47" t="b">
        <v>0</v>
      </c>
      <c r="D103" s="47" t="b">
        <v>0</v>
      </c>
      <c r="E103" s="47" t="b">
        <v>0</v>
      </c>
      <c r="F103" s="47" t="b">
        <v>0</v>
      </c>
      <c r="G103" s="96"/>
      <c r="H103" s="96" t="b">
        <f>if(countifs('Berlin, GER'!Q:Q,A103,'Berlin, GER'!I:I,TRUE),TRUE,FALSE)</f>
        <v>0</v>
      </c>
      <c r="I103" s="96" t="b">
        <f>if(countifs('Escondido, USA'!Q:Q,A103,'Escondido, USA'!I:I,TRUE),TRUE,FALSE)</f>
        <v>0</v>
      </c>
      <c r="J103" s="96" t="b">
        <f>if(countifs('Onkaparinga_Hills, AUS'!Q:Q,A103,'Onkaparinga_Hills, AUS'!I:I,TRUE),TRUE,FALSE)</f>
        <v>0</v>
      </c>
      <c r="K103" s="96" t="b">
        <f>if(countifs('Perth, AUS'!Q:Q,A103,'Perth, AUS'!I:I,TRUE),TRUE,FALSE)</f>
        <v>0</v>
      </c>
      <c r="L103" s="96" t="b">
        <f>if(countifs('Raleigh, USA'!Q:Q,A103,'Raleigh, USA'!I:I,TRUE),TRUE,FALSE)</f>
        <v>0</v>
      </c>
      <c r="M103" s="96" t="b">
        <f>if(countifs('Browns Plains, AUS'!Q:Q,A103,'Browns Plains, AUS'!I:I,TRUE),TRUE,FALSE)</f>
        <v>0</v>
      </c>
      <c r="N103" s="96" t="b">
        <f>if(countifs('Brossard, CAN'!Q:Q,A103,'Brossard, CAN'!I:I,TRUE),TRUE,FALSE)</f>
        <v>0</v>
      </c>
      <c r="O103" s="96" t="b">
        <f>if(countifs('Gouda, NL'!Q:Q,$A103,'Gouda, NL'!$I:$I,TRUE),TRUE,FALSE)</f>
        <v>0</v>
      </c>
      <c r="P103" s="47" t="b">
        <f>if(countifs('Plympton, UK'!Q:Q,$A103,'Plympton, UK'!$I:$I,TRUE),TRUE,FALSE)</f>
        <v>0</v>
      </c>
      <c r="Q103" s="47" t="b">
        <f>if(countifs('Glen Oaks, USA'!Q:Q,$A103,'Glen Oaks, USA'!$I:$I,TRUE),TRUE,FALSE)</f>
        <v>0</v>
      </c>
      <c r="R103" s="47" t="b">
        <f>if(countifs('Chemnitz, GER'!Q:Q,$A103,'Chemnitz, GER'!I:I,TRUE),TRUE,FALSE)</f>
        <v>0</v>
      </c>
      <c r="S103" s="47" t="b">
        <f>if(countifs('Vosselaar, BE'!Q:Q,$A103,'Vosselaar, BE'!$I:$I,TRUE),TRUE,FALSE)</f>
        <v>1</v>
      </c>
      <c r="T103" s="47" t="b">
        <f>if(countifs('MHQ, USA'!Q:Q,$A103,'MHQ, USA'!$I:$I,TRUE),TRUE,FALSE)</f>
        <v>0</v>
      </c>
      <c r="U103" s="47" t="b">
        <f>if(countifs('Morayfield, AUS'!Q:Q,$A103,'Morayfield, AUS'!$I:$I,TRUE),TRUE,FALSE)</f>
        <v>0</v>
      </c>
      <c r="V103" s="11" t="b">
        <f>if(countifs('Arnhem, NL'!Q:Q,$A103,'Arnhem, NL'!$I:$I,TRUE),TRUE,FALSE)</f>
        <v>0</v>
      </c>
      <c r="W103" s="47" t="b">
        <f>if(countifs('Gotenborg, SW'!Q:Q,$A103,'Gotenborg, SW'!$I:$I,TRUE),TRUE,FALSE)</f>
        <v>0</v>
      </c>
      <c r="X103" s="47" t="b">
        <f>if(countifs('Shepparton, AUS'!Q:Q,$A103,'Shepparton, AUS'!$I:$I,TRUE),TRUE,FALSE)</f>
        <v>0</v>
      </c>
      <c r="Y103" s="47" t="b">
        <f>if(countifs('Hoofddorp, NL'!Q:Q,$A103,'Hoofddorp, NL'!$I:$I,TRUE),TRUE,FALSE)</f>
        <v>0</v>
      </c>
      <c r="Z103" s="47" t="b">
        <f>if(countifs('Bedford, UK'!Q:Q,$A103,'Bedford, UK'!$I:$I,TRUE),TRUE,FALSE)</f>
        <v>0</v>
      </c>
      <c r="AA103" s="47" t="b">
        <f>IF(COUNTIFS('Desert Lodge, USA'!Q:Q,$A103,'Desert Lodge, USA'!I:I,TRUE),TRUE,FALSE)</f>
        <v>0</v>
      </c>
      <c r="AB103" s="47" t="b">
        <f>if(countifs('Dapto, AUS'!Q:Q,$A103,'Dapto, AUS'!$I:$I,TRUE),TRUE,FALSE)</f>
        <v>0</v>
      </c>
      <c r="AC103" s="47" t="b">
        <f>if(countifs('New Westminster, CAN'!Q:Q,$A103,'New Westminster, CAN'!$I:$I,TRUE),TRUE,FALSE)</f>
        <v>0</v>
      </c>
      <c r="AD103" s="47" t="b">
        <f>if(countifs('Georgetown, CAN'!Q:Q,$A103,'Georgetown, CAN'!$I:$I,TRUE),TRUE,FALSE)</f>
        <v>0</v>
      </c>
      <c r="AE103" s="47" t="b">
        <f>if(countifs('Kingswood, UK'!Q:Q,$A103,'Kingswood, UK'!$I:$I,TRUE),TRUE,FALSE)</f>
        <v>0</v>
      </c>
      <c r="AF103" s="47" t="b">
        <f>if(countifs('Hagerstown, USA'!Q:Q,$A103,'Hagerstown, USA'!$I:$I,TRUE),TRUE,FALSE)</f>
        <v>0</v>
      </c>
      <c r="AG103" s="47" t="b">
        <f>if(countifs('Felsogalla, HU'!Q:Q,$A103,'Felsogalla, HU'!$I:$I,TRUE),TRUE,FALSE)</f>
        <v>0</v>
      </c>
      <c r="AH103" s="47" t="b">
        <f>if(countifs('Norlane, AUS'!Q:Q,$A103,'Norlane, AUS'!$I:$I,TRUE),TRUE,FALSE)</f>
        <v>0</v>
      </c>
      <c r="AI103" s="47" t="b">
        <f>if(countifs('Meitingen, GER'!Q:Q,$A103,'Meitingen, GER'!$I:$I,TRUE),TRUE,FALSE)</f>
        <v>0</v>
      </c>
      <c r="AJ103" s="47" t="b">
        <f>if(countifs('Groningen, NL'!Q:Q,$A103,'Groningen, NL'!$I:$I,TRUE),TRUE,FALSE)</f>
        <v>0</v>
      </c>
      <c r="AK103" s="47" t="b">
        <f>if(countifs('Linköping, SW'!Q:Q,$A103,'Linköping, SW'!$I:$I,TRUE),TRUE,FALSE)</f>
        <v>0</v>
      </c>
      <c r="AL103" s="47" t="b">
        <f>if(countifs('Austin, USA'!Q:Q,$A103,'Austin, USA'!$I:$I,TRUE),TRUE,FALSE)</f>
        <v>0</v>
      </c>
      <c r="AM103" s="47" t="b">
        <f>if(countifs('Thringstone, UK'!Q:Q,$A103,'Thringstone, UK'!$I:$I,TRUE),TRUE,FALSE)</f>
        <v>0</v>
      </c>
      <c r="AN103" s="47" t="b">
        <f>if(countifs('Andover, UK'!Q:Q,$A103,'Andover, UK'!$I:$I,TRUE),TRUE,FALSE)</f>
        <v>0</v>
      </c>
      <c r="AO103" s="47" t="b">
        <f>if(countifs('Ospel, NL'!Q:Q,$A103,'Ospel, NL'!$I:$I,TRUE),TRUE,FALSE)</f>
        <v>0</v>
      </c>
      <c r="AP103" s="47" t="b">
        <f>if(countifs('Wonthaggi, AUS'!Q:Q,$A103,'Wonthaggi, AUS'!$I:$I,TRUE),TRUE,FALSE)</f>
        <v>0</v>
      </c>
      <c r="AQ103" s="47" t="b">
        <f>if(countifs('Falling_Waters, USA'!$Q:$Q,$A103,'Falling_Waters, USA'!$I:$I,TRUE),TRUE,FALSE)</f>
        <v>0</v>
      </c>
      <c r="AR103" s="47" t="b">
        <f>if(countifs('Kelmscott, AUS'!Q:Q,$A103,'Kelmscott, AUS'!$I:$I,TRUE),TRUE,FALSE)</f>
        <v>0</v>
      </c>
    </row>
    <row r="104">
      <c r="A104" s="47" t="str">
        <f>IFERROR(__xludf.DUMMYFUNCTION("""COMPUTED_VALUE"""),"DJSmith")</f>
        <v>DJSmith</v>
      </c>
      <c r="B104" s="47">
        <f t="shared" si="1"/>
        <v>1</v>
      </c>
      <c r="C104" s="47" t="b">
        <v>0</v>
      </c>
      <c r="D104" s="47" t="b">
        <v>0</v>
      </c>
      <c r="E104" s="47" t="b">
        <v>0</v>
      </c>
      <c r="F104" s="47" t="b">
        <v>0</v>
      </c>
      <c r="G104" s="96"/>
      <c r="H104" s="96" t="b">
        <f>if(countifs('Berlin, GER'!Q:Q,A104,'Berlin, GER'!I:I,TRUE),TRUE,FALSE)</f>
        <v>0</v>
      </c>
      <c r="I104" s="96" t="b">
        <f>if(countifs('Escondido, USA'!Q:Q,A104,'Escondido, USA'!I:I,TRUE),TRUE,FALSE)</f>
        <v>0</v>
      </c>
      <c r="J104" s="96" t="b">
        <f>if(countifs('Onkaparinga_Hills, AUS'!Q:Q,A104,'Onkaparinga_Hills, AUS'!I:I,TRUE),TRUE,FALSE)</f>
        <v>0</v>
      </c>
      <c r="K104" s="96" t="b">
        <f>if(countifs('Perth, AUS'!Q:Q,A104,'Perth, AUS'!I:I,TRUE),TRUE,FALSE)</f>
        <v>0</v>
      </c>
      <c r="L104" s="96" t="b">
        <f>if(countifs('Raleigh, USA'!Q:Q,A104,'Raleigh, USA'!I:I,TRUE),TRUE,FALSE)</f>
        <v>0</v>
      </c>
      <c r="M104" s="96" t="b">
        <f>if(countifs('Browns Plains, AUS'!Q:Q,A104,'Browns Plains, AUS'!I:I,TRUE),TRUE,FALSE)</f>
        <v>0</v>
      </c>
      <c r="N104" s="96" t="b">
        <f>if(countifs('Brossard, CAN'!Q:Q,A104,'Brossard, CAN'!I:I,TRUE),TRUE,FALSE)</f>
        <v>0</v>
      </c>
      <c r="O104" s="96" t="b">
        <f>if(countifs('Gouda, NL'!Q:Q,$A104,'Gouda, NL'!$I:$I,TRUE),TRUE,FALSE)</f>
        <v>0</v>
      </c>
      <c r="P104" s="47" t="b">
        <f>if(countifs('Plympton, UK'!Q:Q,$A104,'Plympton, UK'!$I:$I,TRUE),TRUE,FALSE)</f>
        <v>0</v>
      </c>
      <c r="Q104" s="47" t="b">
        <f>if(countifs('Glen Oaks, USA'!Q:Q,$A104,'Glen Oaks, USA'!$I:$I,TRUE),TRUE,FALSE)</f>
        <v>0</v>
      </c>
      <c r="R104" s="47" t="b">
        <f>if(countifs('Chemnitz, GER'!Q:Q,$A104,'Chemnitz, GER'!I:I,TRUE),TRUE,FALSE)</f>
        <v>0</v>
      </c>
      <c r="S104" s="47" t="b">
        <f>if(countifs('Vosselaar, BE'!Q:Q,$A104,'Vosselaar, BE'!$I:$I,TRUE),TRUE,FALSE)</f>
        <v>0</v>
      </c>
      <c r="T104" s="47" t="b">
        <f>if(countifs('MHQ, USA'!Q:Q,$A104,'MHQ, USA'!$I:$I,TRUE),TRUE,FALSE)</f>
        <v>0</v>
      </c>
      <c r="U104" s="47" t="b">
        <f>if(countifs('Morayfield, AUS'!Q:Q,$A104,'Morayfield, AUS'!$I:$I,TRUE),TRUE,FALSE)</f>
        <v>1</v>
      </c>
      <c r="V104" s="11" t="b">
        <f>if(countifs('Arnhem, NL'!Q:Q,$A104,'Arnhem, NL'!$I:$I,TRUE),TRUE,FALSE)</f>
        <v>0</v>
      </c>
      <c r="W104" s="47" t="b">
        <f>if(countifs('Gotenborg, SW'!Q:Q,$A104,'Gotenborg, SW'!$I:$I,TRUE),TRUE,FALSE)</f>
        <v>0</v>
      </c>
      <c r="X104" s="47" t="b">
        <f>if(countifs('Shepparton, AUS'!Q:Q,$A104,'Shepparton, AUS'!$I:$I,TRUE),TRUE,FALSE)</f>
        <v>0</v>
      </c>
      <c r="Y104" s="47" t="b">
        <f>if(countifs('Hoofddorp, NL'!Q:Q,$A104,'Hoofddorp, NL'!$I:$I,TRUE),TRUE,FALSE)</f>
        <v>0</v>
      </c>
      <c r="Z104" s="47" t="b">
        <f>if(countifs('Bedford, UK'!Q:Q,$A104,'Bedford, UK'!$I:$I,TRUE),TRUE,FALSE)</f>
        <v>0</v>
      </c>
      <c r="AA104" s="47" t="b">
        <f>IF(COUNTIFS('Desert Lodge, USA'!Q:Q,$A104,'Desert Lodge, USA'!I:I,TRUE),TRUE,FALSE)</f>
        <v>0</v>
      </c>
      <c r="AB104" s="47" t="b">
        <f>if(countifs('Dapto, AUS'!Q:Q,$A104,'Dapto, AUS'!$I:$I,TRUE),TRUE,FALSE)</f>
        <v>0</v>
      </c>
      <c r="AC104" s="47" t="b">
        <f>if(countifs('New Westminster, CAN'!Q:Q,$A104,'New Westminster, CAN'!$I:$I,TRUE),TRUE,FALSE)</f>
        <v>0</v>
      </c>
      <c r="AD104" s="47" t="b">
        <f>if(countifs('Georgetown, CAN'!Q:Q,$A104,'Georgetown, CAN'!$I:$I,TRUE),TRUE,FALSE)</f>
        <v>0</v>
      </c>
      <c r="AE104" s="47" t="b">
        <f>if(countifs('Kingswood, UK'!Q:Q,$A104,'Kingswood, UK'!$I:$I,TRUE),TRUE,FALSE)</f>
        <v>0</v>
      </c>
      <c r="AF104" s="47" t="b">
        <f>if(countifs('Hagerstown, USA'!Q:Q,$A104,'Hagerstown, USA'!$I:$I,TRUE),TRUE,FALSE)</f>
        <v>0</v>
      </c>
      <c r="AG104" s="47" t="b">
        <f>if(countifs('Felsogalla, HU'!Q:Q,$A104,'Felsogalla, HU'!$I:$I,TRUE),TRUE,FALSE)</f>
        <v>0</v>
      </c>
      <c r="AH104" s="47" t="b">
        <f>if(countifs('Norlane, AUS'!Q:Q,$A104,'Norlane, AUS'!$I:$I,TRUE),TRUE,FALSE)</f>
        <v>0</v>
      </c>
      <c r="AI104" s="47" t="b">
        <f>if(countifs('Meitingen, GER'!Q:Q,$A104,'Meitingen, GER'!$I:$I,TRUE),TRUE,FALSE)</f>
        <v>0</v>
      </c>
      <c r="AJ104" s="47" t="b">
        <f>if(countifs('Groningen, NL'!Q:Q,$A104,'Groningen, NL'!$I:$I,TRUE),TRUE,FALSE)</f>
        <v>0</v>
      </c>
      <c r="AK104" s="47" t="b">
        <f>if(countifs('Linköping, SW'!Q:Q,$A104,'Linköping, SW'!$I:$I,TRUE),TRUE,FALSE)</f>
        <v>0</v>
      </c>
      <c r="AL104" s="47" t="b">
        <f>if(countifs('Austin, USA'!Q:Q,$A104,'Austin, USA'!$I:$I,TRUE),TRUE,FALSE)</f>
        <v>0</v>
      </c>
      <c r="AM104" s="47" t="b">
        <f>if(countifs('Thringstone, UK'!Q:Q,$A104,'Thringstone, UK'!$I:$I,TRUE),TRUE,FALSE)</f>
        <v>0</v>
      </c>
      <c r="AN104" s="47" t="b">
        <f>if(countifs('Andover, UK'!Q:Q,$A104,'Andover, UK'!$I:$I,TRUE),TRUE,FALSE)</f>
        <v>0</v>
      </c>
      <c r="AO104" s="47" t="b">
        <f>if(countifs('Ospel, NL'!Q:Q,$A104,'Ospel, NL'!$I:$I,TRUE),TRUE,FALSE)</f>
        <v>0</v>
      </c>
      <c r="AP104" s="47" t="b">
        <f>if(countifs('Wonthaggi, AUS'!Q:Q,$A104,'Wonthaggi, AUS'!$I:$I,TRUE),TRUE,FALSE)</f>
        <v>0</v>
      </c>
      <c r="AQ104" s="47" t="b">
        <f>if(countifs('Falling_Waters, USA'!$Q:$Q,$A104,'Falling_Waters, USA'!$I:$I,TRUE),TRUE,FALSE)</f>
        <v>0</v>
      </c>
      <c r="AR104" s="47" t="b">
        <f>if(countifs('Kelmscott, AUS'!Q:Q,$A104,'Kelmscott, AUS'!$I:$I,TRUE),TRUE,FALSE)</f>
        <v>0</v>
      </c>
    </row>
    <row r="105">
      <c r="A105" s="47" t="str">
        <f>IFERROR(__xludf.DUMMYFUNCTION("""COMPUTED_VALUE"""),"GeodudeDK")</f>
        <v>GeodudeDK</v>
      </c>
      <c r="B105" s="47">
        <f t="shared" si="1"/>
        <v>1</v>
      </c>
      <c r="C105" s="47" t="b">
        <v>0</v>
      </c>
      <c r="D105" s="47" t="b">
        <v>0</v>
      </c>
      <c r="E105" s="47" t="b">
        <v>0</v>
      </c>
      <c r="F105" s="47" t="b">
        <v>0</v>
      </c>
      <c r="G105" s="96"/>
      <c r="H105" s="96" t="b">
        <f>if(countifs('Berlin, GER'!Q:Q,A105,'Berlin, GER'!I:I,TRUE),TRUE,FALSE)</f>
        <v>0</v>
      </c>
      <c r="I105" s="96" t="b">
        <f>if(countifs('Escondido, USA'!Q:Q,A105,'Escondido, USA'!I:I,TRUE),TRUE,FALSE)</f>
        <v>0</v>
      </c>
      <c r="J105" s="96" t="b">
        <f>if(countifs('Onkaparinga_Hills, AUS'!Q:Q,A105,'Onkaparinga_Hills, AUS'!I:I,TRUE),TRUE,FALSE)</f>
        <v>0</v>
      </c>
      <c r="K105" s="96" t="b">
        <f>if(countifs('Perth, AUS'!Q:Q,A105,'Perth, AUS'!I:I,TRUE),TRUE,FALSE)</f>
        <v>0</v>
      </c>
      <c r="L105" s="96" t="b">
        <f>if(countifs('Raleigh, USA'!Q:Q,A105,'Raleigh, USA'!I:I,TRUE),TRUE,FALSE)</f>
        <v>0</v>
      </c>
      <c r="M105" s="96" t="b">
        <f>if(countifs('Browns Plains, AUS'!Q:Q,A105,'Browns Plains, AUS'!I:I,TRUE),TRUE,FALSE)</f>
        <v>0</v>
      </c>
      <c r="N105" s="96" t="b">
        <f>if(countifs('Brossard, CAN'!Q:Q,A105,'Brossard, CAN'!I:I,TRUE),TRUE,FALSE)</f>
        <v>0</v>
      </c>
      <c r="O105" s="96" t="b">
        <f>if(countifs('Gouda, NL'!Q:Q,$A105,'Gouda, NL'!$I:$I,TRUE),TRUE,FALSE)</f>
        <v>0</v>
      </c>
      <c r="P105" s="47" t="b">
        <f>if(countifs('Plympton, UK'!Q:Q,$A105,'Plympton, UK'!$I:$I,TRUE),TRUE,FALSE)</f>
        <v>0</v>
      </c>
      <c r="Q105" s="47" t="b">
        <f>if(countifs('Glen Oaks, USA'!Q:Q,$A105,'Glen Oaks, USA'!$I:$I,TRUE),TRUE,FALSE)</f>
        <v>0</v>
      </c>
      <c r="R105" s="47" t="b">
        <f>if(countifs('Chemnitz, GER'!Q:Q,$A105,'Chemnitz, GER'!I:I,TRUE),TRUE,FALSE)</f>
        <v>0</v>
      </c>
      <c r="S105" s="47" t="b">
        <f>if(countifs('Vosselaar, BE'!Q:Q,$A105,'Vosselaar, BE'!$I:$I,TRUE),TRUE,FALSE)</f>
        <v>0</v>
      </c>
      <c r="T105" s="47" t="b">
        <f>if(countifs('MHQ, USA'!Q:Q,$A105,'MHQ, USA'!$I:$I,TRUE),TRUE,FALSE)</f>
        <v>0</v>
      </c>
      <c r="U105" s="47" t="b">
        <f>if(countifs('Morayfield, AUS'!Q:Q,$A105,'Morayfield, AUS'!$I:$I,TRUE),TRUE,FALSE)</f>
        <v>0</v>
      </c>
      <c r="V105" s="11" t="b">
        <f>if(countifs('Arnhem, NL'!Q:Q,$A105,'Arnhem, NL'!$I:$I,TRUE),TRUE,FALSE)</f>
        <v>0</v>
      </c>
      <c r="W105" s="47" t="b">
        <f>if(countifs('Gotenborg, SW'!Q:Q,$A105,'Gotenborg, SW'!$I:$I,TRUE),TRUE,FALSE)</f>
        <v>1</v>
      </c>
      <c r="X105" s="47" t="b">
        <f>if(countifs('Shepparton, AUS'!Q:Q,$A105,'Shepparton, AUS'!$I:$I,TRUE),TRUE,FALSE)</f>
        <v>0</v>
      </c>
      <c r="Y105" s="47" t="b">
        <f>if(countifs('Hoofddorp, NL'!Q:Q,$A105,'Hoofddorp, NL'!$I:$I,TRUE),TRUE,FALSE)</f>
        <v>0</v>
      </c>
      <c r="Z105" s="47" t="b">
        <f>if(countifs('Bedford, UK'!Q:Q,$A105,'Bedford, UK'!$I:$I,TRUE),TRUE,FALSE)</f>
        <v>0</v>
      </c>
      <c r="AA105" s="47" t="b">
        <f>IF(COUNTIFS('Desert Lodge, USA'!Q:Q,$A105,'Desert Lodge, USA'!I:I,TRUE),TRUE,FALSE)</f>
        <v>0</v>
      </c>
      <c r="AB105" s="47" t="b">
        <f>if(countifs('Dapto, AUS'!Q:Q,$A105,'Dapto, AUS'!$I:$I,TRUE),TRUE,FALSE)</f>
        <v>0</v>
      </c>
      <c r="AC105" s="47" t="b">
        <f>if(countifs('New Westminster, CAN'!Q:Q,$A105,'New Westminster, CAN'!$I:$I,TRUE),TRUE,FALSE)</f>
        <v>0</v>
      </c>
      <c r="AD105" s="47" t="b">
        <f>if(countifs('Georgetown, CAN'!Q:Q,$A105,'Georgetown, CAN'!$I:$I,TRUE),TRUE,FALSE)</f>
        <v>0</v>
      </c>
      <c r="AE105" s="47" t="b">
        <f>if(countifs('Kingswood, UK'!Q:Q,$A105,'Kingswood, UK'!$I:$I,TRUE),TRUE,FALSE)</f>
        <v>0</v>
      </c>
      <c r="AF105" s="47" t="b">
        <f>if(countifs('Hagerstown, USA'!Q:Q,$A105,'Hagerstown, USA'!$I:$I,TRUE),TRUE,FALSE)</f>
        <v>0</v>
      </c>
      <c r="AG105" s="47" t="b">
        <f>if(countifs('Felsogalla, HU'!Q:Q,$A105,'Felsogalla, HU'!$I:$I,TRUE),TRUE,FALSE)</f>
        <v>0</v>
      </c>
      <c r="AH105" s="47" t="b">
        <f>if(countifs('Norlane, AUS'!Q:Q,$A105,'Norlane, AUS'!$I:$I,TRUE),TRUE,FALSE)</f>
        <v>0</v>
      </c>
      <c r="AI105" s="47" t="b">
        <f>if(countifs('Meitingen, GER'!Q:Q,$A105,'Meitingen, GER'!$I:$I,TRUE),TRUE,FALSE)</f>
        <v>0</v>
      </c>
      <c r="AJ105" s="47" t="b">
        <f>if(countifs('Groningen, NL'!Q:Q,$A105,'Groningen, NL'!$I:$I,TRUE),TRUE,FALSE)</f>
        <v>0</v>
      </c>
      <c r="AK105" s="47" t="b">
        <f>if(countifs('Linköping, SW'!Q:Q,$A105,'Linköping, SW'!$I:$I,TRUE),TRUE,FALSE)</f>
        <v>0</v>
      </c>
      <c r="AL105" s="47" t="b">
        <f>if(countifs('Austin, USA'!Q:Q,$A105,'Austin, USA'!$I:$I,TRUE),TRUE,FALSE)</f>
        <v>0</v>
      </c>
      <c r="AM105" s="47" t="b">
        <f>if(countifs('Thringstone, UK'!Q:Q,$A105,'Thringstone, UK'!$I:$I,TRUE),TRUE,FALSE)</f>
        <v>0</v>
      </c>
      <c r="AN105" s="47" t="b">
        <f>if(countifs('Andover, UK'!Q:Q,$A105,'Andover, UK'!$I:$I,TRUE),TRUE,FALSE)</f>
        <v>0</v>
      </c>
      <c r="AO105" s="47" t="b">
        <f>if(countifs('Ospel, NL'!Q:Q,$A105,'Ospel, NL'!$I:$I,TRUE),TRUE,FALSE)</f>
        <v>0</v>
      </c>
      <c r="AP105" s="47" t="b">
        <f>if(countifs('Wonthaggi, AUS'!Q:Q,$A105,'Wonthaggi, AUS'!$I:$I,TRUE),TRUE,FALSE)</f>
        <v>0</v>
      </c>
      <c r="AQ105" s="47" t="b">
        <f>if(countifs('Falling_Waters, USA'!$Q:$Q,$A105,'Falling_Waters, USA'!$I:$I,TRUE),TRUE,FALSE)</f>
        <v>0</v>
      </c>
      <c r="AR105" s="47" t="b">
        <f>if(countifs('Kelmscott, AUS'!Q:Q,$A105,'Kelmscott, AUS'!$I:$I,TRUE),TRUE,FALSE)</f>
        <v>0</v>
      </c>
    </row>
    <row r="106">
      <c r="A106" s="47" t="str">
        <f>IFERROR(__xludf.DUMMYFUNCTION("""COMPUTED_VALUE"""),"Mallet75")</f>
        <v>Mallet75</v>
      </c>
      <c r="B106" s="47">
        <f t="shared" si="1"/>
        <v>2</v>
      </c>
      <c r="C106" s="47" t="b">
        <v>0</v>
      </c>
      <c r="D106" s="47" t="b">
        <v>0</v>
      </c>
      <c r="E106" s="47" t="b">
        <v>0</v>
      </c>
      <c r="F106" s="47" t="b">
        <v>0</v>
      </c>
      <c r="G106" s="96"/>
      <c r="H106" s="96" t="b">
        <f>if(countifs('Berlin, GER'!Q:Q,A106,'Berlin, GER'!I:I,TRUE),TRUE,FALSE)</f>
        <v>0</v>
      </c>
      <c r="I106" s="96" t="b">
        <f>if(countifs('Escondido, USA'!Q:Q,A106,'Escondido, USA'!I:I,TRUE),TRUE,FALSE)</f>
        <v>0</v>
      </c>
      <c r="J106" s="96" t="b">
        <f>if(countifs('Onkaparinga_Hills, AUS'!Q:Q,A106,'Onkaparinga_Hills, AUS'!I:I,TRUE),TRUE,FALSE)</f>
        <v>0</v>
      </c>
      <c r="K106" s="96" t="b">
        <f>if(countifs('Perth, AUS'!Q:Q,A106,'Perth, AUS'!I:I,TRUE),TRUE,FALSE)</f>
        <v>0</v>
      </c>
      <c r="L106" s="96" t="b">
        <f>if(countifs('Raleigh, USA'!Q:Q,A106,'Raleigh, USA'!I:I,TRUE),TRUE,FALSE)</f>
        <v>0</v>
      </c>
      <c r="M106" s="96" t="b">
        <f>if(countifs('Browns Plains, AUS'!Q:Q,A106,'Browns Plains, AUS'!I:I,TRUE),TRUE,FALSE)</f>
        <v>0</v>
      </c>
      <c r="N106" s="96" t="b">
        <f>if(countifs('Brossard, CAN'!Q:Q,A106,'Brossard, CAN'!I:I,TRUE),TRUE,FALSE)</f>
        <v>0</v>
      </c>
      <c r="O106" s="96" t="b">
        <f>if(countifs('Gouda, NL'!Q:Q,$A106,'Gouda, NL'!$I:$I,TRUE),TRUE,FALSE)</f>
        <v>0</v>
      </c>
      <c r="P106" s="47" t="b">
        <f>if(countifs('Plympton, UK'!Q:Q,$A106,'Plympton, UK'!$I:$I,TRUE),TRUE,FALSE)</f>
        <v>0</v>
      </c>
      <c r="Q106" s="47" t="b">
        <f>if(countifs('Glen Oaks, USA'!Q:Q,$A106,'Glen Oaks, USA'!$I:$I,TRUE),TRUE,FALSE)</f>
        <v>0</v>
      </c>
      <c r="R106" s="47" t="b">
        <f>if(countifs('Chemnitz, GER'!Q:Q,$A106,'Chemnitz, GER'!I:I,TRUE),TRUE,FALSE)</f>
        <v>0</v>
      </c>
      <c r="S106" s="47" t="b">
        <f>if(countifs('Vosselaar, BE'!Q:Q,$A106,'Vosselaar, BE'!$I:$I,TRUE),TRUE,FALSE)</f>
        <v>0</v>
      </c>
      <c r="T106" s="47" t="b">
        <f>if(countifs('MHQ, USA'!Q:Q,$A106,'MHQ, USA'!$I:$I,TRUE),TRUE,FALSE)</f>
        <v>0</v>
      </c>
      <c r="U106" s="47" t="b">
        <f>if(countifs('Morayfield, AUS'!Q:Q,$A106,'Morayfield, AUS'!$I:$I,TRUE),TRUE,FALSE)</f>
        <v>0</v>
      </c>
      <c r="V106" s="11" t="b">
        <f>if(countifs('Arnhem, NL'!Q:Q,$A106,'Arnhem, NL'!$I:$I,TRUE),TRUE,FALSE)</f>
        <v>0</v>
      </c>
      <c r="W106" s="47" t="b">
        <f>if(countifs('Gotenborg, SW'!Q:Q,$A106,'Gotenborg, SW'!$I:$I,TRUE),TRUE,FALSE)</f>
        <v>1</v>
      </c>
      <c r="X106" s="47" t="b">
        <f>if(countifs('Shepparton, AUS'!Q:Q,$A106,'Shepparton, AUS'!$I:$I,TRUE),TRUE,FALSE)</f>
        <v>0</v>
      </c>
      <c r="Y106" s="47" t="b">
        <f>if(countifs('Hoofddorp, NL'!Q:Q,$A106,'Hoofddorp, NL'!$I:$I,TRUE),TRUE,FALSE)</f>
        <v>0</v>
      </c>
      <c r="Z106" s="47" t="b">
        <f>if(countifs('Bedford, UK'!Q:Q,$A106,'Bedford, UK'!$I:$I,TRUE),TRUE,FALSE)</f>
        <v>0</v>
      </c>
      <c r="AA106" s="47" t="b">
        <f>IF(COUNTIFS('Desert Lodge, USA'!Q:Q,$A106,'Desert Lodge, USA'!I:I,TRUE),TRUE,FALSE)</f>
        <v>1</v>
      </c>
      <c r="AB106" s="47" t="b">
        <f>if(countifs('Dapto, AUS'!Q:Q,$A106,'Dapto, AUS'!$I:$I,TRUE),TRUE,FALSE)</f>
        <v>0</v>
      </c>
      <c r="AC106" s="47" t="b">
        <f>if(countifs('New Westminster, CAN'!Q:Q,$A106,'New Westminster, CAN'!$I:$I,TRUE),TRUE,FALSE)</f>
        <v>0</v>
      </c>
      <c r="AD106" s="47" t="b">
        <f>if(countifs('Georgetown, CAN'!Q:Q,$A106,'Georgetown, CAN'!$I:$I,TRUE),TRUE,FALSE)</f>
        <v>0</v>
      </c>
      <c r="AE106" s="47" t="b">
        <f>if(countifs('Kingswood, UK'!Q:Q,$A106,'Kingswood, UK'!$I:$I,TRUE),TRUE,FALSE)</f>
        <v>0</v>
      </c>
      <c r="AF106" s="47" t="b">
        <f>if(countifs('Hagerstown, USA'!Q:Q,$A106,'Hagerstown, USA'!$I:$I,TRUE),TRUE,FALSE)</f>
        <v>0</v>
      </c>
      <c r="AG106" s="47" t="b">
        <f>if(countifs('Felsogalla, HU'!Q:Q,$A106,'Felsogalla, HU'!$I:$I,TRUE),TRUE,FALSE)</f>
        <v>0</v>
      </c>
      <c r="AH106" s="47" t="b">
        <f>if(countifs('Norlane, AUS'!Q:Q,$A106,'Norlane, AUS'!$I:$I,TRUE),TRUE,FALSE)</f>
        <v>0</v>
      </c>
      <c r="AI106" s="47" t="b">
        <f>if(countifs('Meitingen, GER'!Q:Q,$A106,'Meitingen, GER'!$I:$I,TRUE),TRUE,FALSE)</f>
        <v>0</v>
      </c>
      <c r="AJ106" s="47" t="b">
        <f>if(countifs('Groningen, NL'!Q:Q,$A106,'Groningen, NL'!$I:$I,TRUE),TRUE,FALSE)</f>
        <v>0</v>
      </c>
      <c r="AK106" s="47" t="b">
        <f>if(countifs('Linköping, SW'!Q:Q,$A106,'Linköping, SW'!$I:$I,TRUE),TRUE,FALSE)</f>
        <v>0</v>
      </c>
      <c r="AL106" s="47" t="b">
        <f>if(countifs('Austin, USA'!Q:Q,$A106,'Austin, USA'!$I:$I,TRUE),TRUE,FALSE)</f>
        <v>0</v>
      </c>
      <c r="AM106" s="47" t="b">
        <f>if(countifs('Thringstone, UK'!Q:Q,$A106,'Thringstone, UK'!$I:$I,TRUE),TRUE,FALSE)</f>
        <v>0</v>
      </c>
      <c r="AN106" s="47" t="b">
        <f>if(countifs('Andover, UK'!Q:Q,$A106,'Andover, UK'!$I:$I,TRUE),TRUE,FALSE)</f>
        <v>0</v>
      </c>
      <c r="AO106" s="47" t="b">
        <f>if(countifs('Ospel, NL'!Q:Q,$A106,'Ospel, NL'!$I:$I,TRUE),TRUE,FALSE)</f>
        <v>0</v>
      </c>
      <c r="AP106" s="47" t="b">
        <f>if(countifs('Wonthaggi, AUS'!Q:Q,$A106,'Wonthaggi, AUS'!$I:$I,TRUE),TRUE,FALSE)</f>
        <v>0</v>
      </c>
      <c r="AQ106" s="47" t="b">
        <f>if(countifs('Falling_Waters, USA'!$Q:$Q,$A106,'Falling_Waters, USA'!$I:$I,TRUE),TRUE,FALSE)</f>
        <v>0</v>
      </c>
      <c r="AR106" s="47" t="b">
        <f>if(countifs('Kelmscott, AUS'!Q:Q,$A106,'Kelmscott, AUS'!$I:$I,TRUE),TRUE,FALSE)</f>
        <v>0</v>
      </c>
    </row>
    <row r="107">
      <c r="A107" s="47" t="str">
        <f>IFERROR(__xludf.DUMMYFUNCTION("""COMPUTED_VALUE"""),"Jasper95")</f>
        <v>Jasper95</v>
      </c>
      <c r="B107" s="47">
        <f t="shared" si="1"/>
        <v>1</v>
      </c>
      <c r="C107" s="47" t="b">
        <v>0</v>
      </c>
      <c r="D107" s="47" t="b">
        <v>0</v>
      </c>
      <c r="E107" s="47" t="b">
        <v>0</v>
      </c>
      <c r="F107" s="47" t="b">
        <v>0</v>
      </c>
      <c r="G107" s="96"/>
      <c r="H107" s="96" t="b">
        <f>if(countifs('Berlin, GER'!Q:Q,A107,'Berlin, GER'!I:I,TRUE),TRUE,FALSE)</f>
        <v>0</v>
      </c>
      <c r="I107" s="96" t="b">
        <f>if(countifs('Escondido, USA'!Q:Q,A107,'Escondido, USA'!I:I,TRUE),TRUE,FALSE)</f>
        <v>0</v>
      </c>
      <c r="J107" s="96" t="b">
        <f>if(countifs('Onkaparinga_Hills, AUS'!Q:Q,A107,'Onkaparinga_Hills, AUS'!I:I,TRUE),TRUE,FALSE)</f>
        <v>0</v>
      </c>
      <c r="K107" s="96" t="b">
        <f>if(countifs('Perth, AUS'!Q:Q,A107,'Perth, AUS'!I:I,TRUE),TRUE,FALSE)</f>
        <v>0</v>
      </c>
      <c r="L107" s="96" t="b">
        <f>if(countifs('Raleigh, USA'!Q:Q,A107,'Raleigh, USA'!I:I,TRUE),TRUE,FALSE)</f>
        <v>0</v>
      </c>
      <c r="M107" s="96" t="b">
        <f>if(countifs('Browns Plains, AUS'!Q:Q,A107,'Browns Plains, AUS'!I:I,TRUE),TRUE,FALSE)</f>
        <v>0</v>
      </c>
      <c r="N107" s="96" t="b">
        <f>if(countifs('Brossard, CAN'!Q:Q,A107,'Brossard, CAN'!I:I,TRUE),TRUE,FALSE)</f>
        <v>0</v>
      </c>
      <c r="O107" s="96" t="b">
        <f>if(countifs('Gouda, NL'!Q:Q,$A107,'Gouda, NL'!$I:$I,TRUE),TRUE,FALSE)</f>
        <v>0</v>
      </c>
      <c r="P107" s="47" t="b">
        <f>if(countifs('Plympton, UK'!Q:Q,$A107,'Plympton, UK'!$I:$I,TRUE),TRUE,FALSE)</f>
        <v>0</v>
      </c>
      <c r="Q107" s="47" t="b">
        <f>if(countifs('Glen Oaks, USA'!Q:Q,$A107,'Glen Oaks, USA'!$I:$I,TRUE),TRUE,FALSE)</f>
        <v>0</v>
      </c>
      <c r="R107" s="47" t="b">
        <f>if(countifs('Chemnitz, GER'!Q:Q,$A107,'Chemnitz, GER'!I:I,TRUE),TRUE,FALSE)</f>
        <v>0</v>
      </c>
      <c r="S107" s="47" t="b">
        <f>if(countifs('Vosselaar, BE'!Q:Q,$A107,'Vosselaar, BE'!$I:$I,TRUE),TRUE,FALSE)</f>
        <v>0</v>
      </c>
      <c r="T107" s="47" t="b">
        <f>if(countifs('MHQ, USA'!Q:Q,$A107,'MHQ, USA'!$I:$I,TRUE),TRUE,FALSE)</f>
        <v>0</v>
      </c>
      <c r="U107" s="47" t="b">
        <f>if(countifs('Morayfield, AUS'!Q:Q,$A107,'Morayfield, AUS'!$I:$I,TRUE),TRUE,FALSE)</f>
        <v>0</v>
      </c>
      <c r="V107" s="11" t="b">
        <f>if(countifs('Arnhem, NL'!Q:Q,$A107,'Arnhem, NL'!$I:$I,TRUE),TRUE,FALSE)</f>
        <v>0</v>
      </c>
      <c r="W107" s="47" t="b">
        <f>if(countifs('Gotenborg, SW'!Q:Q,$A107,'Gotenborg, SW'!$I:$I,TRUE),TRUE,FALSE)</f>
        <v>0</v>
      </c>
      <c r="X107" s="47" t="b">
        <f>if(countifs('Shepparton, AUS'!Q:Q,$A107,'Shepparton, AUS'!$I:$I,TRUE),TRUE,FALSE)</f>
        <v>1</v>
      </c>
      <c r="Y107" s="47" t="b">
        <f>if(countifs('Hoofddorp, NL'!Q:Q,$A107,'Hoofddorp, NL'!$I:$I,TRUE),TRUE,FALSE)</f>
        <v>0</v>
      </c>
      <c r="Z107" s="47" t="b">
        <f>if(countifs('Bedford, UK'!Q:Q,$A107,'Bedford, UK'!$I:$I,TRUE),TRUE,FALSE)</f>
        <v>0</v>
      </c>
      <c r="AA107" s="47" t="b">
        <f>IF(COUNTIFS('Desert Lodge, USA'!Q:Q,$A107,'Desert Lodge, USA'!I:I,TRUE),TRUE,FALSE)</f>
        <v>0</v>
      </c>
      <c r="AB107" s="47" t="b">
        <f>if(countifs('Dapto, AUS'!Q:Q,$A107,'Dapto, AUS'!$I:$I,TRUE),TRUE,FALSE)</f>
        <v>0</v>
      </c>
      <c r="AC107" s="47" t="b">
        <f>if(countifs('New Westminster, CAN'!Q:Q,$A107,'New Westminster, CAN'!$I:$I,TRUE),TRUE,FALSE)</f>
        <v>0</v>
      </c>
      <c r="AD107" s="47" t="b">
        <f>if(countifs('Georgetown, CAN'!Q:Q,$A107,'Georgetown, CAN'!$I:$I,TRUE),TRUE,FALSE)</f>
        <v>0</v>
      </c>
      <c r="AE107" s="47" t="b">
        <f>if(countifs('Kingswood, UK'!Q:Q,$A107,'Kingswood, UK'!$I:$I,TRUE),TRUE,FALSE)</f>
        <v>0</v>
      </c>
      <c r="AF107" s="47" t="b">
        <f>if(countifs('Hagerstown, USA'!Q:Q,$A107,'Hagerstown, USA'!$I:$I,TRUE),TRUE,FALSE)</f>
        <v>0</v>
      </c>
      <c r="AG107" s="47" t="b">
        <f>if(countifs('Felsogalla, HU'!Q:Q,$A107,'Felsogalla, HU'!$I:$I,TRUE),TRUE,FALSE)</f>
        <v>0</v>
      </c>
      <c r="AH107" s="47" t="b">
        <f>if(countifs('Norlane, AUS'!Q:Q,$A107,'Norlane, AUS'!$I:$I,TRUE),TRUE,FALSE)</f>
        <v>0</v>
      </c>
      <c r="AI107" s="47" t="b">
        <f>if(countifs('Meitingen, GER'!Q:Q,$A107,'Meitingen, GER'!$I:$I,TRUE),TRUE,FALSE)</f>
        <v>0</v>
      </c>
      <c r="AJ107" s="47" t="b">
        <f>if(countifs('Groningen, NL'!Q:Q,$A107,'Groningen, NL'!$I:$I,TRUE),TRUE,FALSE)</f>
        <v>0</v>
      </c>
      <c r="AK107" s="47" t="b">
        <f>if(countifs('Linköping, SW'!Q:Q,$A107,'Linköping, SW'!$I:$I,TRUE),TRUE,FALSE)</f>
        <v>0</v>
      </c>
      <c r="AL107" s="47" t="b">
        <f>if(countifs('Austin, USA'!Q:Q,$A107,'Austin, USA'!$I:$I,TRUE),TRUE,FALSE)</f>
        <v>0</v>
      </c>
      <c r="AM107" s="47" t="b">
        <f>if(countifs('Thringstone, UK'!Q:Q,$A107,'Thringstone, UK'!$I:$I,TRUE),TRUE,FALSE)</f>
        <v>0</v>
      </c>
      <c r="AN107" s="47" t="b">
        <f>if(countifs('Andover, UK'!Q:Q,$A107,'Andover, UK'!$I:$I,TRUE),TRUE,FALSE)</f>
        <v>0</v>
      </c>
      <c r="AO107" s="47" t="b">
        <f>if(countifs('Ospel, NL'!Q:Q,$A107,'Ospel, NL'!$I:$I,TRUE),TRUE,FALSE)</f>
        <v>0</v>
      </c>
      <c r="AP107" s="47" t="b">
        <f>if(countifs('Wonthaggi, AUS'!Q:Q,$A107,'Wonthaggi, AUS'!$I:$I,TRUE),TRUE,FALSE)</f>
        <v>0</v>
      </c>
      <c r="AQ107" s="47" t="b">
        <f>if(countifs('Falling_Waters, USA'!$Q:$Q,$A107,'Falling_Waters, USA'!$I:$I,TRUE),TRUE,FALSE)</f>
        <v>0</v>
      </c>
      <c r="AR107" s="47" t="b">
        <f>if(countifs('Kelmscott, AUS'!Q:Q,$A107,'Kelmscott, AUS'!$I:$I,TRUE),TRUE,FALSE)</f>
        <v>0</v>
      </c>
    </row>
    <row r="108">
      <c r="A108" s="47" t="str">
        <f>IFERROR(__xludf.DUMMYFUNCTION("""COMPUTED_VALUE"""),"res2100")</f>
        <v>res2100</v>
      </c>
      <c r="B108" s="47">
        <f t="shared" si="1"/>
        <v>19</v>
      </c>
      <c r="C108" s="47" t="b">
        <v>0</v>
      </c>
      <c r="D108" s="47" t="b">
        <v>0</v>
      </c>
      <c r="E108" s="47" t="b">
        <v>0</v>
      </c>
      <c r="F108" s="47" t="b">
        <v>0</v>
      </c>
      <c r="G108" s="96"/>
      <c r="H108" s="96" t="b">
        <f>if(countifs('Berlin, GER'!Q:Q,A108,'Berlin, GER'!I:I,TRUE),TRUE,FALSE)</f>
        <v>0</v>
      </c>
      <c r="I108" s="96" t="b">
        <f>if(countifs('Escondido, USA'!Q:Q,A108,'Escondido, USA'!I:I,TRUE),TRUE,FALSE)</f>
        <v>0</v>
      </c>
      <c r="J108" s="96" t="b">
        <f>if(countifs('Onkaparinga_Hills, AUS'!Q:Q,A108,'Onkaparinga_Hills, AUS'!I:I,TRUE),TRUE,FALSE)</f>
        <v>0</v>
      </c>
      <c r="K108" s="96" t="b">
        <f>if(countifs('Perth, AUS'!Q:Q,A108,'Perth, AUS'!I:I,TRUE),TRUE,FALSE)</f>
        <v>0</v>
      </c>
      <c r="L108" s="96" t="b">
        <f>if(countifs('Raleigh, USA'!Q:Q,A108,'Raleigh, USA'!I:I,TRUE),TRUE,FALSE)</f>
        <v>0</v>
      </c>
      <c r="M108" s="96" t="b">
        <f>if(countifs('Browns Plains, AUS'!Q:Q,A108,'Browns Plains, AUS'!I:I,TRUE),TRUE,FALSE)</f>
        <v>0</v>
      </c>
      <c r="N108" s="96" t="b">
        <f>if(countifs('Brossard, CAN'!Q:Q,A108,'Brossard, CAN'!I:I,TRUE),TRUE,FALSE)</f>
        <v>0</v>
      </c>
      <c r="O108" s="96" t="b">
        <f>if(countifs('Gouda, NL'!Q:Q,$A108,'Gouda, NL'!$I:$I,TRUE),TRUE,FALSE)</f>
        <v>0</v>
      </c>
      <c r="P108" s="47" t="b">
        <f>if(countifs('Plympton, UK'!Q:Q,$A108,'Plympton, UK'!$I:$I,TRUE),TRUE,FALSE)</f>
        <v>0</v>
      </c>
      <c r="Q108" s="47" t="b">
        <f>if(countifs('Glen Oaks, USA'!Q:Q,$A108,'Glen Oaks, USA'!$I:$I,TRUE),TRUE,FALSE)</f>
        <v>0</v>
      </c>
      <c r="R108" s="47" t="b">
        <f>if(countifs('Chemnitz, GER'!Q:Q,$A108,'Chemnitz, GER'!I:I,TRUE),TRUE,FALSE)</f>
        <v>0</v>
      </c>
      <c r="S108" s="47" t="b">
        <f>if(countifs('Vosselaar, BE'!Q:Q,$A108,'Vosselaar, BE'!$I:$I,TRUE),TRUE,FALSE)</f>
        <v>0</v>
      </c>
      <c r="T108" s="47" t="b">
        <f>if(countifs('MHQ, USA'!Q:Q,$A108,'MHQ, USA'!$I:$I,TRUE),TRUE,FALSE)</f>
        <v>0</v>
      </c>
      <c r="U108" s="47" t="b">
        <f>if(countifs('Morayfield, AUS'!Q:Q,$A108,'Morayfield, AUS'!$I:$I,TRUE),TRUE,FALSE)</f>
        <v>0</v>
      </c>
      <c r="V108" s="11" t="b">
        <f>if(countifs('Arnhem, NL'!Q:Q,$A108,'Arnhem, NL'!$I:$I,TRUE),TRUE,FALSE)</f>
        <v>0</v>
      </c>
      <c r="W108" s="47" t="b">
        <f>if(countifs('Gotenborg, SW'!Q:Q,$A108,'Gotenborg, SW'!$I:$I,TRUE),TRUE,FALSE)</f>
        <v>0</v>
      </c>
      <c r="X108" s="47" t="b">
        <f>if(countifs('Shepparton, AUS'!Q:Q,$A108,'Shepparton, AUS'!$I:$I,TRUE),TRUE,FALSE)</f>
        <v>1</v>
      </c>
      <c r="Y108" s="47" t="b">
        <f>if(countifs('Hoofddorp, NL'!Q:Q,$A108,'Hoofddorp, NL'!$I:$I,TRUE),TRUE,FALSE)</f>
        <v>1</v>
      </c>
      <c r="Z108" s="47" t="b">
        <f>if(countifs('Bedford, UK'!Q:Q,$A108,'Bedford, UK'!$I:$I,TRUE),TRUE,FALSE)</f>
        <v>1</v>
      </c>
      <c r="AA108" s="47" t="b">
        <f>IF(COUNTIFS('Desert Lodge, USA'!Q:Q,$A108,'Desert Lodge, USA'!I:I,TRUE),TRUE,FALSE)</f>
        <v>0</v>
      </c>
      <c r="AB108" s="47" t="b">
        <f>if(countifs('Dapto, AUS'!Q:Q,$A108,'Dapto, AUS'!$I:$I,TRUE),TRUE,FALSE)</f>
        <v>1</v>
      </c>
      <c r="AC108" s="47" t="b">
        <f>if(countifs('New Westminster, CAN'!Q:Q,$A108,'New Westminster, CAN'!$I:$I,TRUE),TRUE,FALSE)</f>
        <v>1</v>
      </c>
      <c r="AD108" s="47" t="b">
        <f>if(countifs('Georgetown, CAN'!Q:Q,$A108,'Georgetown, CAN'!$I:$I,TRUE),TRUE,FALSE)</f>
        <v>1</v>
      </c>
      <c r="AE108" s="47" t="b">
        <f>if(countifs('Kingswood, UK'!Q:Q,$A108,'Kingswood, UK'!$I:$I,TRUE),TRUE,FALSE)</f>
        <v>1</v>
      </c>
      <c r="AF108" s="47" t="b">
        <f>if(countifs('Hagerstown, USA'!Q:Q,$A108,'Hagerstown, USA'!$I:$I,TRUE),TRUE,FALSE)</f>
        <v>1</v>
      </c>
      <c r="AG108" s="47" t="b">
        <f>if(countifs('Felsogalla, HU'!Q:Q,$A108,'Felsogalla, HU'!$I:$I,TRUE),TRUE,FALSE)</f>
        <v>1</v>
      </c>
      <c r="AH108" s="47" t="b">
        <f>if(countifs('Norlane, AUS'!Q:Q,$A108,'Norlane, AUS'!$I:$I,TRUE),TRUE,FALSE)</f>
        <v>1</v>
      </c>
      <c r="AI108" s="47" t="b">
        <f>if(countifs('Meitingen, GER'!Q:Q,$A108,'Meitingen, GER'!$I:$I,TRUE),TRUE,FALSE)</f>
        <v>1</v>
      </c>
      <c r="AJ108" s="47" t="b">
        <f>if(countifs('Groningen, NL'!Q:Q,$A108,'Groningen, NL'!$I:$I,TRUE),TRUE,FALSE)</f>
        <v>1</v>
      </c>
      <c r="AK108" s="47" t="b">
        <f>if(countifs('Linköping, SW'!Q:Q,$A108,'Linköping, SW'!$I:$I,TRUE),TRUE,FALSE)</f>
        <v>1</v>
      </c>
      <c r="AL108" s="47" t="b">
        <f>if(countifs('Austin, USA'!Q:Q,$A108,'Austin, USA'!$I:$I,TRUE),TRUE,FALSE)</f>
        <v>0</v>
      </c>
      <c r="AM108" s="47" t="b">
        <f>if(countifs('Thringstone, UK'!Q:Q,$A108,'Thringstone, UK'!$I:$I,TRUE),TRUE,FALSE)</f>
        <v>1</v>
      </c>
      <c r="AN108" s="47" t="b">
        <f>if(countifs('Andover, UK'!Q:Q,$A108,'Andover, UK'!$I:$I,TRUE),TRUE,FALSE)</f>
        <v>1</v>
      </c>
      <c r="AO108" s="47" t="b">
        <f>if(countifs('Ospel, NL'!Q:Q,$A108,'Ospel, NL'!$I:$I,TRUE),TRUE,FALSE)</f>
        <v>1</v>
      </c>
      <c r="AP108" s="47" t="b">
        <f>if(countifs('Wonthaggi, AUS'!Q:Q,$A108,'Wonthaggi, AUS'!$I:$I,TRUE),TRUE,FALSE)</f>
        <v>1</v>
      </c>
      <c r="AQ108" s="47" t="b">
        <f>if(countifs('Falling_Waters, USA'!$Q:$Q,$A108,'Falling_Waters, USA'!$I:$I,TRUE),TRUE,FALSE)</f>
        <v>1</v>
      </c>
      <c r="AR108" s="47" t="b">
        <f>if(countifs('Kelmscott, AUS'!Q:Q,$A108,'Kelmscott, AUS'!$I:$I,TRUE),TRUE,FALSE)</f>
        <v>1</v>
      </c>
    </row>
    <row r="109">
      <c r="A109" s="47" t="str">
        <f>IFERROR(__xludf.DUMMYFUNCTION("""COMPUTED_VALUE"""),"Ellesche")</f>
        <v>Ellesche</v>
      </c>
      <c r="B109" s="47">
        <f t="shared" si="1"/>
        <v>18</v>
      </c>
      <c r="C109" s="47" t="b">
        <v>0</v>
      </c>
      <c r="D109" s="47" t="b">
        <v>0</v>
      </c>
      <c r="E109" s="47" t="b">
        <v>0</v>
      </c>
      <c r="F109" s="47" t="b">
        <v>0</v>
      </c>
      <c r="G109" s="96"/>
      <c r="H109" s="96" t="b">
        <f>if(countifs('Berlin, GER'!Q:Q,A109,'Berlin, GER'!I:I,TRUE),TRUE,FALSE)</f>
        <v>0</v>
      </c>
      <c r="I109" s="96" t="b">
        <f>if(countifs('Escondido, USA'!Q:Q,A109,'Escondido, USA'!I:I,TRUE),TRUE,FALSE)</f>
        <v>0</v>
      </c>
      <c r="J109" s="96" t="b">
        <f>if(countifs('Onkaparinga_Hills, AUS'!Q:Q,A109,'Onkaparinga_Hills, AUS'!I:I,TRUE),TRUE,FALSE)</f>
        <v>0</v>
      </c>
      <c r="K109" s="96" t="b">
        <f>if(countifs('Perth, AUS'!Q:Q,A109,'Perth, AUS'!I:I,TRUE),TRUE,FALSE)</f>
        <v>0</v>
      </c>
      <c r="L109" s="96" t="b">
        <f>if(countifs('Raleigh, USA'!Q:Q,A109,'Raleigh, USA'!I:I,TRUE),TRUE,FALSE)</f>
        <v>0</v>
      </c>
      <c r="M109" s="96" t="b">
        <f>if(countifs('Browns Plains, AUS'!Q:Q,A109,'Browns Plains, AUS'!I:I,TRUE),TRUE,FALSE)</f>
        <v>0</v>
      </c>
      <c r="N109" s="96" t="b">
        <f>if(countifs('Brossard, CAN'!Q:Q,A109,'Brossard, CAN'!I:I,TRUE),TRUE,FALSE)</f>
        <v>0</v>
      </c>
      <c r="O109" s="96" t="b">
        <f>if(countifs('Gouda, NL'!Q:Q,$A109,'Gouda, NL'!$I:$I,TRUE),TRUE,FALSE)</f>
        <v>0</v>
      </c>
      <c r="P109" s="47" t="b">
        <f>if(countifs('Plympton, UK'!Q:Q,$A109,'Plympton, UK'!$I:$I,TRUE),TRUE,FALSE)</f>
        <v>0</v>
      </c>
      <c r="Q109" s="47" t="b">
        <f>if(countifs('Glen Oaks, USA'!Q:Q,$A109,'Glen Oaks, USA'!$I:$I,TRUE),TRUE,FALSE)</f>
        <v>0</v>
      </c>
      <c r="R109" s="47" t="b">
        <f>if(countifs('Chemnitz, GER'!Q:Q,$A109,'Chemnitz, GER'!I:I,TRUE),TRUE,FALSE)</f>
        <v>0</v>
      </c>
      <c r="S109" s="47" t="b">
        <f>if(countifs('Vosselaar, BE'!Q:Q,$A109,'Vosselaar, BE'!$I:$I,TRUE),TRUE,FALSE)</f>
        <v>0</v>
      </c>
      <c r="T109" s="47" t="b">
        <f>if(countifs('MHQ, USA'!Q:Q,$A109,'MHQ, USA'!$I:$I,TRUE),TRUE,FALSE)</f>
        <v>0</v>
      </c>
      <c r="U109" s="47" t="b">
        <f>if(countifs('Morayfield, AUS'!Q:Q,$A109,'Morayfield, AUS'!$I:$I,TRUE),TRUE,FALSE)</f>
        <v>0</v>
      </c>
      <c r="V109" s="11" t="b">
        <f>if(countifs('Arnhem, NL'!Q:Q,$A109,'Arnhem, NL'!$I:$I,TRUE),TRUE,FALSE)</f>
        <v>0</v>
      </c>
      <c r="W109" s="47" t="b">
        <f>if(countifs('Gotenborg, SW'!Q:Q,$A109,'Gotenborg, SW'!$I:$I,TRUE),TRUE,FALSE)</f>
        <v>0</v>
      </c>
      <c r="X109" s="47" t="b">
        <f>if(countifs('Shepparton, AUS'!Q:Q,$A109,'Shepparton, AUS'!$I:$I,TRUE),TRUE,FALSE)</f>
        <v>1</v>
      </c>
      <c r="Y109" s="47" t="b">
        <f>if(countifs('Hoofddorp, NL'!Q:Q,$A109,'Hoofddorp, NL'!$I:$I,TRUE),TRUE,FALSE)</f>
        <v>0</v>
      </c>
      <c r="Z109" s="47" t="b">
        <f>if(countifs('Bedford, UK'!Q:Q,$A109,'Bedford, UK'!$I:$I,TRUE),TRUE,FALSE)</f>
        <v>1</v>
      </c>
      <c r="AA109" s="47" t="b">
        <f>IF(COUNTIFS('Desert Lodge, USA'!Q:Q,$A109,'Desert Lodge, USA'!I:I,TRUE),TRUE,FALSE)</f>
        <v>0</v>
      </c>
      <c r="AB109" s="47" t="b">
        <f>if(countifs('Dapto, AUS'!Q:Q,$A109,'Dapto, AUS'!$I:$I,TRUE),TRUE,FALSE)</f>
        <v>1</v>
      </c>
      <c r="AC109" s="47" t="b">
        <f>if(countifs('New Westminster, CAN'!Q:Q,$A109,'New Westminster, CAN'!$I:$I,TRUE),TRUE,FALSE)</f>
        <v>1</v>
      </c>
      <c r="AD109" s="47" t="b">
        <f>if(countifs('Georgetown, CAN'!Q:Q,$A109,'Georgetown, CAN'!$I:$I,TRUE),TRUE,FALSE)</f>
        <v>1</v>
      </c>
      <c r="AE109" s="47" t="b">
        <f>if(countifs('Kingswood, UK'!Q:Q,$A109,'Kingswood, UK'!$I:$I,TRUE),TRUE,FALSE)</f>
        <v>1</v>
      </c>
      <c r="AF109" s="47" t="b">
        <f>if(countifs('Hagerstown, USA'!Q:Q,$A109,'Hagerstown, USA'!$I:$I,TRUE),TRUE,FALSE)</f>
        <v>1</v>
      </c>
      <c r="AG109" s="47" t="b">
        <f>if(countifs('Felsogalla, HU'!Q:Q,$A109,'Felsogalla, HU'!$I:$I,TRUE),TRUE,FALSE)</f>
        <v>1</v>
      </c>
      <c r="AH109" s="47" t="b">
        <f>if(countifs('Norlane, AUS'!Q:Q,$A109,'Norlane, AUS'!$I:$I,TRUE),TRUE,FALSE)</f>
        <v>1</v>
      </c>
      <c r="AI109" s="47" t="b">
        <f>if(countifs('Meitingen, GER'!Q:Q,$A109,'Meitingen, GER'!$I:$I,TRUE),TRUE,FALSE)</f>
        <v>1</v>
      </c>
      <c r="AJ109" s="47" t="b">
        <f>if(countifs('Groningen, NL'!Q:Q,$A109,'Groningen, NL'!$I:$I,TRUE),TRUE,FALSE)</f>
        <v>1</v>
      </c>
      <c r="AK109" s="47" t="b">
        <f>if(countifs('Linköping, SW'!Q:Q,$A109,'Linköping, SW'!$I:$I,TRUE),TRUE,FALSE)</f>
        <v>1</v>
      </c>
      <c r="AL109" s="47" t="b">
        <f>if(countifs('Austin, USA'!Q:Q,$A109,'Austin, USA'!$I:$I,TRUE),TRUE,FALSE)</f>
        <v>0</v>
      </c>
      <c r="AM109" s="47" t="b">
        <f>if(countifs('Thringstone, UK'!Q:Q,$A109,'Thringstone, UK'!$I:$I,TRUE),TRUE,FALSE)</f>
        <v>1</v>
      </c>
      <c r="AN109" s="47" t="b">
        <f>if(countifs('Andover, UK'!Q:Q,$A109,'Andover, UK'!$I:$I,TRUE),TRUE,FALSE)</f>
        <v>1</v>
      </c>
      <c r="AO109" s="47" t="b">
        <f>if(countifs('Ospel, NL'!Q:Q,$A109,'Ospel, NL'!$I:$I,TRUE),TRUE,FALSE)</f>
        <v>1</v>
      </c>
      <c r="AP109" s="47" t="b">
        <f>if(countifs('Wonthaggi, AUS'!Q:Q,$A109,'Wonthaggi, AUS'!$I:$I,TRUE),TRUE,FALSE)</f>
        <v>1</v>
      </c>
      <c r="AQ109" s="47" t="b">
        <f>if(countifs('Falling_Waters, USA'!$Q:$Q,$A109,'Falling_Waters, USA'!$I:$I,TRUE),TRUE,FALSE)</f>
        <v>1</v>
      </c>
      <c r="AR109" s="47" t="b">
        <f>if(countifs('Kelmscott, AUS'!Q:Q,$A109,'Kelmscott, AUS'!$I:$I,TRUE),TRUE,FALSE)</f>
        <v>1</v>
      </c>
    </row>
    <row r="110">
      <c r="A110" s="47" t="str">
        <f>IFERROR(__xludf.DUMMYFUNCTION("""COMPUTED_VALUE"""),"raunas")</f>
        <v>raunas</v>
      </c>
      <c r="B110" s="47">
        <f t="shared" si="1"/>
        <v>16</v>
      </c>
      <c r="C110" s="47" t="b">
        <v>0</v>
      </c>
      <c r="D110" s="47" t="b">
        <v>0</v>
      </c>
      <c r="E110" s="47" t="b">
        <v>0</v>
      </c>
      <c r="F110" s="47" t="b">
        <v>0</v>
      </c>
      <c r="G110" s="96"/>
      <c r="H110" s="96" t="b">
        <f>if(countifs('Berlin, GER'!Q:Q,A110,'Berlin, GER'!I:I,TRUE),TRUE,FALSE)</f>
        <v>0</v>
      </c>
      <c r="I110" s="96" t="b">
        <f>if(countifs('Escondido, USA'!Q:Q,A110,'Escondido, USA'!I:I,TRUE),TRUE,FALSE)</f>
        <v>0</v>
      </c>
      <c r="J110" s="96" t="b">
        <f>if(countifs('Onkaparinga_Hills, AUS'!Q:Q,A110,'Onkaparinga_Hills, AUS'!I:I,TRUE),TRUE,FALSE)</f>
        <v>0</v>
      </c>
      <c r="K110" s="96" t="b">
        <f>if(countifs('Perth, AUS'!Q:Q,A110,'Perth, AUS'!I:I,TRUE),TRUE,FALSE)</f>
        <v>0</v>
      </c>
      <c r="L110" s="96" t="b">
        <f>if(countifs('Raleigh, USA'!Q:Q,A110,'Raleigh, USA'!I:I,TRUE),TRUE,FALSE)</f>
        <v>0</v>
      </c>
      <c r="M110" s="96" t="b">
        <f>if(countifs('Browns Plains, AUS'!Q:Q,A110,'Browns Plains, AUS'!I:I,TRUE),TRUE,FALSE)</f>
        <v>0</v>
      </c>
      <c r="N110" s="96" t="b">
        <f>if(countifs('Brossard, CAN'!Q:Q,A110,'Brossard, CAN'!I:I,TRUE),TRUE,FALSE)</f>
        <v>0</v>
      </c>
      <c r="O110" s="96" t="b">
        <f>if(countifs('Gouda, NL'!Q:Q,$A110,'Gouda, NL'!$I:$I,TRUE),TRUE,FALSE)</f>
        <v>0</v>
      </c>
      <c r="P110" s="47" t="b">
        <f>if(countifs('Plympton, UK'!Q:Q,$A110,'Plympton, UK'!$I:$I,TRUE),TRUE,FALSE)</f>
        <v>0</v>
      </c>
      <c r="Q110" s="47" t="b">
        <f>if(countifs('Glen Oaks, USA'!Q:Q,$A110,'Glen Oaks, USA'!$I:$I,TRUE),TRUE,FALSE)</f>
        <v>0</v>
      </c>
      <c r="R110" s="47" t="b">
        <f>if(countifs('Chemnitz, GER'!Q:Q,$A110,'Chemnitz, GER'!I:I,TRUE),TRUE,FALSE)</f>
        <v>0</v>
      </c>
      <c r="S110" s="47" t="b">
        <f>if(countifs('Vosselaar, BE'!Q:Q,$A110,'Vosselaar, BE'!$I:$I,TRUE),TRUE,FALSE)</f>
        <v>0</v>
      </c>
      <c r="T110" s="47" t="b">
        <f>if(countifs('MHQ, USA'!Q:Q,$A110,'MHQ, USA'!$I:$I,TRUE),TRUE,FALSE)</f>
        <v>0</v>
      </c>
      <c r="U110" s="47" t="b">
        <f>if(countifs('Morayfield, AUS'!Q:Q,$A110,'Morayfield, AUS'!$I:$I,TRUE),TRUE,FALSE)</f>
        <v>0</v>
      </c>
      <c r="V110" s="11" t="b">
        <f>if(countifs('Arnhem, NL'!Q:Q,$A110,'Arnhem, NL'!$I:$I,TRUE),TRUE,FALSE)</f>
        <v>0</v>
      </c>
      <c r="W110" s="47" t="b">
        <f>if(countifs('Gotenborg, SW'!Q:Q,$A110,'Gotenborg, SW'!$I:$I,TRUE),TRUE,FALSE)</f>
        <v>0</v>
      </c>
      <c r="X110" s="47" t="b">
        <f>if(countifs('Shepparton, AUS'!Q:Q,$A110,'Shepparton, AUS'!$I:$I,TRUE),TRUE,FALSE)</f>
        <v>1</v>
      </c>
      <c r="Y110" s="47" t="b">
        <f>if(countifs('Hoofddorp, NL'!Q:Q,$A110,'Hoofddorp, NL'!$I:$I,TRUE),TRUE,FALSE)</f>
        <v>0</v>
      </c>
      <c r="Z110" s="47" t="b">
        <f>if(countifs('Bedford, UK'!Q:Q,$A110,'Bedford, UK'!$I:$I,TRUE),TRUE,FALSE)</f>
        <v>1</v>
      </c>
      <c r="AA110" s="47" t="b">
        <f>IF(COUNTIFS('Desert Lodge, USA'!Q:Q,$A110,'Desert Lodge, USA'!I:I,TRUE),TRUE,FALSE)</f>
        <v>0</v>
      </c>
      <c r="AB110" s="47" t="b">
        <f>if(countifs('Dapto, AUS'!Q:Q,$A110,'Dapto, AUS'!$I:$I,TRUE),TRUE,FALSE)</f>
        <v>1</v>
      </c>
      <c r="AC110" s="47" t="b">
        <f>if(countifs('New Westminster, CAN'!Q:Q,$A110,'New Westminster, CAN'!$I:$I,TRUE),TRUE,FALSE)</f>
        <v>1</v>
      </c>
      <c r="AD110" s="47" t="b">
        <f>if(countifs('Georgetown, CAN'!Q:Q,$A110,'Georgetown, CAN'!$I:$I,TRUE),TRUE,FALSE)</f>
        <v>1</v>
      </c>
      <c r="AE110" s="47" t="b">
        <f>if(countifs('Kingswood, UK'!Q:Q,$A110,'Kingswood, UK'!$I:$I,TRUE),TRUE,FALSE)</f>
        <v>1</v>
      </c>
      <c r="AF110" s="47" t="b">
        <f>if(countifs('Hagerstown, USA'!Q:Q,$A110,'Hagerstown, USA'!$I:$I,TRUE),TRUE,FALSE)</f>
        <v>1</v>
      </c>
      <c r="AG110" s="47" t="b">
        <f>if(countifs('Felsogalla, HU'!Q:Q,$A110,'Felsogalla, HU'!$I:$I,TRUE),TRUE,FALSE)</f>
        <v>1</v>
      </c>
      <c r="AH110" s="47" t="b">
        <f>if(countifs('Norlane, AUS'!Q:Q,$A110,'Norlane, AUS'!$I:$I,TRUE),TRUE,FALSE)</f>
        <v>1</v>
      </c>
      <c r="AI110" s="47" t="b">
        <f>if(countifs('Meitingen, GER'!Q:Q,$A110,'Meitingen, GER'!$I:$I,TRUE),TRUE,FALSE)</f>
        <v>1</v>
      </c>
      <c r="AJ110" s="47" t="b">
        <f>if(countifs('Groningen, NL'!Q:Q,$A110,'Groningen, NL'!$I:$I,TRUE),TRUE,FALSE)</f>
        <v>0</v>
      </c>
      <c r="AK110" s="47" t="b">
        <f>if(countifs('Linköping, SW'!Q:Q,$A110,'Linköping, SW'!$I:$I,TRUE),TRUE,FALSE)</f>
        <v>0</v>
      </c>
      <c r="AL110" s="47" t="b">
        <f>if(countifs('Austin, USA'!Q:Q,$A110,'Austin, USA'!$I:$I,TRUE),TRUE,FALSE)</f>
        <v>0</v>
      </c>
      <c r="AM110" s="47" t="b">
        <f>if(countifs('Thringstone, UK'!Q:Q,$A110,'Thringstone, UK'!$I:$I,TRUE),TRUE,FALSE)</f>
        <v>1</v>
      </c>
      <c r="AN110" s="47" t="b">
        <f>if(countifs('Andover, UK'!Q:Q,$A110,'Andover, UK'!$I:$I,TRUE),TRUE,FALSE)</f>
        <v>1</v>
      </c>
      <c r="AO110" s="47" t="b">
        <f>if(countifs('Ospel, NL'!Q:Q,$A110,'Ospel, NL'!$I:$I,TRUE),TRUE,FALSE)</f>
        <v>1</v>
      </c>
      <c r="AP110" s="47" t="b">
        <f>if(countifs('Wonthaggi, AUS'!Q:Q,$A110,'Wonthaggi, AUS'!$I:$I,TRUE),TRUE,FALSE)</f>
        <v>1</v>
      </c>
      <c r="AQ110" s="47" t="b">
        <f>if(countifs('Falling_Waters, USA'!$Q:$Q,$A110,'Falling_Waters, USA'!$I:$I,TRUE),TRUE,FALSE)</f>
        <v>1</v>
      </c>
      <c r="AR110" s="47" t="b">
        <f>if(countifs('Kelmscott, AUS'!Q:Q,$A110,'Kelmscott, AUS'!$I:$I,TRUE),TRUE,FALSE)</f>
        <v>1</v>
      </c>
    </row>
    <row r="111">
      <c r="A111" s="47" t="str">
        <f>IFERROR(__xludf.DUMMYFUNCTION("""COMPUTED_VALUE"""),"PcLocator")</f>
        <v>PcLocator</v>
      </c>
      <c r="B111" s="47">
        <f t="shared" si="1"/>
        <v>4</v>
      </c>
      <c r="C111" s="47" t="b">
        <v>0</v>
      </c>
      <c r="D111" s="47" t="b">
        <v>0</v>
      </c>
      <c r="E111" s="47" t="b">
        <v>0</v>
      </c>
      <c r="F111" s="47" t="b">
        <v>0</v>
      </c>
      <c r="G111" s="96"/>
      <c r="H111" s="96" t="b">
        <f>if(countifs('Berlin, GER'!Q:Q,A111,'Berlin, GER'!I:I,TRUE),TRUE,FALSE)</f>
        <v>0</v>
      </c>
      <c r="I111" s="96" t="b">
        <f>if(countifs('Escondido, USA'!Q:Q,A111,'Escondido, USA'!I:I,TRUE),TRUE,FALSE)</f>
        <v>0</v>
      </c>
      <c r="J111" s="96" t="b">
        <f>if(countifs('Onkaparinga_Hills, AUS'!Q:Q,A111,'Onkaparinga_Hills, AUS'!I:I,TRUE),TRUE,FALSE)</f>
        <v>0</v>
      </c>
      <c r="K111" s="96" t="b">
        <f>if(countifs('Perth, AUS'!Q:Q,A111,'Perth, AUS'!I:I,TRUE),TRUE,FALSE)</f>
        <v>0</v>
      </c>
      <c r="L111" s="96" t="b">
        <f>if(countifs('Raleigh, USA'!Q:Q,A111,'Raleigh, USA'!I:I,TRUE),TRUE,FALSE)</f>
        <v>0</v>
      </c>
      <c r="M111" s="96" t="b">
        <f>if(countifs('Browns Plains, AUS'!Q:Q,A111,'Browns Plains, AUS'!I:I,TRUE),TRUE,FALSE)</f>
        <v>0</v>
      </c>
      <c r="N111" s="96" t="b">
        <f>if(countifs('Brossard, CAN'!Q:Q,A111,'Brossard, CAN'!I:I,TRUE),TRUE,FALSE)</f>
        <v>0</v>
      </c>
      <c r="O111" s="96" t="b">
        <f>if(countifs('Gouda, NL'!Q:Q,$A111,'Gouda, NL'!$I:$I,TRUE),TRUE,FALSE)</f>
        <v>0</v>
      </c>
      <c r="P111" s="47" t="b">
        <f>if(countifs('Plympton, UK'!Q:Q,$A111,'Plympton, UK'!$I:$I,TRUE),TRUE,FALSE)</f>
        <v>0</v>
      </c>
      <c r="Q111" s="47" t="b">
        <f>if(countifs('Glen Oaks, USA'!Q:Q,$A111,'Glen Oaks, USA'!$I:$I,TRUE),TRUE,FALSE)</f>
        <v>0</v>
      </c>
      <c r="R111" s="47" t="b">
        <f>if(countifs('Chemnitz, GER'!Q:Q,$A111,'Chemnitz, GER'!I:I,TRUE),TRUE,FALSE)</f>
        <v>0</v>
      </c>
      <c r="S111" s="47" t="b">
        <f>if(countifs('Vosselaar, BE'!Q:Q,$A111,'Vosselaar, BE'!$I:$I,TRUE),TRUE,FALSE)</f>
        <v>0</v>
      </c>
      <c r="T111" s="47" t="b">
        <f>if(countifs('MHQ, USA'!Q:Q,$A111,'MHQ, USA'!$I:$I,TRUE),TRUE,FALSE)</f>
        <v>0</v>
      </c>
      <c r="U111" s="47" t="b">
        <f>if(countifs('Morayfield, AUS'!Q:Q,$A111,'Morayfield, AUS'!$I:$I,TRUE),TRUE,FALSE)</f>
        <v>0</v>
      </c>
      <c r="V111" s="11" t="b">
        <f>if(countifs('Arnhem, NL'!Q:Q,$A111,'Arnhem, NL'!$I:$I,TRUE),TRUE,FALSE)</f>
        <v>0</v>
      </c>
      <c r="W111" s="47" t="b">
        <f>if(countifs('Gotenborg, SW'!Q:Q,$A111,'Gotenborg, SW'!$I:$I,TRUE),TRUE,FALSE)</f>
        <v>0</v>
      </c>
      <c r="X111" s="47" t="b">
        <f>if(countifs('Shepparton, AUS'!Q:Q,$A111,'Shepparton, AUS'!$I:$I,TRUE),TRUE,FALSE)</f>
        <v>1</v>
      </c>
      <c r="Y111" s="47" t="b">
        <f>if(countifs('Hoofddorp, NL'!Q:Q,$A111,'Hoofddorp, NL'!$I:$I,TRUE),TRUE,FALSE)</f>
        <v>1</v>
      </c>
      <c r="Z111" s="47" t="b">
        <f>if(countifs('Bedford, UK'!Q:Q,$A111,'Bedford, UK'!$I:$I,TRUE),TRUE,FALSE)</f>
        <v>1</v>
      </c>
      <c r="AA111" s="47" t="b">
        <f>IF(COUNTIFS('Desert Lodge, USA'!Q:Q,$A111,'Desert Lodge, USA'!I:I,TRUE),TRUE,FALSE)</f>
        <v>0</v>
      </c>
      <c r="AB111" s="47" t="b">
        <f>if(countifs('Dapto, AUS'!Q:Q,$A111,'Dapto, AUS'!$I:$I,TRUE),TRUE,FALSE)</f>
        <v>0</v>
      </c>
      <c r="AC111" s="47" t="b">
        <f>if(countifs('New Westminster, CAN'!Q:Q,$A111,'New Westminster, CAN'!$I:$I,TRUE),TRUE,FALSE)</f>
        <v>1</v>
      </c>
      <c r="AD111" s="47" t="b">
        <f>if(countifs('Georgetown, CAN'!Q:Q,$A111,'Georgetown, CAN'!$I:$I,TRUE),TRUE,FALSE)</f>
        <v>0</v>
      </c>
      <c r="AE111" s="47" t="b">
        <f>if(countifs('Kingswood, UK'!Q:Q,$A111,'Kingswood, UK'!$I:$I,TRUE),TRUE,FALSE)</f>
        <v>0</v>
      </c>
      <c r="AF111" s="47" t="b">
        <f>if(countifs('Hagerstown, USA'!Q:Q,$A111,'Hagerstown, USA'!$I:$I,TRUE),TRUE,FALSE)</f>
        <v>0</v>
      </c>
      <c r="AG111" s="47" t="b">
        <f>if(countifs('Felsogalla, HU'!Q:Q,$A111,'Felsogalla, HU'!$I:$I,TRUE),TRUE,FALSE)</f>
        <v>0</v>
      </c>
      <c r="AH111" s="47" t="b">
        <f>if(countifs('Norlane, AUS'!Q:Q,$A111,'Norlane, AUS'!$I:$I,TRUE),TRUE,FALSE)</f>
        <v>0</v>
      </c>
      <c r="AI111" s="47" t="b">
        <f>if(countifs('Meitingen, GER'!Q:Q,$A111,'Meitingen, GER'!$I:$I,TRUE),TRUE,FALSE)</f>
        <v>0</v>
      </c>
      <c r="AJ111" s="47" t="b">
        <f>if(countifs('Groningen, NL'!Q:Q,$A111,'Groningen, NL'!$I:$I,TRUE),TRUE,FALSE)</f>
        <v>0</v>
      </c>
      <c r="AK111" s="47" t="b">
        <f>if(countifs('Linköping, SW'!Q:Q,$A111,'Linköping, SW'!$I:$I,TRUE),TRUE,FALSE)</f>
        <v>0</v>
      </c>
      <c r="AL111" s="47" t="b">
        <f>if(countifs('Austin, USA'!Q:Q,$A111,'Austin, USA'!$I:$I,TRUE),TRUE,FALSE)</f>
        <v>0</v>
      </c>
      <c r="AM111" s="47" t="b">
        <f>if(countifs('Thringstone, UK'!Q:Q,$A111,'Thringstone, UK'!$I:$I,TRUE),TRUE,FALSE)</f>
        <v>0</v>
      </c>
      <c r="AN111" s="47" t="b">
        <f>if(countifs('Andover, UK'!Q:Q,$A111,'Andover, UK'!$I:$I,TRUE),TRUE,FALSE)</f>
        <v>0</v>
      </c>
      <c r="AO111" s="47" t="b">
        <f>if(countifs('Ospel, NL'!Q:Q,$A111,'Ospel, NL'!$I:$I,TRUE),TRUE,FALSE)</f>
        <v>0</v>
      </c>
      <c r="AP111" s="47" t="b">
        <f>if(countifs('Wonthaggi, AUS'!Q:Q,$A111,'Wonthaggi, AUS'!$I:$I,TRUE),TRUE,FALSE)</f>
        <v>0</v>
      </c>
      <c r="AQ111" s="47" t="b">
        <f>if(countifs('Falling_Waters, USA'!$Q:$Q,$A111,'Falling_Waters, USA'!$I:$I,TRUE),TRUE,FALSE)</f>
        <v>0</v>
      </c>
      <c r="AR111" s="47" t="b">
        <f>if(countifs('Kelmscott, AUS'!Q:Q,$A111,'Kelmscott, AUS'!$I:$I,TRUE),TRUE,FALSE)</f>
        <v>0</v>
      </c>
    </row>
    <row r="112">
      <c r="A112" s="47" t="str">
        <f>IFERROR(__xludf.DUMMYFUNCTION("""COMPUTED_VALUE"""),"ddtsnorton")</f>
        <v>ddtsnorton</v>
      </c>
      <c r="B112" s="47">
        <f t="shared" si="1"/>
        <v>2</v>
      </c>
      <c r="C112" s="47" t="b">
        <v>0</v>
      </c>
      <c r="D112" s="47" t="b">
        <v>0</v>
      </c>
      <c r="E112" s="47" t="b">
        <v>0</v>
      </c>
      <c r="F112" s="47" t="b">
        <v>0</v>
      </c>
      <c r="G112" s="96"/>
      <c r="H112" s="96" t="b">
        <f>if(countifs('Berlin, GER'!Q:Q,A112,'Berlin, GER'!I:I,TRUE),TRUE,FALSE)</f>
        <v>0</v>
      </c>
      <c r="I112" s="96" t="b">
        <f>if(countifs('Escondido, USA'!Q:Q,A112,'Escondido, USA'!I:I,TRUE),TRUE,FALSE)</f>
        <v>0</v>
      </c>
      <c r="J112" s="96" t="b">
        <f>if(countifs('Onkaparinga_Hills, AUS'!Q:Q,A112,'Onkaparinga_Hills, AUS'!I:I,TRUE),TRUE,FALSE)</f>
        <v>0</v>
      </c>
      <c r="K112" s="96" t="b">
        <f>if(countifs('Perth, AUS'!Q:Q,A112,'Perth, AUS'!I:I,TRUE),TRUE,FALSE)</f>
        <v>0</v>
      </c>
      <c r="L112" s="96" t="b">
        <f>if(countifs('Raleigh, USA'!Q:Q,A112,'Raleigh, USA'!I:I,TRUE),TRUE,FALSE)</f>
        <v>0</v>
      </c>
      <c r="M112" s="96" t="b">
        <f>if(countifs('Browns Plains, AUS'!Q:Q,A112,'Browns Plains, AUS'!I:I,TRUE),TRUE,FALSE)</f>
        <v>0</v>
      </c>
      <c r="N112" s="96" t="b">
        <f>if(countifs('Brossard, CAN'!Q:Q,A112,'Brossard, CAN'!I:I,TRUE),TRUE,FALSE)</f>
        <v>0</v>
      </c>
      <c r="O112" s="96" t="b">
        <f>if(countifs('Gouda, NL'!Q:Q,$A112,'Gouda, NL'!$I:$I,TRUE),TRUE,FALSE)</f>
        <v>0</v>
      </c>
      <c r="P112" s="47" t="b">
        <f>if(countifs('Plympton, UK'!Q:Q,$A112,'Plympton, UK'!$I:$I,TRUE),TRUE,FALSE)</f>
        <v>0</v>
      </c>
      <c r="Q112" s="47" t="b">
        <f>if(countifs('Glen Oaks, USA'!Q:Q,$A112,'Glen Oaks, USA'!$I:$I,TRUE),TRUE,FALSE)</f>
        <v>0</v>
      </c>
      <c r="R112" s="47" t="b">
        <f>if(countifs('Chemnitz, GER'!Q:Q,$A112,'Chemnitz, GER'!I:I,TRUE),TRUE,FALSE)</f>
        <v>0</v>
      </c>
      <c r="S112" s="47" t="b">
        <f>if(countifs('Vosselaar, BE'!Q:Q,$A112,'Vosselaar, BE'!$I:$I,TRUE),TRUE,FALSE)</f>
        <v>0</v>
      </c>
      <c r="T112" s="47" t="b">
        <f>if(countifs('MHQ, USA'!Q:Q,$A112,'MHQ, USA'!$I:$I,TRUE),TRUE,FALSE)</f>
        <v>0</v>
      </c>
      <c r="U112" s="47" t="b">
        <f>if(countifs('Morayfield, AUS'!Q:Q,$A112,'Morayfield, AUS'!$I:$I,TRUE),TRUE,FALSE)</f>
        <v>0</v>
      </c>
      <c r="V112" s="11" t="b">
        <f>if(countifs('Arnhem, NL'!Q:Q,$A112,'Arnhem, NL'!$I:$I,TRUE),TRUE,FALSE)</f>
        <v>0</v>
      </c>
      <c r="W112" s="47" t="b">
        <f>if(countifs('Gotenborg, SW'!Q:Q,$A112,'Gotenborg, SW'!$I:$I,TRUE),TRUE,FALSE)</f>
        <v>0</v>
      </c>
      <c r="X112" s="47" t="b">
        <f>if(countifs('Shepparton, AUS'!Q:Q,$A112,'Shepparton, AUS'!$I:$I,TRUE),TRUE,FALSE)</f>
        <v>1</v>
      </c>
      <c r="Y112" s="47" t="b">
        <f>if(countifs('Hoofddorp, NL'!Q:Q,$A112,'Hoofddorp, NL'!$I:$I,TRUE),TRUE,FALSE)</f>
        <v>0</v>
      </c>
      <c r="Z112" s="47" t="b">
        <f>if(countifs('Bedford, UK'!Q:Q,$A112,'Bedford, UK'!$I:$I,TRUE),TRUE,FALSE)</f>
        <v>0</v>
      </c>
      <c r="AA112" s="47" t="b">
        <f>IF(COUNTIFS('Desert Lodge, USA'!Q:Q,$A112,'Desert Lodge, USA'!I:I,TRUE),TRUE,FALSE)</f>
        <v>0</v>
      </c>
      <c r="AB112" s="47" t="b">
        <f>if(countifs('Dapto, AUS'!Q:Q,$A112,'Dapto, AUS'!$I:$I,TRUE),TRUE,FALSE)</f>
        <v>0</v>
      </c>
      <c r="AC112" s="47" t="b">
        <f>if(countifs('New Westminster, CAN'!Q:Q,$A112,'New Westminster, CAN'!$I:$I,TRUE),TRUE,FALSE)</f>
        <v>0</v>
      </c>
      <c r="AD112" s="47" t="b">
        <f>if(countifs('Georgetown, CAN'!Q:Q,$A112,'Georgetown, CAN'!$I:$I,TRUE),TRUE,FALSE)</f>
        <v>0</v>
      </c>
      <c r="AE112" s="47" t="b">
        <f>if(countifs('Kingswood, UK'!Q:Q,$A112,'Kingswood, UK'!$I:$I,TRUE),TRUE,FALSE)</f>
        <v>0</v>
      </c>
      <c r="AF112" s="47" t="b">
        <f>if(countifs('Hagerstown, USA'!Q:Q,$A112,'Hagerstown, USA'!$I:$I,TRUE),TRUE,FALSE)</f>
        <v>0</v>
      </c>
      <c r="AG112" s="47" t="b">
        <f>if(countifs('Felsogalla, HU'!Q:Q,$A112,'Felsogalla, HU'!$I:$I,TRUE),TRUE,FALSE)</f>
        <v>0</v>
      </c>
      <c r="AH112" s="47" t="b">
        <f>if(countifs('Norlane, AUS'!Q:Q,$A112,'Norlane, AUS'!$I:$I,TRUE),TRUE,FALSE)</f>
        <v>1</v>
      </c>
      <c r="AI112" s="47" t="b">
        <f>if(countifs('Meitingen, GER'!Q:Q,$A112,'Meitingen, GER'!$I:$I,TRUE),TRUE,FALSE)</f>
        <v>0</v>
      </c>
      <c r="AJ112" s="47" t="b">
        <f>if(countifs('Groningen, NL'!Q:Q,$A112,'Groningen, NL'!$I:$I,TRUE),TRUE,FALSE)</f>
        <v>0</v>
      </c>
      <c r="AK112" s="47" t="b">
        <f>if(countifs('Linköping, SW'!Q:Q,$A112,'Linköping, SW'!$I:$I,TRUE),TRUE,FALSE)</f>
        <v>0</v>
      </c>
      <c r="AL112" s="47" t="b">
        <f>if(countifs('Austin, USA'!Q:Q,$A112,'Austin, USA'!$I:$I,TRUE),TRUE,FALSE)</f>
        <v>0</v>
      </c>
      <c r="AM112" s="47" t="b">
        <f>if(countifs('Thringstone, UK'!Q:Q,$A112,'Thringstone, UK'!$I:$I,TRUE),TRUE,FALSE)</f>
        <v>0</v>
      </c>
      <c r="AN112" s="47" t="b">
        <f>if(countifs('Andover, UK'!Q:Q,$A112,'Andover, UK'!$I:$I,TRUE),TRUE,FALSE)</f>
        <v>0</v>
      </c>
      <c r="AO112" s="47" t="b">
        <f>if(countifs('Ospel, NL'!Q:Q,$A112,'Ospel, NL'!$I:$I,TRUE),TRUE,FALSE)</f>
        <v>0</v>
      </c>
      <c r="AP112" s="47" t="b">
        <f>if(countifs('Wonthaggi, AUS'!Q:Q,$A112,'Wonthaggi, AUS'!$I:$I,TRUE),TRUE,FALSE)</f>
        <v>0</v>
      </c>
      <c r="AQ112" s="47" t="b">
        <f>if(countifs('Falling_Waters, USA'!$Q:$Q,$A112,'Falling_Waters, USA'!$I:$I,TRUE),TRUE,FALSE)</f>
        <v>0</v>
      </c>
      <c r="AR112" s="47" t="b">
        <f>if(countifs('Kelmscott, AUS'!Q:Q,$A112,'Kelmscott, AUS'!$I:$I,TRUE),TRUE,FALSE)</f>
        <v>0</v>
      </c>
    </row>
    <row r="113">
      <c r="A113" s="47" t="str">
        <f>IFERROR(__xludf.DUMMYFUNCTION("""COMPUTED_VALUE"""),"MariaHTJ")</f>
        <v>MariaHTJ</v>
      </c>
      <c r="B113" s="47">
        <f t="shared" si="1"/>
        <v>2</v>
      </c>
      <c r="C113" s="47" t="b">
        <v>0</v>
      </c>
      <c r="D113" s="47" t="b">
        <v>0</v>
      </c>
      <c r="E113" s="47" t="b">
        <v>0</v>
      </c>
      <c r="F113" s="47" t="b">
        <v>0</v>
      </c>
      <c r="G113" s="96"/>
      <c r="H113" s="96" t="b">
        <f>if(countifs('Berlin, GER'!Q:Q,A113,'Berlin, GER'!I:I,TRUE),TRUE,FALSE)</f>
        <v>0</v>
      </c>
      <c r="I113" s="96" t="b">
        <f>if(countifs('Escondido, USA'!Q:Q,A113,'Escondido, USA'!I:I,TRUE),TRUE,FALSE)</f>
        <v>0</v>
      </c>
      <c r="J113" s="96" t="b">
        <f>if(countifs('Onkaparinga_Hills, AUS'!Q:Q,A113,'Onkaparinga_Hills, AUS'!I:I,TRUE),TRUE,FALSE)</f>
        <v>0</v>
      </c>
      <c r="K113" s="96" t="b">
        <f>if(countifs('Perth, AUS'!Q:Q,A113,'Perth, AUS'!I:I,TRUE),TRUE,FALSE)</f>
        <v>0</v>
      </c>
      <c r="L113" s="96" t="b">
        <f>if(countifs('Raleigh, USA'!Q:Q,A113,'Raleigh, USA'!I:I,TRUE),TRUE,FALSE)</f>
        <v>0</v>
      </c>
      <c r="M113" s="96" t="b">
        <f>if(countifs('Browns Plains, AUS'!Q:Q,A113,'Browns Plains, AUS'!I:I,TRUE),TRUE,FALSE)</f>
        <v>0</v>
      </c>
      <c r="N113" s="96" t="b">
        <f>if(countifs('Brossard, CAN'!Q:Q,A113,'Brossard, CAN'!I:I,TRUE),TRUE,FALSE)</f>
        <v>0</v>
      </c>
      <c r="O113" s="96" t="b">
        <f>if(countifs('Gouda, NL'!Q:Q,$A113,'Gouda, NL'!$I:$I,TRUE),TRUE,FALSE)</f>
        <v>0</v>
      </c>
      <c r="P113" s="47" t="b">
        <f>if(countifs('Plympton, UK'!Q:Q,$A113,'Plympton, UK'!$I:$I,TRUE),TRUE,FALSE)</f>
        <v>0</v>
      </c>
      <c r="Q113" s="47" t="b">
        <f>if(countifs('Glen Oaks, USA'!Q:Q,$A113,'Glen Oaks, USA'!$I:$I,TRUE),TRUE,FALSE)</f>
        <v>0</v>
      </c>
      <c r="R113" s="47" t="b">
        <f>if(countifs('Chemnitz, GER'!Q:Q,$A113,'Chemnitz, GER'!I:I,TRUE),TRUE,FALSE)</f>
        <v>0</v>
      </c>
      <c r="S113" s="47" t="b">
        <f>if(countifs('Vosselaar, BE'!Q:Q,$A113,'Vosselaar, BE'!$I:$I,TRUE),TRUE,FALSE)</f>
        <v>0</v>
      </c>
      <c r="T113" s="47" t="b">
        <f>if(countifs('MHQ, USA'!Q:Q,$A113,'MHQ, USA'!$I:$I,TRUE),TRUE,FALSE)</f>
        <v>0</v>
      </c>
      <c r="U113" s="47" t="b">
        <f>if(countifs('Morayfield, AUS'!Q:Q,$A113,'Morayfield, AUS'!$I:$I,TRUE),TRUE,FALSE)</f>
        <v>0</v>
      </c>
      <c r="V113" s="11" t="b">
        <f>if(countifs('Arnhem, NL'!Q:Q,$A113,'Arnhem, NL'!$I:$I,TRUE),TRUE,FALSE)</f>
        <v>1</v>
      </c>
      <c r="W113" s="47" t="b">
        <f>if(countifs('Gotenborg, SW'!Q:Q,$A113,'Gotenborg, SW'!$I:$I,TRUE),TRUE,FALSE)</f>
        <v>0</v>
      </c>
      <c r="X113" s="47" t="b">
        <f>if(countifs('Shepparton, AUS'!Q:Q,$A113,'Shepparton, AUS'!$I:$I,TRUE),TRUE,FALSE)</f>
        <v>0</v>
      </c>
      <c r="Y113" s="47" t="b">
        <f>if(countifs('Hoofddorp, NL'!Q:Q,$A113,'Hoofddorp, NL'!$I:$I,TRUE),TRUE,FALSE)</f>
        <v>1</v>
      </c>
      <c r="Z113" s="47" t="b">
        <f>if(countifs('Bedford, UK'!Q:Q,$A113,'Bedford, UK'!$I:$I,TRUE),TRUE,FALSE)</f>
        <v>0</v>
      </c>
      <c r="AA113" s="47" t="b">
        <f>IF(COUNTIFS('Desert Lodge, USA'!Q:Q,$A113,'Desert Lodge, USA'!I:I,TRUE),TRUE,FALSE)</f>
        <v>0</v>
      </c>
      <c r="AB113" s="47" t="b">
        <f>if(countifs('Dapto, AUS'!Q:Q,$A113,'Dapto, AUS'!$I:$I,TRUE),TRUE,FALSE)</f>
        <v>0</v>
      </c>
      <c r="AC113" s="47" t="b">
        <f>if(countifs('New Westminster, CAN'!Q:Q,$A113,'New Westminster, CAN'!$I:$I,TRUE),TRUE,FALSE)</f>
        <v>0</v>
      </c>
      <c r="AD113" s="47" t="b">
        <f>if(countifs('Georgetown, CAN'!Q:Q,$A113,'Georgetown, CAN'!$I:$I,TRUE),TRUE,FALSE)</f>
        <v>0</v>
      </c>
      <c r="AE113" s="47" t="b">
        <f>if(countifs('Kingswood, UK'!Q:Q,$A113,'Kingswood, UK'!$I:$I,TRUE),TRUE,FALSE)</f>
        <v>0</v>
      </c>
      <c r="AF113" s="47" t="b">
        <f>if(countifs('Hagerstown, USA'!Q:Q,$A113,'Hagerstown, USA'!$I:$I,TRUE),TRUE,FALSE)</f>
        <v>0</v>
      </c>
      <c r="AG113" s="47" t="b">
        <f>if(countifs('Felsogalla, HU'!Q:Q,$A113,'Felsogalla, HU'!$I:$I,TRUE),TRUE,FALSE)</f>
        <v>0</v>
      </c>
      <c r="AH113" s="47" t="b">
        <f>if(countifs('Norlane, AUS'!Q:Q,$A113,'Norlane, AUS'!$I:$I,TRUE),TRUE,FALSE)</f>
        <v>0</v>
      </c>
      <c r="AI113" s="47" t="b">
        <f>if(countifs('Meitingen, GER'!Q:Q,$A113,'Meitingen, GER'!$I:$I,TRUE),TRUE,FALSE)</f>
        <v>0</v>
      </c>
      <c r="AJ113" s="47" t="b">
        <f>if(countifs('Groningen, NL'!Q:Q,$A113,'Groningen, NL'!$I:$I,TRUE),TRUE,FALSE)</f>
        <v>0</v>
      </c>
      <c r="AK113" s="47" t="b">
        <f>if(countifs('Linköping, SW'!Q:Q,$A113,'Linköping, SW'!$I:$I,TRUE),TRUE,FALSE)</f>
        <v>0</v>
      </c>
      <c r="AL113" s="47" t="b">
        <f>if(countifs('Austin, USA'!Q:Q,$A113,'Austin, USA'!$I:$I,TRUE),TRUE,FALSE)</f>
        <v>0</v>
      </c>
      <c r="AM113" s="47" t="b">
        <f>if(countifs('Thringstone, UK'!Q:Q,$A113,'Thringstone, UK'!$I:$I,TRUE),TRUE,FALSE)</f>
        <v>0</v>
      </c>
      <c r="AN113" s="47" t="b">
        <f>if(countifs('Andover, UK'!Q:Q,$A113,'Andover, UK'!$I:$I,TRUE),TRUE,FALSE)</f>
        <v>0</v>
      </c>
      <c r="AO113" s="47" t="b">
        <f>if(countifs('Ospel, NL'!Q:Q,$A113,'Ospel, NL'!$I:$I,TRUE),TRUE,FALSE)</f>
        <v>0</v>
      </c>
      <c r="AP113" s="47" t="b">
        <f>if(countifs('Wonthaggi, AUS'!Q:Q,$A113,'Wonthaggi, AUS'!$I:$I,TRUE),TRUE,FALSE)</f>
        <v>0</v>
      </c>
      <c r="AQ113" s="47" t="b">
        <f>if(countifs('Falling_Waters, USA'!$Q:$Q,$A113,'Falling_Waters, USA'!$I:$I,TRUE),TRUE,FALSE)</f>
        <v>0</v>
      </c>
      <c r="AR113" s="47" t="b">
        <f>if(countifs('Kelmscott, AUS'!Q:Q,$A113,'Kelmscott, AUS'!$I:$I,TRUE),TRUE,FALSE)</f>
        <v>0</v>
      </c>
    </row>
    <row r="114">
      <c r="A114" s="47" t="str">
        <f>IFERROR(__xludf.DUMMYFUNCTION("""COMPUTED_VALUE"""),"floridafinder2")</f>
        <v>floridafinder2</v>
      </c>
      <c r="B114" s="47">
        <f t="shared" si="1"/>
        <v>1</v>
      </c>
      <c r="C114" s="47" t="b">
        <v>0</v>
      </c>
      <c r="D114" s="47" t="b">
        <v>0</v>
      </c>
      <c r="E114" s="47" t="b">
        <v>0</v>
      </c>
      <c r="F114" s="47" t="b">
        <v>0</v>
      </c>
      <c r="G114" s="96"/>
      <c r="H114" s="96" t="b">
        <f>if(countifs('Berlin, GER'!Q:Q,A114,'Berlin, GER'!I:I,TRUE),TRUE,FALSE)</f>
        <v>0</v>
      </c>
      <c r="I114" s="96" t="b">
        <f>if(countifs('Escondido, USA'!Q:Q,A114,'Escondido, USA'!I:I,TRUE),TRUE,FALSE)</f>
        <v>0</v>
      </c>
      <c r="J114" s="96" t="b">
        <f>if(countifs('Onkaparinga_Hills, AUS'!Q:Q,A114,'Onkaparinga_Hills, AUS'!I:I,TRUE),TRUE,FALSE)</f>
        <v>0</v>
      </c>
      <c r="K114" s="96" t="b">
        <f>if(countifs('Perth, AUS'!Q:Q,A114,'Perth, AUS'!I:I,TRUE),TRUE,FALSE)</f>
        <v>0</v>
      </c>
      <c r="L114" s="96" t="b">
        <f>if(countifs('Raleigh, USA'!Q:Q,A114,'Raleigh, USA'!I:I,TRUE),TRUE,FALSE)</f>
        <v>0</v>
      </c>
      <c r="M114" s="96" t="b">
        <f>if(countifs('Browns Plains, AUS'!Q:Q,A114,'Browns Plains, AUS'!I:I,TRUE),TRUE,FALSE)</f>
        <v>0</v>
      </c>
      <c r="N114" s="96" t="b">
        <f>if(countifs('Brossard, CAN'!Q:Q,A114,'Brossard, CAN'!I:I,TRUE),TRUE,FALSE)</f>
        <v>0</v>
      </c>
      <c r="O114" s="96" t="b">
        <f>if(countifs('Gouda, NL'!Q:Q,$A114,'Gouda, NL'!$I:$I,TRUE),TRUE,FALSE)</f>
        <v>0</v>
      </c>
      <c r="P114" s="47" t="b">
        <f>if(countifs('Plympton, UK'!Q:Q,$A114,'Plympton, UK'!$I:$I,TRUE),TRUE,FALSE)</f>
        <v>0</v>
      </c>
      <c r="Q114" s="47" t="b">
        <f>if(countifs('Glen Oaks, USA'!Q:Q,$A114,'Glen Oaks, USA'!$I:$I,TRUE),TRUE,FALSE)</f>
        <v>0</v>
      </c>
      <c r="R114" s="47" t="b">
        <f>if(countifs('Chemnitz, GER'!Q:Q,$A114,'Chemnitz, GER'!I:I,TRUE),TRUE,FALSE)</f>
        <v>0</v>
      </c>
      <c r="S114" s="47" t="b">
        <f>if(countifs('Vosselaar, BE'!Q:Q,$A114,'Vosselaar, BE'!$I:$I,TRUE),TRUE,FALSE)</f>
        <v>0</v>
      </c>
      <c r="T114" s="47" t="b">
        <f>if(countifs('MHQ, USA'!Q:Q,$A114,'MHQ, USA'!$I:$I,TRUE),TRUE,FALSE)</f>
        <v>0</v>
      </c>
      <c r="U114" s="47" t="b">
        <f>if(countifs('Morayfield, AUS'!Q:Q,$A114,'Morayfield, AUS'!$I:$I,TRUE),TRUE,FALSE)</f>
        <v>0</v>
      </c>
      <c r="V114" s="11" t="b">
        <f>if(countifs('Arnhem, NL'!Q:Q,$A114,'Arnhem, NL'!$I:$I,TRUE),TRUE,FALSE)</f>
        <v>0</v>
      </c>
      <c r="W114" s="47" t="b">
        <f>if(countifs('Gotenborg, SW'!Q:Q,$A114,'Gotenborg, SW'!$I:$I,TRUE),TRUE,FALSE)</f>
        <v>0</v>
      </c>
      <c r="X114" s="47" t="b">
        <f>if(countifs('Shepparton, AUS'!Q:Q,$A114,'Shepparton, AUS'!$I:$I,TRUE),TRUE,FALSE)</f>
        <v>0</v>
      </c>
      <c r="Y114" s="47" t="b">
        <f>if(countifs('Hoofddorp, NL'!Q:Q,$A114,'Hoofddorp, NL'!$I:$I,TRUE),TRUE,FALSE)</f>
        <v>1</v>
      </c>
      <c r="Z114" s="47" t="b">
        <f>if(countifs('Bedford, UK'!Q:Q,$A114,'Bedford, UK'!$I:$I,TRUE),TRUE,FALSE)</f>
        <v>0</v>
      </c>
      <c r="AA114" s="47" t="b">
        <f>IF(COUNTIFS('Desert Lodge, USA'!Q:Q,$A114,'Desert Lodge, USA'!I:I,TRUE),TRUE,FALSE)</f>
        <v>0</v>
      </c>
      <c r="AB114" s="47" t="b">
        <f>if(countifs('Dapto, AUS'!Q:Q,$A114,'Dapto, AUS'!$I:$I,TRUE),TRUE,FALSE)</f>
        <v>0</v>
      </c>
      <c r="AC114" s="47" t="b">
        <f>if(countifs('New Westminster, CAN'!Q:Q,$A114,'New Westminster, CAN'!$I:$I,TRUE),TRUE,FALSE)</f>
        <v>0</v>
      </c>
      <c r="AD114" s="47" t="b">
        <f>if(countifs('Georgetown, CAN'!Q:Q,$A114,'Georgetown, CAN'!$I:$I,TRUE),TRUE,FALSE)</f>
        <v>0</v>
      </c>
      <c r="AE114" s="47" t="b">
        <f>if(countifs('Kingswood, UK'!Q:Q,$A114,'Kingswood, UK'!$I:$I,TRUE),TRUE,FALSE)</f>
        <v>0</v>
      </c>
      <c r="AF114" s="47" t="b">
        <f>if(countifs('Hagerstown, USA'!Q:Q,$A114,'Hagerstown, USA'!$I:$I,TRUE),TRUE,FALSE)</f>
        <v>0</v>
      </c>
      <c r="AG114" s="47" t="b">
        <f>if(countifs('Felsogalla, HU'!Q:Q,$A114,'Felsogalla, HU'!$I:$I,TRUE),TRUE,FALSE)</f>
        <v>0</v>
      </c>
      <c r="AH114" s="47" t="b">
        <f>if(countifs('Norlane, AUS'!Q:Q,$A114,'Norlane, AUS'!$I:$I,TRUE),TRUE,FALSE)</f>
        <v>0</v>
      </c>
      <c r="AI114" s="47" t="b">
        <f>if(countifs('Meitingen, GER'!Q:Q,$A114,'Meitingen, GER'!$I:$I,TRUE),TRUE,FALSE)</f>
        <v>0</v>
      </c>
      <c r="AJ114" s="47" t="b">
        <f>if(countifs('Groningen, NL'!Q:Q,$A114,'Groningen, NL'!$I:$I,TRUE),TRUE,FALSE)</f>
        <v>0</v>
      </c>
      <c r="AK114" s="47" t="b">
        <f>if(countifs('Linköping, SW'!Q:Q,$A114,'Linköping, SW'!$I:$I,TRUE),TRUE,FALSE)</f>
        <v>0</v>
      </c>
      <c r="AL114" s="47" t="b">
        <f>if(countifs('Austin, USA'!Q:Q,$A114,'Austin, USA'!$I:$I,TRUE),TRUE,FALSE)</f>
        <v>0</v>
      </c>
      <c r="AM114" s="47" t="b">
        <f>if(countifs('Thringstone, UK'!Q:Q,$A114,'Thringstone, UK'!$I:$I,TRUE),TRUE,FALSE)</f>
        <v>0</v>
      </c>
      <c r="AN114" s="47" t="b">
        <f>if(countifs('Andover, UK'!Q:Q,$A114,'Andover, UK'!$I:$I,TRUE),TRUE,FALSE)</f>
        <v>0</v>
      </c>
      <c r="AO114" s="47" t="b">
        <f>if(countifs('Ospel, NL'!Q:Q,$A114,'Ospel, NL'!$I:$I,TRUE),TRUE,FALSE)</f>
        <v>0</v>
      </c>
      <c r="AP114" s="47" t="b">
        <f>if(countifs('Wonthaggi, AUS'!Q:Q,$A114,'Wonthaggi, AUS'!$I:$I,TRUE),TRUE,FALSE)</f>
        <v>0</v>
      </c>
      <c r="AQ114" s="47" t="b">
        <f>if(countifs('Falling_Waters, USA'!$Q:$Q,$A114,'Falling_Waters, USA'!$I:$I,TRUE),TRUE,FALSE)</f>
        <v>0</v>
      </c>
      <c r="AR114" s="47" t="b">
        <f>if(countifs('Kelmscott, AUS'!Q:Q,$A114,'Kelmscott, AUS'!$I:$I,TRUE),TRUE,FALSE)</f>
        <v>0</v>
      </c>
    </row>
    <row r="115">
      <c r="A115" s="47" t="str">
        <f>IFERROR(__xludf.DUMMYFUNCTION("""COMPUTED_VALUE"""),"ChudleighTraveller")</f>
        <v>ChudleighTraveller</v>
      </c>
      <c r="B115" s="47">
        <f t="shared" si="1"/>
        <v>2</v>
      </c>
      <c r="C115" s="47" t="b">
        <v>0</v>
      </c>
      <c r="D115" s="47" t="b">
        <v>0</v>
      </c>
      <c r="E115" s="47" t="b">
        <v>0</v>
      </c>
      <c r="F115" s="47" t="b">
        <v>0</v>
      </c>
      <c r="G115" s="96"/>
      <c r="H115" s="96" t="b">
        <f>if(countifs('Berlin, GER'!Q:Q,A115,'Berlin, GER'!I:I,TRUE),TRUE,FALSE)</f>
        <v>0</v>
      </c>
      <c r="I115" s="96" t="b">
        <f>if(countifs('Escondido, USA'!Q:Q,A115,'Escondido, USA'!I:I,TRUE),TRUE,FALSE)</f>
        <v>0</v>
      </c>
      <c r="J115" s="96" t="b">
        <f>if(countifs('Onkaparinga_Hills, AUS'!Q:Q,A115,'Onkaparinga_Hills, AUS'!I:I,TRUE),TRUE,FALSE)</f>
        <v>0</v>
      </c>
      <c r="K115" s="96" t="b">
        <f>if(countifs('Perth, AUS'!Q:Q,A115,'Perth, AUS'!I:I,TRUE),TRUE,FALSE)</f>
        <v>0</v>
      </c>
      <c r="L115" s="96" t="b">
        <f>if(countifs('Raleigh, USA'!Q:Q,A115,'Raleigh, USA'!I:I,TRUE),TRUE,FALSE)</f>
        <v>0</v>
      </c>
      <c r="M115" s="96" t="b">
        <f>if(countifs('Browns Plains, AUS'!Q:Q,A115,'Browns Plains, AUS'!I:I,TRUE),TRUE,FALSE)</f>
        <v>0</v>
      </c>
      <c r="N115" s="96" t="b">
        <f>if(countifs('Brossard, CAN'!Q:Q,A115,'Brossard, CAN'!I:I,TRUE),TRUE,FALSE)</f>
        <v>0</v>
      </c>
      <c r="O115" s="96" t="b">
        <f>if(countifs('Gouda, NL'!Q:Q,$A115,'Gouda, NL'!$I:$I,TRUE),TRUE,FALSE)</f>
        <v>0</v>
      </c>
      <c r="P115" s="47" t="b">
        <f>if(countifs('Plympton, UK'!Q:Q,$A115,'Plympton, UK'!$I:$I,TRUE),TRUE,FALSE)</f>
        <v>0</v>
      </c>
      <c r="Q115" s="47" t="b">
        <f>if(countifs('Glen Oaks, USA'!Q:Q,$A115,'Glen Oaks, USA'!$I:$I,TRUE),TRUE,FALSE)</f>
        <v>0</v>
      </c>
      <c r="R115" s="47" t="b">
        <f>if(countifs('Chemnitz, GER'!Q:Q,$A115,'Chemnitz, GER'!I:I,TRUE),TRUE,FALSE)</f>
        <v>0</v>
      </c>
      <c r="S115" s="47" t="b">
        <f>if(countifs('Vosselaar, BE'!Q:Q,$A115,'Vosselaar, BE'!$I:$I,TRUE),TRUE,FALSE)</f>
        <v>0</v>
      </c>
      <c r="T115" s="47" t="b">
        <f>if(countifs('MHQ, USA'!Q:Q,$A115,'MHQ, USA'!$I:$I,TRUE),TRUE,FALSE)</f>
        <v>0</v>
      </c>
      <c r="U115" s="47" t="b">
        <f>if(countifs('Morayfield, AUS'!Q:Q,$A115,'Morayfield, AUS'!$I:$I,TRUE),TRUE,FALSE)</f>
        <v>0</v>
      </c>
      <c r="V115" s="11" t="b">
        <f>if(countifs('Arnhem, NL'!Q:Q,$A115,'Arnhem, NL'!$I:$I,TRUE),TRUE,FALSE)</f>
        <v>1</v>
      </c>
      <c r="W115" s="47" t="b">
        <f>if(countifs('Gotenborg, SW'!Q:Q,$A115,'Gotenborg, SW'!$I:$I,TRUE),TRUE,FALSE)</f>
        <v>0</v>
      </c>
      <c r="X115" s="47" t="b">
        <f>if(countifs('Shepparton, AUS'!Q:Q,$A115,'Shepparton, AUS'!$I:$I,TRUE),TRUE,FALSE)</f>
        <v>0</v>
      </c>
      <c r="Y115" s="47" t="b">
        <f>if(countifs('Hoofddorp, NL'!Q:Q,$A115,'Hoofddorp, NL'!$I:$I,TRUE),TRUE,FALSE)</f>
        <v>0</v>
      </c>
      <c r="Z115" s="47" t="b">
        <f>if(countifs('Bedford, UK'!Q:Q,$A115,'Bedford, UK'!$I:$I,TRUE),TRUE,FALSE)</f>
        <v>1</v>
      </c>
      <c r="AA115" s="47" t="b">
        <f>IF(COUNTIFS('Desert Lodge, USA'!Q:Q,$A115,'Desert Lodge, USA'!I:I,TRUE),TRUE,FALSE)</f>
        <v>0</v>
      </c>
      <c r="AB115" s="47" t="b">
        <f>if(countifs('Dapto, AUS'!Q:Q,$A115,'Dapto, AUS'!$I:$I,TRUE),TRUE,FALSE)</f>
        <v>0</v>
      </c>
      <c r="AC115" s="47" t="b">
        <f>if(countifs('New Westminster, CAN'!Q:Q,$A115,'New Westminster, CAN'!$I:$I,TRUE),TRUE,FALSE)</f>
        <v>0</v>
      </c>
      <c r="AD115" s="47" t="b">
        <f>if(countifs('Georgetown, CAN'!Q:Q,$A115,'Georgetown, CAN'!$I:$I,TRUE),TRUE,FALSE)</f>
        <v>0</v>
      </c>
      <c r="AE115" s="47" t="b">
        <f>if(countifs('Kingswood, UK'!Q:Q,$A115,'Kingswood, UK'!$I:$I,TRUE),TRUE,FALSE)</f>
        <v>0</v>
      </c>
      <c r="AF115" s="47" t="b">
        <f>if(countifs('Hagerstown, USA'!Q:Q,$A115,'Hagerstown, USA'!$I:$I,TRUE),TRUE,FALSE)</f>
        <v>0</v>
      </c>
      <c r="AG115" s="47" t="b">
        <f>if(countifs('Felsogalla, HU'!Q:Q,$A115,'Felsogalla, HU'!$I:$I,TRUE),TRUE,FALSE)</f>
        <v>0</v>
      </c>
      <c r="AH115" s="47" t="b">
        <f>if(countifs('Norlane, AUS'!Q:Q,$A115,'Norlane, AUS'!$I:$I,TRUE),TRUE,FALSE)</f>
        <v>0</v>
      </c>
      <c r="AI115" s="47" t="b">
        <f>if(countifs('Meitingen, GER'!Q:Q,$A115,'Meitingen, GER'!$I:$I,TRUE),TRUE,FALSE)</f>
        <v>0</v>
      </c>
      <c r="AJ115" s="47" t="b">
        <f>if(countifs('Groningen, NL'!Q:Q,$A115,'Groningen, NL'!$I:$I,TRUE),TRUE,FALSE)</f>
        <v>0</v>
      </c>
      <c r="AK115" s="47" t="b">
        <f>if(countifs('Linköping, SW'!Q:Q,$A115,'Linköping, SW'!$I:$I,TRUE),TRUE,FALSE)</f>
        <v>0</v>
      </c>
      <c r="AL115" s="47" t="b">
        <f>if(countifs('Austin, USA'!Q:Q,$A115,'Austin, USA'!$I:$I,TRUE),TRUE,FALSE)</f>
        <v>0</v>
      </c>
      <c r="AM115" s="47" t="b">
        <f>if(countifs('Thringstone, UK'!Q:Q,$A115,'Thringstone, UK'!$I:$I,TRUE),TRUE,FALSE)</f>
        <v>0</v>
      </c>
      <c r="AN115" s="47" t="b">
        <f>if(countifs('Andover, UK'!Q:Q,$A115,'Andover, UK'!$I:$I,TRUE),TRUE,FALSE)</f>
        <v>0</v>
      </c>
      <c r="AO115" s="47" t="b">
        <f>if(countifs('Ospel, NL'!Q:Q,$A115,'Ospel, NL'!$I:$I,TRUE),TRUE,FALSE)</f>
        <v>0</v>
      </c>
      <c r="AP115" s="47" t="b">
        <f>if(countifs('Wonthaggi, AUS'!Q:Q,$A115,'Wonthaggi, AUS'!$I:$I,TRUE),TRUE,FALSE)</f>
        <v>0</v>
      </c>
      <c r="AQ115" s="47" t="b">
        <f>if(countifs('Falling_Waters, USA'!$Q:$Q,$A115,'Falling_Waters, USA'!$I:$I,TRUE),TRUE,FALSE)</f>
        <v>0</v>
      </c>
      <c r="AR115" s="47" t="b">
        <f>if(countifs('Kelmscott, AUS'!Q:Q,$A115,'Kelmscott, AUS'!$I:$I,TRUE),TRUE,FALSE)</f>
        <v>0</v>
      </c>
    </row>
    <row r="116">
      <c r="A116" s="47" t="str">
        <f>IFERROR(__xludf.DUMMYFUNCTION("""COMPUTED_VALUE"""),"lupo6")</f>
        <v>lupo6</v>
      </c>
      <c r="B116" s="47">
        <f t="shared" si="1"/>
        <v>17</v>
      </c>
      <c r="C116" s="47" t="b">
        <v>0</v>
      </c>
      <c r="D116" s="47" t="b">
        <v>0</v>
      </c>
      <c r="E116" s="47" t="b">
        <v>0</v>
      </c>
      <c r="F116" s="47" t="b">
        <v>0</v>
      </c>
      <c r="G116" s="96"/>
      <c r="H116" s="96" t="b">
        <f>if(countifs('Berlin, GER'!Q:Q,A116,'Berlin, GER'!I:I,TRUE),TRUE,FALSE)</f>
        <v>0</v>
      </c>
      <c r="I116" s="96" t="b">
        <f>if(countifs('Escondido, USA'!Q:Q,A116,'Escondido, USA'!I:I,TRUE),TRUE,FALSE)</f>
        <v>0</v>
      </c>
      <c r="J116" s="96" t="b">
        <f>if(countifs('Onkaparinga_Hills, AUS'!Q:Q,A116,'Onkaparinga_Hills, AUS'!I:I,TRUE),TRUE,FALSE)</f>
        <v>0</v>
      </c>
      <c r="K116" s="96" t="b">
        <f>if(countifs('Perth, AUS'!Q:Q,A116,'Perth, AUS'!I:I,TRUE),TRUE,FALSE)</f>
        <v>0</v>
      </c>
      <c r="L116" s="96" t="b">
        <f>if(countifs('Raleigh, USA'!Q:Q,A116,'Raleigh, USA'!I:I,TRUE),TRUE,FALSE)</f>
        <v>0</v>
      </c>
      <c r="M116" s="96" t="b">
        <f>if(countifs('Browns Plains, AUS'!Q:Q,A116,'Browns Plains, AUS'!I:I,TRUE),TRUE,FALSE)</f>
        <v>0</v>
      </c>
      <c r="N116" s="96" t="b">
        <f>if(countifs('Brossard, CAN'!Q:Q,A116,'Brossard, CAN'!I:I,TRUE),TRUE,FALSE)</f>
        <v>0</v>
      </c>
      <c r="O116" s="96" t="b">
        <f>if(countifs('Gouda, NL'!Q:Q,$A116,'Gouda, NL'!$I:$I,TRUE),TRUE,FALSE)</f>
        <v>0</v>
      </c>
      <c r="P116" s="47" t="b">
        <f>if(countifs('Plympton, UK'!Q:Q,$A116,'Plympton, UK'!$I:$I,TRUE),TRUE,FALSE)</f>
        <v>0</v>
      </c>
      <c r="Q116" s="47" t="b">
        <f>if(countifs('Glen Oaks, USA'!Q:Q,$A116,'Glen Oaks, USA'!$I:$I,TRUE),TRUE,FALSE)</f>
        <v>0</v>
      </c>
      <c r="R116" s="47" t="b">
        <f>if(countifs('Chemnitz, GER'!Q:Q,$A116,'Chemnitz, GER'!I:I,TRUE),TRUE,FALSE)</f>
        <v>0</v>
      </c>
      <c r="S116" s="47" t="b">
        <f>if(countifs('Vosselaar, BE'!Q:Q,$A116,'Vosselaar, BE'!$I:$I,TRUE),TRUE,FALSE)</f>
        <v>0</v>
      </c>
      <c r="T116" s="47" t="b">
        <f>if(countifs('MHQ, USA'!Q:Q,$A116,'MHQ, USA'!$I:$I,TRUE),TRUE,FALSE)</f>
        <v>0</v>
      </c>
      <c r="U116" s="47" t="b">
        <f>if(countifs('Morayfield, AUS'!Q:Q,$A116,'Morayfield, AUS'!$I:$I,TRUE),TRUE,FALSE)</f>
        <v>0</v>
      </c>
      <c r="V116" s="11" t="b">
        <f>if(countifs('Arnhem, NL'!Q:Q,$A116,'Arnhem, NL'!$I:$I,TRUE),TRUE,FALSE)</f>
        <v>0</v>
      </c>
      <c r="W116" s="47" t="b">
        <f>if(countifs('Gotenborg, SW'!Q:Q,$A116,'Gotenborg, SW'!$I:$I,TRUE),TRUE,FALSE)</f>
        <v>0</v>
      </c>
      <c r="X116" s="47" t="b">
        <f>if(countifs('Shepparton, AUS'!Q:Q,$A116,'Shepparton, AUS'!$I:$I,TRUE),TRUE,FALSE)</f>
        <v>0</v>
      </c>
      <c r="Y116" s="47" t="b">
        <f>if(countifs('Hoofddorp, NL'!Q:Q,$A116,'Hoofddorp, NL'!$I:$I,TRUE),TRUE,FALSE)</f>
        <v>0</v>
      </c>
      <c r="Z116" s="47" t="b">
        <f>if(countifs('Bedford, UK'!Q:Q,$A116,'Bedford, UK'!$I:$I,TRUE),TRUE,FALSE)</f>
        <v>1</v>
      </c>
      <c r="AA116" s="47" t="b">
        <f>IF(COUNTIFS('Desert Lodge, USA'!Q:Q,$A116,'Desert Lodge, USA'!I:I,TRUE),TRUE,FALSE)</f>
        <v>0</v>
      </c>
      <c r="AB116" s="47" t="b">
        <f>if(countifs('Dapto, AUS'!Q:Q,$A116,'Dapto, AUS'!$I:$I,TRUE),TRUE,FALSE)</f>
        <v>1</v>
      </c>
      <c r="AC116" s="47" t="b">
        <f>if(countifs('New Westminster, CAN'!Q:Q,$A116,'New Westminster, CAN'!$I:$I,TRUE),TRUE,FALSE)</f>
        <v>1</v>
      </c>
      <c r="AD116" s="47" t="b">
        <f>if(countifs('Georgetown, CAN'!Q:Q,$A116,'Georgetown, CAN'!$I:$I,TRUE),TRUE,FALSE)</f>
        <v>1</v>
      </c>
      <c r="AE116" s="47" t="b">
        <f>if(countifs('Kingswood, UK'!Q:Q,$A116,'Kingswood, UK'!$I:$I,TRUE),TRUE,FALSE)</f>
        <v>1</v>
      </c>
      <c r="AF116" s="47" t="b">
        <f>if(countifs('Hagerstown, USA'!Q:Q,$A116,'Hagerstown, USA'!$I:$I,TRUE),TRUE,FALSE)</f>
        <v>1</v>
      </c>
      <c r="AG116" s="47" t="b">
        <f>if(countifs('Felsogalla, HU'!Q:Q,$A116,'Felsogalla, HU'!$I:$I,TRUE),TRUE,FALSE)</f>
        <v>1</v>
      </c>
      <c r="AH116" s="47" t="b">
        <f>if(countifs('Norlane, AUS'!Q:Q,$A116,'Norlane, AUS'!$I:$I,TRUE),TRUE,FALSE)</f>
        <v>1</v>
      </c>
      <c r="AI116" s="47" t="b">
        <f>if(countifs('Meitingen, GER'!Q:Q,$A116,'Meitingen, GER'!$I:$I,TRUE),TRUE,FALSE)</f>
        <v>1</v>
      </c>
      <c r="AJ116" s="47" t="b">
        <f>if(countifs('Groningen, NL'!Q:Q,$A116,'Groningen, NL'!$I:$I,TRUE),TRUE,FALSE)</f>
        <v>1</v>
      </c>
      <c r="AK116" s="47" t="b">
        <f>if(countifs('Linköping, SW'!Q:Q,$A116,'Linköping, SW'!$I:$I,TRUE),TRUE,FALSE)</f>
        <v>1</v>
      </c>
      <c r="AL116" s="47" t="b">
        <f>if(countifs('Austin, USA'!Q:Q,$A116,'Austin, USA'!$I:$I,TRUE),TRUE,FALSE)</f>
        <v>0</v>
      </c>
      <c r="AM116" s="47" t="b">
        <f>if(countifs('Thringstone, UK'!Q:Q,$A116,'Thringstone, UK'!$I:$I,TRUE),TRUE,FALSE)</f>
        <v>1</v>
      </c>
      <c r="AN116" s="47" t="b">
        <f>if(countifs('Andover, UK'!Q:Q,$A116,'Andover, UK'!$I:$I,TRUE),TRUE,FALSE)</f>
        <v>1</v>
      </c>
      <c r="AO116" s="47" t="b">
        <f>if(countifs('Ospel, NL'!Q:Q,$A116,'Ospel, NL'!$I:$I,TRUE),TRUE,FALSE)</f>
        <v>1</v>
      </c>
      <c r="AP116" s="47" t="b">
        <f>if(countifs('Wonthaggi, AUS'!Q:Q,$A116,'Wonthaggi, AUS'!$I:$I,TRUE),TRUE,FALSE)</f>
        <v>1</v>
      </c>
      <c r="AQ116" s="47" t="b">
        <f>if(countifs('Falling_Waters, USA'!$Q:$Q,$A116,'Falling_Waters, USA'!$I:$I,TRUE),TRUE,FALSE)</f>
        <v>1</v>
      </c>
      <c r="AR116" s="47" t="b">
        <f>if(countifs('Kelmscott, AUS'!Q:Q,$A116,'Kelmscott, AUS'!$I:$I,TRUE),TRUE,FALSE)</f>
        <v>1</v>
      </c>
    </row>
    <row r="117">
      <c r="A117" s="47" t="str">
        <f>IFERROR(__xludf.DUMMYFUNCTION("""COMPUTED_VALUE"""),"Whatsoverthere")</f>
        <v>Whatsoverthere</v>
      </c>
      <c r="B117" s="47">
        <f t="shared" si="1"/>
        <v>2</v>
      </c>
      <c r="C117" s="47" t="b">
        <v>0</v>
      </c>
      <c r="D117" s="47" t="b">
        <v>0</v>
      </c>
      <c r="E117" s="47" t="b">
        <v>0</v>
      </c>
      <c r="F117" s="47" t="b">
        <v>0</v>
      </c>
      <c r="G117" s="96"/>
      <c r="H117" s="96" t="b">
        <f>if(countifs('Berlin, GER'!Q:Q,A117,'Berlin, GER'!I:I,TRUE),TRUE,FALSE)</f>
        <v>0</v>
      </c>
      <c r="I117" s="96" t="b">
        <f>if(countifs('Escondido, USA'!Q:Q,A117,'Escondido, USA'!I:I,TRUE),TRUE,FALSE)</f>
        <v>0</v>
      </c>
      <c r="J117" s="96" t="b">
        <f>if(countifs('Onkaparinga_Hills, AUS'!Q:Q,A117,'Onkaparinga_Hills, AUS'!I:I,TRUE),TRUE,FALSE)</f>
        <v>0</v>
      </c>
      <c r="K117" s="96" t="b">
        <f>if(countifs('Perth, AUS'!Q:Q,A117,'Perth, AUS'!I:I,TRUE),TRUE,FALSE)</f>
        <v>0</v>
      </c>
      <c r="L117" s="96" t="b">
        <f>if(countifs('Raleigh, USA'!Q:Q,A117,'Raleigh, USA'!I:I,TRUE),TRUE,FALSE)</f>
        <v>0</v>
      </c>
      <c r="M117" s="96" t="b">
        <f>if(countifs('Browns Plains, AUS'!Q:Q,A117,'Browns Plains, AUS'!I:I,TRUE),TRUE,FALSE)</f>
        <v>0</v>
      </c>
      <c r="N117" s="96" t="b">
        <f>if(countifs('Brossard, CAN'!Q:Q,A117,'Brossard, CAN'!I:I,TRUE),TRUE,FALSE)</f>
        <v>0</v>
      </c>
      <c r="O117" s="96" t="b">
        <f>if(countifs('Gouda, NL'!Q:Q,$A117,'Gouda, NL'!$I:$I,TRUE),TRUE,FALSE)</f>
        <v>0</v>
      </c>
      <c r="P117" s="47" t="b">
        <f>if(countifs('Plympton, UK'!Q:Q,$A117,'Plympton, UK'!$I:$I,TRUE),TRUE,FALSE)</f>
        <v>0</v>
      </c>
      <c r="Q117" s="47" t="b">
        <f>if(countifs('Glen Oaks, USA'!Q:Q,$A117,'Glen Oaks, USA'!$I:$I,TRUE),TRUE,FALSE)</f>
        <v>0</v>
      </c>
      <c r="R117" s="47" t="b">
        <f>if(countifs('Chemnitz, GER'!Q:Q,$A117,'Chemnitz, GER'!I:I,TRUE),TRUE,FALSE)</f>
        <v>0</v>
      </c>
      <c r="S117" s="47" t="b">
        <f>if(countifs('Vosselaar, BE'!Q:Q,$A117,'Vosselaar, BE'!$I:$I,TRUE),TRUE,FALSE)</f>
        <v>0</v>
      </c>
      <c r="T117" s="47" t="b">
        <f>if(countifs('MHQ, USA'!Q:Q,$A117,'MHQ, USA'!$I:$I,TRUE),TRUE,FALSE)</f>
        <v>0</v>
      </c>
      <c r="U117" s="47" t="b">
        <f>if(countifs('Morayfield, AUS'!Q:Q,$A117,'Morayfield, AUS'!$I:$I,TRUE),TRUE,FALSE)</f>
        <v>0</v>
      </c>
      <c r="V117" s="11" t="b">
        <f>if(countifs('Arnhem, NL'!Q:Q,$A117,'Arnhem, NL'!$I:$I,TRUE),TRUE,FALSE)</f>
        <v>0</v>
      </c>
      <c r="W117" s="47" t="b">
        <f>if(countifs('Gotenborg, SW'!Q:Q,$A117,'Gotenborg, SW'!$I:$I,TRUE),TRUE,FALSE)</f>
        <v>0</v>
      </c>
      <c r="X117" s="47" t="b">
        <f>if(countifs('Shepparton, AUS'!Q:Q,$A117,'Shepparton, AUS'!$I:$I,TRUE),TRUE,FALSE)</f>
        <v>0</v>
      </c>
      <c r="Y117" s="47" t="b">
        <f>if(countifs('Hoofddorp, NL'!Q:Q,$A117,'Hoofddorp, NL'!$I:$I,TRUE),TRUE,FALSE)</f>
        <v>0</v>
      </c>
      <c r="Z117" s="47" t="b">
        <f>if(countifs('Bedford, UK'!Q:Q,$A117,'Bedford, UK'!$I:$I,TRUE),TRUE,FALSE)</f>
        <v>0</v>
      </c>
      <c r="AA117" s="47" t="b">
        <f>IF(COUNTIFS('Desert Lodge, USA'!Q:Q,$A117,'Desert Lodge, USA'!I:I,TRUE),TRUE,FALSE)</f>
        <v>0</v>
      </c>
      <c r="AB117" s="47" t="b">
        <f>if(countifs('Dapto, AUS'!Q:Q,$A117,'Dapto, AUS'!$I:$I,TRUE),TRUE,FALSE)</f>
        <v>0</v>
      </c>
      <c r="AC117" s="47" t="b">
        <f>if(countifs('New Westminster, CAN'!Q:Q,$A117,'New Westminster, CAN'!$I:$I,TRUE),TRUE,FALSE)</f>
        <v>0</v>
      </c>
      <c r="AD117" s="47" t="b">
        <f>if(countifs('Georgetown, CAN'!Q:Q,$A117,'Georgetown, CAN'!$I:$I,TRUE),TRUE,FALSE)</f>
        <v>0</v>
      </c>
      <c r="AE117" s="47" t="b">
        <f>if(countifs('Kingswood, UK'!Q:Q,$A117,'Kingswood, UK'!$I:$I,TRUE),TRUE,FALSE)</f>
        <v>0</v>
      </c>
      <c r="AF117" s="47" t="b">
        <f>if(countifs('Hagerstown, USA'!Q:Q,$A117,'Hagerstown, USA'!$I:$I,TRUE),TRUE,FALSE)</f>
        <v>1</v>
      </c>
      <c r="AG117" s="47" t="b">
        <f>if(countifs('Felsogalla, HU'!Q:Q,$A117,'Felsogalla, HU'!$I:$I,TRUE),TRUE,FALSE)</f>
        <v>0</v>
      </c>
      <c r="AH117" s="47" t="b">
        <f>if(countifs('Norlane, AUS'!Q:Q,$A117,'Norlane, AUS'!$I:$I,TRUE),TRUE,FALSE)</f>
        <v>0</v>
      </c>
      <c r="AI117" s="47" t="b">
        <f>if(countifs('Meitingen, GER'!Q:Q,$A117,'Meitingen, GER'!$I:$I,TRUE),TRUE,FALSE)</f>
        <v>0</v>
      </c>
      <c r="AJ117" s="47" t="b">
        <f>if(countifs('Groningen, NL'!Q:Q,$A117,'Groningen, NL'!$I:$I,TRUE),TRUE,FALSE)</f>
        <v>0</v>
      </c>
      <c r="AK117" s="47" t="b">
        <f>if(countifs('Linköping, SW'!Q:Q,$A117,'Linköping, SW'!$I:$I,TRUE),TRUE,FALSE)</f>
        <v>0</v>
      </c>
      <c r="AL117" s="47" t="b">
        <f>if(countifs('Austin, USA'!Q:Q,$A117,'Austin, USA'!$I:$I,TRUE),TRUE,FALSE)</f>
        <v>0</v>
      </c>
      <c r="AM117" s="47" t="b">
        <f>if(countifs('Thringstone, UK'!Q:Q,$A117,'Thringstone, UK'!$I:$I,TRUE),TRUE,FALSE)</f>
        <v>0</v>
      </c>
      <c r="AN117" s="47" t="b">
        <f>if(countifs('Andover, UK'!Q:Q,$A117,'Andover, UK'!$I:$I,TRUE),TRUE,FALSE)</f>
        <v>0</v>
      </c>
      <c r="AO117" s="47" t="b">
        <f>if(countifs('Ospel, NL'!Q:Q,$A117,'Ospel, NL'!$I:$I,TRUE),TRUE,FALSE)</f>
        <v>0</v>
      </c>
      <c r="AP117" s="47" t="b">
        <f>if(countifs('Wonthaggi, AUS'!Q:Q,$A117,'Wonthaggi, AUS'!$I:$I,TRUE),TRUE,FALSE)</f>
        <v>0</v>
      </c>
      <c r="AQ117" s="47" t="b">
        <f>if(countifs('Falling_Waters, USA'!$Q:$Q,$A117,'Falling_Waters, USA'!$I:$I,TRUE),TRUE,FALSE)</f>
        <v>1</v>
      </c>
      <c r="AR117" s="47" t="b">
        <f>if(countifs('Kelmscott, AUS'!Q:Q,$A117,'Kelmscott, AUS'!$I:$I,TRUE),TRUE,FALSE)</f>
        <v>0</v>
      </c>
    </row>
    <row r="118">
      <c r="A118" s="47" t="str">
        <f>IFERROR(__xludf.DUMMYFUNCTION("""COMPUTED_VALUE"""),"Oppresso1983")</f>
        <v>Oppresso1983</v>
      </c>
      <c r="B118" s="47">
        <f t="shared" si="1"/>
        <v>2</v>
      </c>
      <c r="C118" s="47" t="b">
        <v>0</v>
      </c>
      <c r="D118" s="47" t="b">
        <v>0</v>
      </c>
      <c r="E118" s="47" t="b">
        <v>0</v>
      </c>
      <c r="F118" s="47" t="b">
        <v>0</v>
      </c>
      <c r="G118" s="96"/>
      <c r="H118" s="96" t="b">
        <f>if(countifs('Berlin, GER'!Q:Q,A118,'Berlin, GER'!I:I,TRUE),TRUE,FALSE)</f>
        <v>0</v>
      </c>
      <c r="I118" s="96" t="b">
        <f>if(countifs('Escondido, USA'!Q:Q,A118,'Escondido, USA'!I:I,TRUE),TRUE,FALSE)</f>
        <v>0</v>
      </c>
      <c r="J118" s="96" t="b">
        <f>if(countifs('Onkaparinga_Hills, AUS'!Q:Q,A118,'Onkaparinga_Hills, AUS'!I:I,TRUE),TRUE,FALSE)</f>
        <v>0</v>
      </c>
      <c r="K118" s="96" t="b">
        <f>if(countifs('Perth, AUS'!Q:Q,A118,'Perth, AUS'!I:I,TRUE),TRUE,FALSE)</f>
        <v>0</v>
      </c>
      <c r="L118" s="96" t="b">
        <f>if(countifs('Raleigh, USA'!Q:Q,A118,'Raleigh, USA'!I:I,TRUE),TRUE,FALSE)</f>
        <v>0</v>
      </c>
      <c r="M118" s="96" t="b">
        <f>if(countifs('Browns Plains, AUS'!Q:Q,A118,'Browns Plains, AUS'!I:I,TRUE),TRUE,FALSE)</f>
        <v>0</v>
      </c>
      <c r="N118" s="96" t="b">
        <f>if(countifs('Brossard, CAN'!Q:Q,A118,'Brossard, CAN'!I:I,TRUE),TRUE,FALSE)</f>
        <v>0</v>
      </c>
      <c r="O118" s="96" t="b">
        <f>if(countifs('Gouda, NL'!Q:Q,$A118,'Gouda, NL'!$I:$I,TRUE),TRUE,FALSE)</f>
        <v>0</v>
      </c>
      <c r="P118" s="47" t="b">
        <f>if(countifs('Plympton, UK'!Q:Q,$A118,'Plympton, UK'!$I:$I,TRUE),TRUE,FALSE)</f>
        <v>0</v>
      </c>
      <c r="Q118" s="47" t="b">
        <f>if(countifs('Glen Oaks, USA'!Q:Q,$A118,'Glen Oaks, USA'!$I:$I,TRUE),TRUE,FALSE)</f>
        <v>0</v>
      </c>
      <c r="R118" s="47" t="b">
        <f>if(countifs('Chemnitz, GER'!Q:Q,$A118,'Chemnitz, GER'!I:I,TRUE),TRUE,FALSE)</f>
        <v>0</v>
      </c>
      <c r="S118" s="47" t="b">
        <f>if(countifs('Vosselaar, BE'!Q:Q,$A118,'Vosselaar, BE'!$I:$I,TRUE),TRUE,FALSE)</f>
        <v>0</v>
      </c>
      <c r="T118" s="47" t="b">
        <f>if(countifs('MHQ, USA'!Q:Q,$A118,'MHQ, USA'!$I:$I,TRUE),TRUE,FALSE)</f>
        <v>0</v>
      </c>
      <c r="U118" s="47" t="b">
        <f>if(countifs('Morayfield, AUS'!Q:Q,$A118,'Morayfield, AUS'!$I:$I,TRUE),TRUE,FALSE)</f>
        <v>0</v>
      </c>
      <c r="V118" s="11" t="b">
        <f>if(countifs('Arnhem, NL'!Q:Q,$A118,'Arnhem, NL'!$I:$I,TRUE),TRUE,FALSE)</f>
        <v>0</v>
      </c>
      <c r="W118" s="47" t="b">
        <f>if(countifs('Gotenborg, SW'!Q:Q,$A118,'Gotenborg, SW'!$I:$I,TRUE),TRUE,FALSE)</f>
        <v>0</v>
      </c>
      <c r="X118" s="47" t="b">
        <f>if(countifs('Shepparton, AUS'!Q:Q,$A118,'Shepparton, AUS'!$I:$I,TRUE),TRUE,FALSE)</f>
        <v>0</v>
      </c>
      <c r="Y118" s="47" t="b">
        <f>if(countifs('Hoofddorp, NL'!Q:Q,$A118,'Hoofddorp, NL'!$I:$I,TRUE),TRUE,FALSE)</f>
        <v>0</v>
      </c>
      <c r="Z118" s="47" t="b">
        <f>if(countifs('Bedford, UK'!Q:Q,$A118,'Bedford, UK'!$I:$I,TRUE),TRUE,FALSE)</f>
        <v>0</v>
      </c>
      <c r="AA118" s="47" t="b">
        <f>IF(COUNTIFS('Desert Lodge, USA'!Q:Q,$A118,'Desert Lodge, USA'!I:I,TRUE),TRUE,FALSE)</f>
        <v>0</v>
      </c>
      <c r="AB118" s="47" t="b">
        <f>if(countifs('Dapto, AUS'!Q:Q,$A118,'Dapto, AUS'!$I:$I,TRUE),TRUE,FALSE)</f>
        <v>0</v>
      </c>
      <c r="AC118" s="47" t="b">
        <f>if(countifs('New Westminster, CAN'!Q:Q,$A118,'New Westminster, CAN'!$I:$I,TRUE),TRUE,FALSE)</f>
        <v>0</v>
      </c>
      <c r="AD118" s="47" t="b">
        <f>if(countifs('Georgetown, CAN'!Q:Q,$A118,'Georgetown, CAN'!$I:$I,TRUE),TRUE,FALSE)</f>
        <v>0</v>
      </c>
      <c r="AE118" s="47" t="b">
        <f>if(countifs('Kingswood, UK'!Q:Q,$A118,'Kingswood, UK'!$I:$I,TRUE),TRUE,FALSE)</f>
        <v>0</v>
      </c>
      <c r="AF118" s="47" t="b">
        <f>if(countifs('Hagerstown, USA'!Q:Q,$A118,'Hagerstown, USA'!$I:$I,TRUE),TRUE,FALSE)</f>
        <v>1</v>
      </c>
      <c r="AG118" s="47" t="b">
        <f>if(countifs('Felsogalla, HU'!Q:Q,$A118,'Felsogalla, HU'!$I:$I,TRUE),TRUE,FALSE)</f>
        <v>0</v>
      </c>
      <c r="AH118" s="47" t="b">
        <f>if(countifs('Norlane, AUS'!Q:Q,$A118,'Norlane, AUS'!$I:$I,TRUE),TRUE,FALSE)</f>
        <v>0</v>
      </c>
      <c r="AI118" s="47" t="b">
        <f>if(countifs('Meitingen, GER'!Q:Q,$A118,'Meitingen, GER'!$I:$I,TRUE),TRUE,FALSE)</f>
        <v>0</v>
      </c>
      <c r="AJ118" s="47" t="b">
        <f>if(countifs('Groningen, NL'!Q:Q,$A118,'Groningen, NL'!$I:$I,TRUE),TRUE,FALSE)</f>
        <v>0</v>
      </c>
      <c r="AK118" s="47" t="b">
        <f>if(countifs('Linköping, SW'!Q:Q,$A118,'Linköping, SW'!$I:$I,TRUE),TRUE,FALSE)</f>
        <v>0</v>
      </c>
      <c r="AL118" s="47" t="b">
        <f>if(countifs('Austin, USA'!Q:Q,$A118,'Austin, USA'!$I:$I,TRUE),TRUE,FALSE)</f>
        <v>0</v>
      </c>
      <c r="AM118" s="47" t="b">
        <f>if(countifs('Thringstone, UK'!Q:Q,$A118,'Thringstone, UK'!$I:$I,TRUE),TRUE,FALSE)</f>
        <v>0</v>
      </c>
      <c r="AN118" s="47" t="b">
        <f>if(countifs('Andover, UK'!Q:Q,$A118,'Andover, UK'!$I:$I,TRUE),TRUE,FALSE)</f>
        <v>0</v>
      </c>
      <c r="AO118" s="47" t="b">
        <f>if(countifs('Ospel, NL'!Q:Q,$A118,'Ospel, NL'!$I:$I,TRUE),TRUE,FALSE)</f>
        <v>0</v>
      </c>
      <c r="AP118" s="47" t="b">
        <f>if(countifs('Wonthaggi, AUS'!Q:Q,$A118,'Wonthaggi, AUS'!$I:$I,TRUE),TRUE,FALSE)</f>
        <v>0</v>
      </c>
      <c r="AQ118" s="47" t="b">
        <f>if(countifs('Falling_Waters, USA'!$Q:$Q,$A118,'Falling_Waters, USA'!$I:$I,TRUE),TRUE,FALSE)</f>
        <v>1</v>
      </c>
      <c r="AR118" s="47" t="b">
        <f>if(countifs('Kelmscott, AUS'!Q:Q,$A118,'Kelmscott, AUS'!$I:$I,TRUE),TRUE,FALSE)</f>
        <v>0</v>
      </c>
    </row>
    <row r="119">
      <c r="A119" s="47" t="str">
        <f>IFERROR(__xludf.DUMMYFUNCTION("""COMPUTED_VALUE"""),"crscousins")</f>
        <v>crscousins</v>
      </c>
      <c r="B119" s="47">
        <f t="shared" si="1"/>
        <v>15</v>
      </c>
      <c r="C119" s="47" t="b">
        <v>0</v>
      </c>
      <c r="D119" s="47" t="b">
        <v>0</v>
      </c>
      <c r="E119" s="47" t="b">
        <v>0</v>
      </c>
      <c r="F119" s="47" t="b">
        <v>0</v>
      </c>
      <c r="G119" s="96"/>
      <c r="H119" s="96" t="b">
        <f>if(countifs('Berlin, GER'!Q:Q,A119,'Berlin, GER'!I:I,TRUE),TRUE,FALSE)</f>
        <v>0</v>
      </c>
      <c r="I119" s="96" t="b">
        <f>if(countifs('Escondido, USA'!Q:Q,A119,'Escondido, USA'!I:I,TRUE),TRUE,FALSE)</f>
        <v>0</v>
      </c>
      <c r="J119" s="96" t="b">
        <f>if(countifs('Onkaparinga_Hills, AUS'!Q:Q,A119,'Onkaparinga_Hills, AUS'!I:I,TRUE),TRUE,FALSE)</f>
        <v>0</v>
      </c>
      <c r="K119" s="96" t="b">
        <f>if(countifs('Perth, AUS'!Q:Q,A119,'Perth, AUS'!I:I,TRUE),TRUE,FALSE)</f>
        <v>0</v>
      </c>
      <c r="L119" s="96" t="b">
        <f>if(countifs('Raleigh, USA'!Q:Q,A119,'Raleigh, USA'!I:I,TRUE),TRUE,FALSE)</f>
        <v>0</v>
      </c>
      <c r="M119" s="96" t="b">
        <f>if(countifs('Browns Plains, AUS'!Q:Q,A119,'Browns Plains, AUS'!I:I,TRUE),TRUE,FALSE)</f>
        <v>0</v>
      </c>
      <c r="N119" s="96" t="b">
        <f>if(countifs('Brossard, CAN'!Q:Q,A119,'Brossard, CAN'!I:I,TRUE),TRUE,FALSE)</f>
        <v>0</v>
      </c>
      <c r="O119" s="96" t="b">
        <f>if(countifs('Gouda, NL'!Q:Q,$A119,'Gouda, NL'!$I:$I,TRUE),TRUE,FALSE)</f>
        <v>0</v>
      </c>
      <c r="P119" s="47" t="b">
        <f>if(countifs('Plympton, UK'!Q:Q,$A119,'Plympton, UK'!$I:$I,TRUE),TRUE,FALSE)</f>
        <v>0</v>
      </c>
      <c r="Q119" s="47" t="b">
        <f>if(countifs('Glen Oaks, USA'!Q:Q,$A119,'Glen Oaks, USA'!$I:$I,TRUE),TRUE,FALSE)</f>
        <v>0</v>
      </c>
      <c r="R119" s="47" t="b">
        <f>if(countifs('Chemnitz, GER'!Q:Q,$A119,'Chemnitz, GER'!I:I,TRUE),TRUE,FALSE)</f>
        <v>0</v>
      </c>
      <c r="S119" s="47" t="b">
        <f>if(countifs('Vosselaar, BE'!Q:Q,$A119,'Vosselaar, BE'!$I:$I,TRUE),TRUE,FALSE)</f>
        <v>0</v>
      </c>
      <c r="T119" s="47" t="b">
        <f>if(countifs('MHQ, USA'!Q:Q,$A119,'MHQ, USA'!$I:$I,TRUE),TRUE,FALSE)</f>
        <v>0</v>
      </c>
      <c r="U119" s="47" t="b">
        <f>if(countifs('Morayfield, AUS'!Q:Q,$A119,'Morayfield, AUS'!$I:$I,TRUE),TRUE,FALSE)</f>
        <v>0</v>
      </c>
      <c r="V119" s="11" t="b">
        <f>if(countifs('Arnhem, NL'!Q:Q,$A119,'Arnhem, NL'!$I:$I,TRUE),TRUE,FALSE)</f>
        <v>0</v>
      </c>
      <c r="W119" s="47" t="b">
        <f>if(countifs('Gotenborg, SW'!Q:Q,$A119,'Gotenborg, SW'!$I:$I,TRUE),TRUE,FALSE)</f>
        <v>0</v>
      </c>
      <c r="X119" s="47" t="b">
        <f>if(countifs('Shepparton, AUS'!Q:Q,$A119,'Shepparton, AUS'!$I:$I,TRUE),TRUE,FALSE)</f>
        <v>0</v>
      </c>
      <c r="Y119" s="47" t="b">
        <f>if(countifs('Hoofddorp, NL'!Q:Q,$A119,'Hoofddorp, NL'!$I:$I,TRUE),TRUE,FALSE)</f>
        <v>0</v>
      </c>
      <c r="Z119" s="47" t="b">
        <f>if(countifs('Bedford, UK'!Q:Q,$A119,'Bedford, UK'!$I:$I,TRUE),TRUE,FALSE)</f>
        <v>0</v>
      </c>
      <c r="AA119" s="47" t="b">
        <f>IF(COUNTIFS('Desert Lodge, USA'!Q:Q,$A119,'Desert Lodge, USA'!I:I,TRUE),TRUE,FALSE)</f>
        <v>0</v>
      </c>
      <c r="AB119" s="47" t="b">
        <f>if(countifs('Dapto, AUS'!Q:Q,$A119,'Dapto, AUS'!$I:$I,TRUE),TRUE,FALSE)</f>
        <v>1</v>
      </c>
      <c r="AC119" s="47" t="b">
        <f>if(countifs('New Westminster, CAN'!Q:Q,$A119,'New Westminster, CAN'!$I:$I,TRUE),TRUE,FALSE)</f>
        <v>1</v>
      </c>
      <c r="AD119" s="47" t="b">
        <f>if(countifs('Georgetown, CAN'!Q:Q,$A119,'Georgetown, CAN'!$I:$I,TRUE),TRUE,FALSE)</f>
        <v>0</v>
      </c>
      <c r="AE119" s="47" t="b">
        <f>if(countifs('Kingswood, UK'!Q:Q,$A119,'Kingswood, UK'!$I:$I,TRUE),TRUE,FALSE)</f>
        <v>1</v>
      </c>
      <c r="AF119" s="47" t="b">
        <f>if(countifs('Hagerstown, USA'!Q:Q,$A119,'Hagerstown, USA'!$I:$I,TRUE),TRUE,FALSE)</f>
        <v>1</v>
      </c>
      <c r="AG119" s="47" t="b">
        <f>if(countifs('Felsogalla, HU'!Q:Q,$A119,'Felsogalla, HU'!$I:$I,TRUE),TRUE,FALSE)</f>
        <v>1</v>
      </c>
      <c r="AH119" s="47" t="b">
        <f>if(countifs('Norlane, AUS'!Q:Q,$A119,'Norlane, AUS'!$I:$I,TRUE),TRUE,FALSE)</f>
        <v>1</v>
      </c>
      <c r="AI119" s="47" t="b">
        <f>if(countifs('Meitingen, GER'!Q:Q,$A119,'Meitingen, GER'!$I:$I,TRUE),TRUE,FALSE)</f>
        <v>1</v>
      </c>
      <c r="AJ119" s="47" t="b">
        <f>if(countifs('Groningen, NL'!Q:Q,$A119,'Groningen, NL'!$I:$I,TRUE),TRUE,FALSE)</f>
        <v>1</v>
      </c>
      <c r="AK119" s="47" t="b">
        <f>if(countifs('Linköping, SW'!Q:Q,$A119,'Linköping, SW'!$I:$I,TRUE),TRUE,FALSE)</f>
        <v>1</v>
      </c>
      <c r="AL119" s="47" t="b">
        <f>if(countifs('Austin, USA'!Q:Q,$A119,'Austin, USA'!$I:$I,TRUE),TRUE,FALSE)</f>
        <v>0</v>
      </c>
      <c r="AM119" s="47" t="b">
        <f>if(countifs('Thringstone, UK'!Q:Q,$A119,'Thringstone, UK'!$I:$I,TRUE),TRUE,FALSE)</f>
        <v>1</v>
      </c>
      <c r="AN119" s="47" t="b">
        <f>if(countifs('Andover, UK'!Q:Q,$A119,'Andover, UK'!$I:$I,TRUE),TRUE,FALSE)</f>
        <v>1</v>
      </c>
      <c r="AO119" s="47" t="b">
        <f>if(countifs('Ospel, NL'!Q:Q,$A119,'Ospel, NL'!$I:$I,TRUE),TRUE,FALSE)</f>
        <v>1</v>
      </c>
      <c r="AP119" s="47" t="b">
        <f>if(countifs('Wonthaggi, AUS'!Q:Q,$A119,'Wonthaggi, AUS'!$I:$I,TRUE),TRUE,FALSE)</f>
        <v>1</v>
      </c>
      <c r="AQ119" s="47" t="b">
        <f>if(countifs('Falling_Waters, USA'!$Q:$Q,$A119,'Falling_Waters, USA'!$I:$I,TRUE),TRUE,FALSE)</f>
        <v>1</v>
      </c>
      <c r="AR119" s="47" t="b">
        <f>if(countifs('Kelmscott, AUS'!Q:Q,$A119,'Kelmscott, AUS'!$I:$I,TRUE),TRUE,FALSE)</f>
        <v>1</v>
      </c>
    </row>
    <row r="120">
      <c r="A120" s="47" t="str">
        <f>IFERROR(__xludf.DUMMYFUNCTION("""COMPUTED_VALUE"""),"rita85gto")</f>
        <v>rita85gto</v>
      </c>
      <c r="B120" s="47">
        <f t="shared" si="1"/>
        <v>13</v>
      </c>
      <c r="C120" s="47" t="b">
        <v>0</v>
      </c>
      <c r="D120" s="47" t="b">
        <v>0</v>
      </c>
      <c r="E120" s="47" t="b">
        <v>0</v>
      </c>
      <c r="F120" s="47" t="b">
        <v>0</v>
      </c>
      <c r="G120" s="96"/>
      <c r="H120" s="96" t="b">
        <f>if(countifs('Berlin, GER'!Q:Q,A120,'Berlin, GER'!I:I,TRUE),TRUE,FALSE)</f>
        <v>0</v>
      </c>
      <c r="I120" s="96" t="b">
        <f>if(countifs('Escondido, USA'!Q:Q,A120,'Escondido, USA'!I:I,TRUE),TRUE,FALSE)</f>
        <v>0</v>
      </c>
      <c r="J120" s="96" t="b">
        <f>if(countifs('Onkaparinga_Hills, AUS'!Q:Q,A120,'Onkaparinga_Hills, AUS'!I:I,TRUE),TRUE,FALSE)</f>
        <v>0</v>
      </c>
      <c r="K120" s="96" t="b">
        <f>if(countifs('Perth, AUS'!Q:Q,A120,'Perth, AUS'!I:I,TRUE),TRUE,FALSE)</f>
        <v>0</v>
      </c>
      <c r="L120" s="96" t="b">
        <f>if(countifs('Raleigh, USA'!Q:Q,A120,'Raleigh, USA'!I:I,TRUE),TRUE,FALSE)</f>
        <v>0</v>
      </c>
      <c r="M120" s="96" t="b">
        <f>if(countifs('Browns Plains, AUS'!Q:Q,A120,'Browns Plains, AUS'!I:I,TRUE),TRUE,FALSE)</f>
        <v>0</v>
      </c>
      <c r="N120" s="96" t="b">
        <f>if(countifs('Brossard, CAN'!Q:Q,A120,'Brossard, CAN'!I:I,TRUE),TRUE,FALSE)</f>
        <v>0</v>
      </c>
      <c r="O120" s="96" t="b">
        <f>if(countifs('Gouda, NL'!Q:Q,$A120,'Gouda, NL'!$I:$I,TRUE),TRUE,FALSE)</f>
        <v>0</v>
      </c>
      <c r="P120" s="47" t="b">
        <f>if(countifs('Plympton, UK'!Q:Q,$A120,'Plympton, UK'!$I:$I,TRUE),TRUE,FALSE)</f>
        <v>0</v>
      </c>
      <c r="Q120" s="47" t="b">
        <f>if(countifs('Glen Oaks, USA'!Q:Q,$A120,'Glen Oaks, USA'!$I:$I,TRUE),TRUE,FALSE)</f>
        <v>0</v>
      </c>
      <c r="R120" s="47" t="b">
        <f>if(countifs('Chemnitz, GER'!Q:Q,$A120,'Chemnitz, GER'!I:I,TRUE),TRUE,FALSE)</f>
        <v>0</v>
      </c>
      <c r="S120" s="47" t="b">
        <f>if(countifs('Vosselaar, BE'!Q:Q,$A120,'Vosselaar, BE'!$I:$I,TRUE),TRUE,FALSE)</f>
        <v>0</v>
      </c>
      <c r="T120" s="47" t="b">
        <f>if(countifs('MHQ, USA'!Q:Q,$A120,'MHQ, USA'!$I:$I,TRUE),TRUE,FALSE)</f>
        <v>0</v>
      </c>
      <c r="U120" s="47" t="b">
        <f>if(countifs('Morayfield, AUS'!Q:Q,$A120,'Morayfield, AUS'!$I:$I,TRUE),TRUE,FALSE)</f>
        <v>0</v>
      </c>
      <c r="V120" s="11" t="b">
        <f>if(countifs('Arnhem, NL'!Q:Q,$A120,'Arnhem, NL'!$I:$I,TRUE),TRUE,FALSE)</f>
        <v>0</v>
      </c>
      <c r="W120" s="47" t="b">
        <f>if(countifs('Gotenborg, SW'!Q:Q,$A120,'Gotenborg, SW'!$I:$I,TRUE),TRUE,FALSE)</f>
        <v>0</v>
      </c>
      <c r="X120" s="47" t="b">
        <f>if(countifs('Shepparton, AUS'!Q:Q,$A120,'Shepparton, AUS'!$I:$I,TRUE),TRUE,FALSE)</f>
        <v>0</v>
      </c>
      <c r="Y120" s="47" t="b">
        <f>if(countifs('Hoofddorp, NL'!Q:Q,$A120,'Hoofddorp, NL'!$I:$I,TRUE),TRUE,FALSE)</f>
        <v>0</v>
      </c>
      <c r="Z120" s="47" t="b">
        <f>if(countifs('Bedford, UK'!Q:Q,$A120,'Bedford, UK'!$I:$I,TRUE),TRUE,FALSE)</f>
        <v>0</v>
      </c>
      <c r="AA120" s="47" t="b">
        <f>IF(COUNTIFS('Desert Lodge, USA'!Q:Q,$A120,'Desert Lodge, USA'!I:I,TRUE),TRUE,FALSE)</f>
        <v>0</v>
      </c>
      <c r="AB120" s="47" t="b">
        <f>if(countifs('Dapto, AUS'!Q:Q,$A120,'Dapto, AUS'!$I:$I,TRUE),TRUE,FALSE)</f>
        <v>1</v>
      </c>
      <c r="AC120" s="47" t="b">
        <f>if(countifs('New Westminster, CAN'!Q:Q,$A120,'New Westminster, CAN'!$I:$I,TRUE),TRUE,FALSE)</f>
        <v>1</v>
      </c>
      <c r="AD120" s="47" t="b">
        <f>if(countifs('Georgetown, CAN'!Q:Q,$A120,'Georgetown, CAN'!$I:$I,TRUE),TRUE,FALSE)</f>
        <v>0</v>
      </c>
      <c r="AE120" s="47" t="b">
        <f>if(countifs('Kingswood, UK'!Q:Q,$A120,'Kingswood, UK'!$I:$I,TRUE),TRUE,FALSE)</f>
        <v>1</v>
      </c>
      <c r="AF120" s="47" t="b">
        <f>if(countifs('Hagerstown, USA'!Q:Q,$A120,'Hagerstown, USA'!$I:$I,TRUE),TRUE,FALSE)</f>
        <v>1</v>
      </c>
      <c r="AG120" s="47" t="b">
        <f>if(countifs('Felsogalla, HU'!Q:Q,$A120,'Felsogalla, HU'!$I:$I,TRUE),TRUE,FALSE)</f>
        <v>0</v>
      </c>
      <c r="AH120" s="47" t="b">
        <f>if(countifs('Norlane, AUS'!Q:Q,$A120,'Norlane, AUS'!$I:$I,TRUE),TRUE,FALSE)</f>
        <v>1</v>
      </c>
      <c r="AI120" s="47" t="b">
        <f>if(countifs('Meitingen, GER'!Q:Q,$A120,'Meitingen, GER'!$I:$I,TRUE),TRUE,FALSE)</f>
        <v>1</v>
      </c>
      <c r="AJ120" s="47" t="b">
        <f>if(countifs('Groningen, NL'!Q:Q,$A120,'Groningen, NL'!$I:$I,TRUE),TRUE,FALSE)</f>
        <v>1</v>
      </c>
      <c r="AK120" s="47" t="b">
        <f>if(countifs('Linköping, SW'!Q:Q,$A120,'Linköping, SW'!$I:$I,TRUE),TRUE,FALSE)</f>
        <v>1</v>
      </c>
      <c r="AL120" s="47" t="b">
        <f>if(countifs('Austin, USA'!Q:Q,$A120,'Austin, USA'!$I:$I,TRUE),TRUE,FALSE)</f>
        <v>0</v>
      </c>
      <c r="AM120" s="47" t="b">
        <f>if(countifs('Thringstone, UK'!Q:Q,$A120,'Thringstone, UK'!$I:$I,TRUE),TRUE,FALSE)</f>
        <v>1</v>
      </c>
      <c r="AN120" s="47" t="b">
        <f>if(countifs('Andover, UK'!Q:Q,$A120,'Andover, UK'!$I:$I,TRUE),TRUE,FALSE)</f>
        <v>0</v>
      </c>
      <c r="AO120" s="47" t="b">
        <f>if(countifs('Ospel, NL'!Q:Q,$A120,'Ospel, NL'!$I:$I,TRUE),TRUE,FALSE)</f>
        <v>1</v>
      </c>
      <c r="AP120" s="47" t="b">
        <f>if(countifs('Wonthaggi, AUS'!Q:Q,$A120,'Wonthaggi, AUS'!$I:$I,TRUE),TRUE,FALSE)</f>
        <v>1</v>
      </c>
      <c r="AQ120" s="47" t="b">
        <f>if(countifs('Falling_Waters, USA'!$Q:$Q,$A120,'Falling_Waters, USA'!$I:$I,TRUE),TRUE,FALSE)</f>
        <v>1</v>
      </c>
      <c r="AR120" s="47" t="b">
        <f>if(countifs('Kelmscott, AUS'!Q:Q,$A120,'Kelmscott, AUS'!$I:$I,TRUE),TRUE,FALSE)</f>
        <v>1</v>
      </c>
    </row>
    <row r="121">
      <c r="A121" s="47" t="str">
        <f>IFERROR(__xludf.DUMMYFUNCTION("""COMPUTED_VALUE"""),"hems79")</f>
        <v>hems79</v>
      </c>
      <c r="B121" s="47">
        <f t="shared" si="1"/>
        <v>1</v>
      </c>
      <c r="C121" s="47" t="b">
        <v>0</v>
      </c>
      <c r="D121" s="47" t="b">
        <v>0</v>
      </c>
      <c r="E121" s="47" t="b">
        <v>0</v>
      </c>
      <c r="F121" s="47" t="b">
        <v>0</v>
      </c>
      <c r="G121" s="96"/>
      <c r="H121" s="96" t="b">
        <f>if(countifs('Berlin, GER'!Q:Q,A121,'Berlin, GER'!I:I,TRUE),TRUE,FALSE)</f>
        <v>0</v>
      </c>
      <c r="I121" s="96" t="b">
        <f>if(countifs('Escondido, USA'!Q:Q,A121,'Escondido, USA'!I:I,TRUE),TRUE,FALSE)</f>
        <v>0</v>
      </c>
      <c r="J121" s="96" t="b">
        <f>if(countifs('Onkaparinga_Hills, AUS'!Q:Q,A121,'Onkaparinga_Hills, AUS'!I:I,TRUE),TRUE,FALSE)</f>
        <v>0</v>
      </c>
      <c r="K121" s="96" t="b">
        <f>if(countifs('Perth, AUS'!Q:Q,A121,'Perth, AUS'!I:I,TRUE),TRUE,FALSE)</f>
        <v>0</v>
      </c>
      <c r="L121" s="96" t="b">
        <f>if(countifs('Raleigh, USA'!Q:Q,A121,'Raleigh, USA'!I:I,TRUE),TRUE,FALSE)</f>
        <v>0</v>
      </c>
      <c r="M121" s="96" t="b">
        <f>if(countifs('Browns Plains, AUS'!Q:Q,A121,'Browns Plains, AUS'!I:I,TRUE),TRUE,FALSE)</f>
        <v>0</v>
      </c>
      <c r="N121" s="96" t="b">
        <f>if(countifs('Brossard, CAN'!Q:Q,A121,'Brossard, CAN'!I:I,TRUE),TRUE,FALSE)</f>
        <v>0</v>
      </c>
      <c r="O121" s="96" t="b">
        <f>if(countifs('Gouda, NL'!Q:Q,$A121,'Gouda, NL'!$I:$I,TRUE),TRUE,FALSE)</f>
        <v>0</v>
      </c>
      <c r="P121" s="47" t="b">
        <f>if(countifs('Plympton, UK'!Q:Q,$A121,'Plympton, UK'!$I:$I,TRUE),TRUE,FALSE)</f>
        <v>0</v>
      </c>
      <c r="Q121" s="47" t="b">
        <f>if(countifs('Glen Oaks, USA'!Q:Q,$A121,'Glen Oaks, USA'!$I:$I,TRUE),TRUE,FALSE)</f>
        <v>0</v>
      </c>
      <c r="R121" s="47" t="b">
        <f>if(countifs('Chemnitz, GER'!Q:Q,$A121,'Chemnitz, GER'!I:I,TRUE),TRUE,FALSE)</f>
        <v>0</v>
      </c>
      <c r="S121" s="47" t="b">
        <f>if(countifs('Vosselaar, BE'!Q:Q,$A121,'Vosselaar, BE'!$I:$I,TRUE),TRUE,FALSE)</f>
        <v>0</v>
      </c>
      <c r="T121" s="47" t="b">
        <f>if(countifs('MHQ, USA'!Q:Q,$A121,'MHQ, USA'!$I:$I,TRUE),TRUE,FALSE)</f>
        <v>0</v>
      </c>
      <c r="U121" s="47" t="b">
        <f>if(countifs('Morayfield, AUS'!Q:Q,$A121,'Morayfield, AUS'!$I:$I,TRUE),TRUE,FALSE)</f>
        <v>0</v>
      </c>
      <c r="V121" s="11" t="b">
        <f>if(countifs('Arnhem, NL'!Q:Q,$A121,'Arnhem, NL'!$I:$I,TRUE),TRUE,FALSE)</f>
        <v>0</v>
      </c>
      <c r="W121" s="47" t="b">
        <f>if(countifs('Gotenborg, SW'!Q:Q,$A121,'Gotenborg, SW'!$I:$I,TRUE),TRUE,FALSE)</f>
        <v>0</v>
      </c>
      <c r="X121" s="47" t="b">
        <f>if(countifs('Shepparton, AUS'!Q:Q,$A121,'Shepparton, AUS'!$I:$I,TRUE),TRUE,FALSE)</f>
        <v>0</v>
      </c>
      <c r="Y121" s="47" t="b">
        <f>if(countifs('Hoofddorp, NL'!Q:Q,$A121,'Hoofddorp, NL'!$I:$I,TRUE),TRUE,FALSE)</f>
        <v>0</v>
      </c>
      <c r="Z121" s="47" t="b">
        <f>if(countifs('Bedford, UK'!Q:Q,$A121,'Bedford, UK'!$I:$I,TRUE),TRUE,FALSE)</f>
        <v>0</v>
      </c>
      <c r="AA121" s="47" t="b">
        <f>IF(COUNTIFS('Desert Lodge, USA'!Q:Q,$A121,'Desert Lodge, USA'!I:I,TRUE),TRUE,FALSE)</f>
        <v>0</v>
      </c>
      <c r="AB121" s="47" t="b">
        <f>if(countifs('Dapto, AUS'!Q:Q,$A121,'Dapto, AUS'!$I:$I,TRUE),TRUE,FALSE)</f>
        <v>0</v>
      </c>
      <c r="AC121" s="47" t="b">
        <f>if(countifs('New Westminster, CAN'!Q:Q,$A121,'New Westminster, CAN'!$I:$I,TRUE),TRUE,FALSE)</f>
        <v>0</v>
      </c>
      <c r="AD121" s="47" t="b">
        <f>if(countifs('Georgetown, CAN'!Q:Q,$A121,'Georgetown, CAN'!$I:$I,TRUE),TRUE,FALSE)</f>
        <v>0</v>
      </c>
      <c r="AE121" s="47" t="b">
        <f>if(countifs('Kingswood, UK'!Q:Q,$A121,'Kingswood, UK'!$I:$I,TRUE),TRUE,FALSE)</f>
        <v>0</v>
      </c>
      <c r="AF121" s="47" t="b">
        <f>if(countifs('Hagerstown, USA'!Q:Q,$A121,'Hagerstown, USA'!$I:$I,TRUE),TRUE,FALSE)</f>
        <v>0</v>
      </c>
      <c r="AG121" s="47" t="b">
        <f>if(countifs('Felsogalla, HU'!Q:Q,$A121,'Felsogalla, HU'!$I:$I,TRUE),TRUE,FALSE)</f>
        <v>0</v>
      </c>
      <c r="AH121" s="47" t="b">
        <f>if(countifs('Norlane, AUS'!Q:Q,$A121,'Norlane, AUS'!$I:$I,TRUE),TRUE,FALSE)</f>
        <v>0</v>
      </c>
      <c r="AI121" s="47" t="b">
        <f>if(countifs('Meitingen, GER'!Q:Q,$A121,'Meitingen, GER'!$I:$I,TRUE),TRUE,FALSE)</f>
        <v>0</v>
      </c>
      <c r="AJ121" s="47" t="b">
        <f>if(countifs('Groningen, NL'!Q:Q,$A121,'Groningen, NL'!$I:$I,TRUE),TRUE,FALSE)</f>
        <v>0</v>
      </c>
      <c r="AK121" s="47" t="b">
        <f>if(countifs('Linköping, SW'!Q:Q,$A121,'Linköping, SW'!$I:$I,TRUE),TRUE,FALSE)</f>
        <v>0</v>
      </c>
      <c r="AL121" s="47" t="b">
        <f>if(countifs('Austin, USA'!Q:Q,$A121,'Austin, USA'!$I:$I,TRUE),TRUE,FALSE)</f>
        <v>0</v>
      </c>
      <c r="AM121" s="47" t="b">
        <f>if(countifs('Thringstone, UK'!Q:Q,$A121,'Thringstone, UK'!$I:$I,TRUE),TRUE,FALSE)</f>
        <v>0</v>
      </c>
      <c r="AN121" s="47" t="b">
        <f>if(countifs('Andover, UK'!Q:Q,$A121,'Andover, UK'!$I:$I,TRUE),TRUE,FALSE)</f>
        <v>0</v>
      </c>
      <c r="AO121" s="47" t="b">
        <f>if(countifs('Ospel, NL'!Q:Q,$A121,'Ospel, NL'!$I:$I,TRUE),TRUE,FALSE)</f>
        <v>0</v>
      </c>
      <c r="AP121" s="47" t="b">
        <f>if(countifs('Wonthaggi, AUS'!Q:Q,$A121,'Wonthaggi, AUS'!$I:$I,TRUE),TRUE,FALSE)</f>
        <v>0</v>
      </c>
      <c r="AQ121" s="47" t="b">
        <f>if(countifs('Falling_Waters, USA'!$Q:$Q,$A121,'Falling_Waters, USA'!$I:$I,TRUE),TRUE,FALSE)</f>
        <v>1</v>
      </c>
      <c r="AR121" s="47" t="b">
        <f>if(countifs('Kelmscott, AUS'!Q:Q,$A121,'Kelmscott, AUS'!$I:$I,TRUE),TRUE,FALSE)</f>
        <v>0</v>
      </c>
    </row>
    <row r="122">
      <c r="A122" s="47" t="str">
        <f>IFERROR(__xludf.DUMMYFUNCTION("""COMPUTED_VALUE"""),"CzPeet")</f>
        <v>CzPeet</v>
      </c>
      <c r="B122" s="47">
        <f t="shared" si="1"/>
        <v>4</v>
      </c>
      <c r="C122" s="47" t="b">
        <v>0</v>
      </c>
      <c r="D122" s="47" t="b">
        <v>0</v>
      </c>
      <c r="E122" s="47" t="b">
        <v>0</v>
      </c>
      <c r="F122" s="47" t="b">
        <v>0</v>
      </c>
      <c r="G122" s="96"/>
      <c r="H122" s="96" t="b">
        <f>if(countifs('Berlin, GER'!Q:Q,A122,'Berlin, GER'!I:I,TRUE),TRUE,FALSE)</f>
        <v>0</v>
      </c>
      <c r="I122" s="96" t="b">
        <f>if(countifs('Escondido, USA'!Q:Q,A122,'Escondido, USA'!I:I,TRUE),TRUE,FALSE)</f>
        <v>0</v>
      </c>
      <c r="J122" s="96" t="b">
        <f>if(countifs('Onkaparinga_Hills, AUS'!Q:Q,A122,'Onkaparinga_Hills, AUS'!I:I,TRUE),TRUE,FALSE)</f>
        <v>0</v>
      </c>
      <c r="K122" s="96" t="b">
        <f>if(countifs('Perth, AUS'!Q:Q,A122,'Perth, AUS'!I:I,TRUE),TRUE,FALSE)</f>
        <v>0</v>
      </c>
      <c r="L122" s="96" t="b">
        <f>if(countifs('Raleigh, USA'!Q:Q,A122,'Raleigh, USA'!I:I,TRUE),TRUE,FALSE)</f>
        <v>0</v>
      </c>
      <c r="M122" s="96" t="b">
        <f>if(countifs('Browns Plains, AUS'!Q:Q,A122,'Browns Plains, AUS'!I:I,TRUE),TRUE,FALSE)</f>
        <v>0</v>
      </c>
      <c r="N122" s="96" t="b">
        <f>if(countifs('Brossard, CAN'!Q:Q,A122,'Brossard, CAN'!I:I,TRUE),TRUE,FALSE)</f>
        <v>0</v>
      </c>
      <c r="O122" s="96" t="b">
        <f>if(countifs('Gouda, NL'!Q:Q,$A122,'Gouda, NL'!$I:$I,TRUE),TRUE,FALSE)</f>
        <v>0</v>
      </c>
      <c r="P122" s="47" t="b">
        <f>if(countifs('Plympton, UK'!Q:Q,$A122,'Plympton, UK'!$I:$I,TRUE),TRUE,FALSE)</f>
        <v>0</v>
      </c>
      <c r="Q122" s="47" t="b">
        <f>if(countifs('Glen Oaks, USA'!Q:Q,$A122,'Glen Oaks, USA'!$I:$I,TRUE),TRUE,FALSE)</f>
        <v>0</v>
      </c>
      <c r="R122" s="47" t="b">
        <f>if(countifs('Chemnitz, GER'!Q:Q,$A122,'Chemnitz, GER'!I:I,TRUE),TRUE,FALSE)</f>
        <v>0</v>
      </c>
      <c r="S122" s="47" t="b">
        <f>if(countifs('Vosselaar, BE'!Q:Q,$A122,'Vosselaar, BE'!$I:$I,TRUE),TRUE,FALSE)</f>
        <v>0</v>
      </c>
      <c r="T122" s="47" t="b">
        <f>if(countifs('MHQ, USA'!Q:Q,$A122,'MHQ, USA'!$I:$I,TRUE),TRUE,FALSE)</f>
        <v>0</v>
      </c>
      <c r="U122" s="47" t="b">
        <f>if(countifs('Morayfield, AUS'!Q:Q,$A122,'Morayfield, AUS'!$I:$I,TRUE),TRUE,FALSE)</f>
        <v>0</v>
      </c>
      <c r="V122" s="11" t="b">
        <f>if(countifs('Arnhem, NL'!Q:Q,$A122,'Arnhem, NL'!$I:$I,TRUE),TRUE,FALSE)</f>
        <v>0</v>
      </c>
      <c r="W122" s="47" t="b">
        <f>if(countifs('Gotenborg, SW'!Q:Q,$A122,'Gotenborg, SW'!$I:$I,TRUE),TRUE,FALSE)</f>
        <v>0</v>
      </c>
      <c r="X122" s="47" t="b">
        <f>if(countifs('Shepparton, AUS'!Q:Q,$A122,'Shepparton, AUS'!$I:$I,TRUE),TRUE,FALSE)</f>
        <v>0</v>
      </c>
      <c r="Y122" s="47" t="b">
        <f>if(countifs('Hoofddorp, NL'!Q:Q,$A122,'Hoofddorp, NL'!$I:$I,TRUE),TRUE,FALSE)</f>
        <v>0</v>
      </c>
      <c r="Z122" s="47" t="b">
        <f>if(countifs('Bedford, UK'!Q:Q,$A122,'Bedford, UK'!$I:$I,TRUE),TRUE,FALSE)</f>
        <v>0</v>
      </c>
      <c r="AA122" s="47" t="b">
        <f>IF(COUNTIFS('Desert Lodge, USA'!Q:Q,$A122,'Desert Lodge, USA'!I:I,TRUE),TRUE,FALSE)</f>
        <v>0</v>
      </c>
      <c r="AB122" s="47" t="b">
        <f>if(countifs('Dapto, AUS'!Q:Q,$A122,'Dapto, AUS'!$I:$I,TRUE),TRUE,FALSE)</f>
        <v>1</v>
      </c>
      <c r="AC122" s="47" t="b">
        <f>if(countifs('New Westminster, CAN'!Q:Q,$A122,'New Westminster, CAN'!$I:$I,TRUE),TRUE,FALSE)</f>
        <v>0</v>
      </c>
      <c r="AD122" s="47" t="b">
        <f>if(countifs('Georgetown, CAN'!Q:Q,$A122,'Georgetown, CAN'!$I:$I,TRUE),TRUE,FALSE)</f>
        <v>0</v>
      </c>
      <c r="AE122" s="47" t="b">
        <f>if(countifs('Kingswood, UK'!Q:Q,$A122,'Kingswood, UK'!$I:$I,TRUE),TRUE,FALSE)</f>
        <v>0</v>
      </c>
      <c r="AF122" s="47" t="b">
        <f>if(countifs('Hagerstown, USA'!Q:Q,$A122,'Hagerstown, USA'!$I:$I,TRUE),TRUE,FALSE)</f>
        <v>0</v>
      </c>
      <c r="AG122" s="47" t="b">
        <f>if(countifs('Felsogalla, HU'!Q:Q,$A122,'Felsogalla, HU'!$I:$I,TRUE),TRUE,FALSE)</f>
        <v>1</v>
      </c>
      <c r="AH122" s="47" t="b">
        <f>if(countifs('Norlane, AUS'!Q:Q,$A122,'Norlane, AUS'!$I:$I,TRUE),TRUE,FALSE)</f>
        <v>0</v>
      </c>
      <c r="AI122" s="47" t="b">
        <f>if(countifs('Meitingen, GER'!Q:Q,$A122,'Meitingen, GER'!$I:$I,TRUE),TRUE,FALSE)</f>
        <v>0</v>
      </c>
      <c r="AJ122" s="47" t="b">
        <f>if(countifs('Groningen, NL'!Q:Q,$A122,'Groningen, NL'!$I:$I,TRUE),TRUE,FALSE)</f>
        <v>0</v>
      </c>
      <c r="AK122" s="47" t="b">
        <f>if(countifs('Linköping, SW'!Q:Q,$A122,'Linköping, SW'!$I:$I,TRUE),TRUE,FALSE)</f>
        <v>0</v>
      </c>
      <c r="AL122" s="47" t="b">
        <f>if(countifs('Austin, USA'!Q:Q,$A122,'Austin, USA'!$I:$I,TRUE),TRUE,FALSE)</f>
        <v>0</v>
      </c>
      <c r="AM122" s="47" t="b">
        <f>if(countifs('Thringstone, UK'!Q:Q,$A122,'Thringstone, UK'!$I:$I,TRUE),TRUE,FALSE)</f>
        <v>0</v>
      </c>
      <c r="AN122" s="47" t="b">
        <f>if(countifs('Andover, UK'!Q:Q,$A122,'Andover, UK'!$I:$I,TRUE),TRUE,FALSE)</f>
        <v>1</v>
      </c>
      <c r="AO122" s="47" t="b">
        <f>if(countifs('Ospel, NL'!Q:Q,$A122,'Ospel, NL'!$I:$I,TRUE),TRUE,FALSE)</f>
        <v>0</v>
      </c>
      <c r="AP122" s="47" t="b">
        <f>if(countifs('Wonthaggi, AUS'!Q:Q,$A122,'Wonthaggi, AUS'!$I:$I,TRUE),TRUE,FALSE)</f>
        <v>0</v>
      </c>
      <c r="AQ122" s="47" t="b">
        <f>if(countifs('Falling_Waters, USA'!$Q:$Q,$A122,'Falling_Waters, USA'!$I:$I,TRUE),TRUE,FALSE)</f>
        <v>1</v>
      </c>
      <c r="AR122" s="47" t="b">
        <f>if(countifs('Kelmscott, AUS'!Q:Q,$A122,'Kelmscott, AUS'!$I:$I,TRUE),TRUE,FALSE)</f>
        <v>0</v>
      </c>
    </row>
    <row r="123">
      <c r="A123" s="47" t="str">
        <f>IFERROR(__xludf.DUMMYFUNCTION("""COMPUTED_VALUE"""),"CarlisleCachers")</f>
        <v>CarlisleCachers</v>
      </c>
      <c r="B123" s="47">
        <f t="shared" si="1"/>
        <v>1</v>
      </c>
      <c r="C123" s="47" t="b">
        <v>0</v>
      </c>
      <c r="D123" s="47" t="b">
        <v>0</v>
      </c>
      <c r="E123" s="47" t="b">
        <v>0</v>
      </c>
      <c r="F123" s="47" t="b">
        <v>0</v>
      </c>
      <c r="G123" s="96"/>
      <c r="H123" s="96" t="b">
        <f>if(countifs('Berlin, GER'!Q:Q,A123,'Berlin, GER'!I:I,TRUE),TRUE,FALSE)</f>
        <v>0</v>
      </c>
      <c r="I123" s="96" t="b">
        <f>if(countifs('Escondido, USA'!Q:Q,A123,'Escondido, USA'!I:I,TRUE),TRUE,FALSE)</f>
        <v>0</v>
      </c>
      <c r="J123" s="96" t="b">
        <f>if(countifs('Onkaparinga_Hills, AUS'!Q:Q,A123,'Onkaparinga_Hills, AUS'!I:I,TRUE),TRUE,FALSE)</f>
        <v>0</v>
      </c>
      <c r="K123" s="96" t="b">
        <f>if(countifs('Perth, AUS'!Q:Q,A123,'Perth, AUS'!I:I,TRUE),TRUE,FALSE)</f>
        <v>0</v>
      </c>
      <c r="L123" s="96" t="b">
        <f>if(countifs('Raleigh, USA'!Q:Q,A123,'Raleigh, USA'!I:I,TRUE),TRUE,FALSE)</f>
        <v>0</v>
      </c>
      <c r="M123" s="96" t="b">
        <f>if(countifs('Browns Plains, AUS'!Q:Q,A123,'Browns Plains, AUS'!I:I,TRUE),TRUE,FALSE)</f>
        <v>0</v>
      </c>
      <c r="N123" s="96" t="b">
        <f>if(countifs('Brossard, CAN'!Q:Q,A123,'Brossard, CAN'!I:I,TRUE),TRUE,FALSE)</f>
        <v>0</v>
      </c>
      <c r="O123" s="96" t="b">
        <f>if(countifs('Gouda, NL'!Q:Q,$A123,'Gouda, NL'!$I:$I,TRUE),TRUE,FALSE)</f>
        <v>0</v>
      </c>
      <c r="P123" s="47" t="b">
        <f>if(countifs('Plympton, UK'!Q:Q,$A123,'Plympton, UK'!$I:$I,TRUE),TRUE,FALSE)</f>
        <v>0</v>
      </c>
      <c r="Q123" s="47" t="b">
        <f>if(countifs('Glen Oaks, USA'!Q:Q,$A123,'Glen Oaks, USA'!$I:$I,TRUE),TRUE,FALSE)</f>
        <v>0</v>
      </c>
      <c r="R123" s="47" t="b">
        <f>if(countifs('Chemnitz, GER'!Q:Q,$A123,'Chemnitz, GER'!I:I,TRUE),TRUE,FALSE)</f>
        <v>0</v>
      </c>
      <c r="S123" s="47" t="b">
        <f>if(countifs('Vosselaar, BE'!Q:Q,$A123,'Vosselaar, BE'!$I:$I,TRUE),TRUE,FALSE)</f>
        <v>0</v>
      </c>
      <c r="T123" s="47" t="b">
        <f>if(countifs('MHQ, USA'!Q:Q,$A123,'MHQ, USA'!$I:$I,TRUE),TRUE,FALSE)</f>
        <v>0</v>
      </c>
      <c r="U123" s="47" t="b">
        <f>if(countifs('Morayfield, AUS'!Q:Q,$A123,'Morayfield, AUS'!$I:$I,TRUE),TRUE,FALSE)</f>
        <v>0</v>
      </c>
      <c r="V123" s="11" t="b">
        <f>if(countifs('Arnhem, NL'!Q:Q,$A123,'Arnhem, NL'!$I:$I,TRUE),TRUE,FALSE)</f>
        <v>0</v>
      </c>
      <c r="W123" s="47" t="b">
        <f>if(countifs('Gotenborg, SW'!Q:Q,$A123,'Gotenborg, SW'!$I:$I,TRUE),TRUE,FALSE)</f>
        <v>0</v>
      </c>
      <c r="X123" s="47" t="b">
        <f>if(countifs('Shepparton, AUS'!Q:Q,$A123,'Shepparton, AUS'!$I:$I,TRUE),TRUE,FALSE)</f>
        <v>0</v>
      </c>
      <c r="Y123" s="47" t="b">
        <f>if(countifs('Hoofddorp, NL'!Q:Q,$A123,'Hoofddorp, NL'!$I:$I,TRUE),TRUE,FALSE)</f>
        <v>0</v>
      </c>
      <c r="Z123" s="47" t="b">
        <f>if(countifs('Bedford, UK'!Q:Q,$A123,'Bedford, UK'!$I:$I,TRUE),TRUE,FALSE)</f>
        <v>0</v>
      </c>
      <c r="AA123" s="47" t="b">
        <f>IF(COUNTIFS('Desert Lodge, USA'!Q:Q,$A123,'Desert Lodge, USA'!I:I,TRUE),TRUE,FALSE)</f>
        <v>0</v>
      </c>
      <c r="AB123" s="47" t="b">
        <f>if(countifs('Dapto, AUS'!Q:Q,$A123,'Dapto, AUS'!$I:$I,TRUE),TRUE,FALSE)</f>
        <v>0</v>
      </c>
      <c r="AC123" s="47" t="b">
        <f>if(countifs('New Westminster, CAN'!Q:Q,$A123,'New Westminster, CAN'!$I:$I,TRUE),TRUE,FALSE)</f>
        <v>0</v>
      </c>
      <c r="AD123" s="47" t="b">
        <f>if(countifs('Georgetown, CAN'!Q:Q,$A123,'Georgetown, CAN'!$I:$I,TRUE),TRUE,FALSE)</f>
        <v>0</v>
      </c>
      <c r="AE123" s="47" t="b">
        <f>if(countifs('Kingswood, UK'!Q:Q,$A123,'Kingswood, UK'!$I:$I,TRUE),TRUE,FALSE)</f>
        <v>0</v>
      </c>
      <c r="AF123" s="47" t="b">
        <f>if(countifs('Hagerstown, USA'!Q:Q,$A123,'Hagerstown, USA'!$I:$I,TRUE),TRUE,FALSE)</f>
        <v>0</v>
      </c>
      <c r="AG123" s="47" t="b">
        <f>if(countifs('Felsogalla, HU'!Q:Q,$A123,'Felsogalla, HU'!$I:$I,TRUE),TRUE,FALSE)</f>
        <v>0</v>
      </c>
      <c r="AH123" s="47" t="b">
        <f>if(countifs('Norlane, AUS'!Q:Q,$A123,'Norlane, AUS'!$I:$I,TRUE),TRUE,FALSE)</f>
        <v>0</v>
      </c>
      <c r="AI123" s="47" t="b">
        <f>if(countifs('Meitingen, GER'!Q:Q,$A123,'Meitingen, GER'!$I:$I,TRUE),TRUE,FALSE)</f>
        <v>0</v>
      </c>
      <c r="AJ123" s="47" t="b">
        <f>if(countifs('Groningen, NL'!Q:Q,$A123,'Groningen, NL'!$I:$I,TRUE),TRUE,FALSE)</f>
        <v>0</v>
      </c>
      <c r="AK123" s="47" t="b">
        <f>if(countifs('Linköping, SW'!Q:Q,$A123,'Linköping, SW'!$I:$I,TRUE),TRUE,FALSE)</f>
        <v>0</v>
      </c>
      <c r="AL123" s="47" t="b">
        <f>if(countifs('Austin, USA'!Q:Q,$A123,'Austin, USA'!$I:$I,TRUE),TRUE,FALSE)</f>
        <v>0</v>
      </c>
      <c r="AM123" s="47" t="b">
        <f>if(countifs('Thringstone, UK'!Q:Q,$A123,'Thringstone, UK'!$I:$I,TRUE),TRUE,FALSE)</f>
        <v>0</v>
      </c>
      <c r="AN123" s="47" t="b">
        <f>if(countifs('Andover, UK'!Q:Q,$A123,'Andover, UK'!$I:$I,TRUE),TRUE,FALSE)</f>
        <v>0</v>
      </c>
      <c r="AO123" s="47" t="b">
        <f>if(countifs('Ospel, NL'!Q:Q,$A123,'Ospel, NL'!$I:$I,TRUE),TRUE,FALSE)</f>
        <v>0</v>
      </c>
      <c r="AP123" s="47" t="b">
        <f>if(countifs('Wonthaggi, AUS'!Q:Q,$A123,'Wonthaggi, AUS'!$I:$I,TRUE),TRUE,FALSE)</f>
        <v>0</v>
      </c>
      <c r="AQ123" s="47" t="b">
        <f>if(countifs('Falling_Waters, USA'!$Q:$Q,$A123,'Falling_Waters, USA'!$I:$I,TRUE),TRUE,FALSE)</f>
        <v>1</v>
      </c>
      <c r="AR123" s="47" t="b">
        <f>if(countifs('Kelmscott, AUS'!Q:Q,$A123,'Kelmscott, AUS'!$I:$I,TRUE),TRUE,FALSE)</f>
        <v>0</v>
      </c>
    </row>
    <row r="124">
      <c r="A124" s="47" t="str">
        <f>IFERROR(__xludf.DUMMYFUNCTION("""COMPUTED_VALUE"""),"mortonfox")</f>
        <v>mortonfox</v>
      </c>
      <c r="B124" s="47">
        <f t="shared" si="1"/>
        <v>14</v>
      </c>
      <c r="C124" s="47" t="b">
        <v>0</v>
      </c>
      <c r="D124" s="47" t="b">
        <v>0</v>
      </c>
      <c r="E124" s="47" t="b">
        <v>0</v>
      </c>
      <c r="F124" s="47" t="b">
        <v>0</v>
      </c>
      <c r="G124" s="96"/>
      <c r="H124" s="96" t="b">
        <f>if(countifs('Berlin, GER'!Q:Q,A124,'Berlin, GER'!I:I,TRUE),TRUE,FALSE)</f>
        <v>0</v>
      </c>
      <c r="I124" s="96" t="b">
        <f>if(countifs('Escondido, USA'!Q:Q,A124,'Escondido, USA'!I:I,TRUE),TRUE,FALSE)</f>
        <v>0</v>
      </c>
      <c r="J124" s="96" t="b">
        <f>if(countifs('Onkaparinga_Hills, AUS'!Q:Q,A124,'Onkaparinga_Hills, AUS'!I:I,TRUE),TRUE,FALSE)</f>
        <v>0</v>
      </c>
      <c r="K124" s="96" t="b">
        <f>if(countifs('Perth, AUS'!Q:Q,A124,'Perth, AUS'!I:I,TRUE),TRUE,FALSE)</f>
        <v>0</v>
      </c>
      <c r="L124" s="96" t="b">
        <f>if(countifs('Raleigh, USA'!Q:Q,A124,'Raleigh, USA'!I:I,TRUE),TRUE,FALSE)</f>
        <v>0</v>
      </c>
      <c r="M124" s="96" t="b">
        <f>if(countifs('Browns Plains, AUS'!Q:Q,A124,'Browns Plains, AUS'!I:I,TRUE),TRUE,FALSE)</f>
        <v>0</v>
      </c>
      <c r="N124" s="96" t="b">
        <f>if(countifs('Brossard, CAN'!Q:Q,A124,'Brossard, CAN'!I:I,TRUE),TRUE,FALSE)</f>
        <v>0</v>
      </c>
      <c r="O124" s="96" t="b">
        <f>if(countifs('Gouda, NL'!Q:Q,$A124,'Gouda, NL'!$I:$I,TRUE),TRUE,FALSE)</f>
        <v>0</v>
      </c>
      <c r="P124" s="47" t="b">
        <f>if(countifs('Plympton, UK'!Q:Q,$A124,'Plympton, UK'!$I:$I,TRUE),TRUE,FALSE)</f>
        <v>0</v>
      </c>
      <c r="Q124" s="47" t="b">
        <f>if(countifs('Glen Oaks, USA'!Q:Q,$A124,'Glen Oaks, USA'!$I:$I,TRUE),TRUE,FALSE)</f>
        <v>0</v>
      </c>
      <c r="R124" s="47" t="b">
        <f>if(countifs('Chemnitz, GER'!Q:Q,$A124,'Chemnitz, GER'!I:I,TRUE),TRUE,FALSE)</f>
        <v>0</v>
      </c>
      <c r="S124" s="47" t="b">
        <f>if(countifs('Vosselaar, BE'!Q:Q,$A124,'Vosselaar, BE'!$I:$I,TRUE),TRUE,FALSE)</f>
        <v>0</v>
      </c>
      <c r="T124" s="47" t="b">
        <f>if(countifs('MHQ, USA'!Q:Q,$A124,'MHQ, USA'!$I:$I,TRUE),TRUE,FALSE)</f>
        <v>0</v>
      </c>
      <c r="U124" s="47" t="b">
        <f>if(countifs('Morayfield, AUS'!Q:Q,$A124,'Morayfield, AUS'!$I:$I,TRUE),TRUE,FALSE)</f>
        <v>0</v>
      </c>
      <c r="V124" s="11" t="b">
        <f>if(countifs('Arnhem, NL'!Q:Q,$A124,'Arnhem, NL'!$I:$I,TRUE),TRUE,FALSE)</f>
        <v>0</v>
      </c>
      <c r="W124" s="47" t="b">
        <f>if(countifs('Gotenborg, SW'!Q:Q,$A124,'Gotenborg, SW'!$I:$I,TRUE),TRUE,FALSE)</f>
        <v>0</v>
      </c>
      <c r="X124" s="47" t="b">
        <f>if(countifs('Shepparton, AUS'!Q:Q,$A124,'Shepparton, AUS'!$I:$I,TRUE),TRUE,FALSE)</f>
        <v>0</v>
      </c>
      <c r="Y124" s="47" t="b">
        <f>if(countifs('Hoofddorp, NL'!Q:Q,$A124,'Hoofddorp, NL'!$I:$I,TRUE),TRUE,FALSE)</f>
        <v>0</v>
      </c>
      <c r="Z124" s="47" t="b">
        <f>if(countifs('Bedford, UK'!Q:Q,$A124,'Bedford, UK'!$I:$I,TRUE),TRUE,FALSE)</f>
        <v>0</v>
      </c>
      <c r="AA124" s="47" t="b">
        <f>IF(COUNTIFS('Desert Lodge, USA'!Q:Q,$A124,'Desert Lodge, USA'!I:I,TRUE),TRUE,FALSE)</f>
        <v>0</v>
      </c>
      <c r="AB124" s="47" t="b">
        <f>if(countifs('Dapto, AUS'!Q:Q,$A124,'Dapto, AUS'!$I:$I,TRUE),TRUE,FALSE)</f>
        <v>1</v>
      </c>
      <c r="AC124" s="47" t="b">
        <f>if(countifs('New Westminster, CAN'!Q:Q,$A124,'New Westminster, CAN'!$I:$I,TRUE),TRUE,FALSE)</f>
        <v>1</v>
      </c>
      <c r="AD124" s="47" t="b">
        <f>if(countifs('Georgetown, CAN'!Q:Q,$A124,'Georgetown, CAN'!$I:$I,TRUE),TRUE,FALSE)</f>
        <v>0</v>
      </c>
      <c r="AE124" s="47" t="b">
        <f>if(countifs('Kingswood, UK'!Q:Q,$A124,'Kingswood, UK'!$I:$I,TRUE),TRUE,FALSE)</f>
        <v>1</v>
      </c>
      <c r="AF124" s="47" t="b">
        <f>if(countifs('Hagerstown, USA'!Q:Q,$A124,'Hagerstown, USA'!$I:$I,TRUE),TRUE,FALSE)</f>
        <v>1</v>
      </c>
      <c r="AG124" s="47" t="b">
        <f>if(countifs('Felsogalla, HU'!Q:Q,$A124,'Felsogalla, HU'!$I:$I,TRUE),TRUE,FALSE)</f>
        <v>1</v>
      </c>
      <c r="AH124" s="47" t="b">
        <f>if(countifs('Norlane, AUS'!Q:Q,$A124,'Norlane, AUS'!$I:$I,TRUE),TRUE,FALSE)</f>
        <v>1</v>
      </c>
      <c r="AI124" s="47" t="b">
        <f>if(countifs('Meitingen, GER'!Q:Q,$A124,'Meitingen, GER'!$I:$I,TRUE),TRUE,FALSE)</f>
        <v>1</v>
      </c>
      <c r="AJ124" s="47" t="b">
        <f>if(countifs('Groningen, NL'!Q:Q,$A124,'Groningen, NL'!$I:$I,TRUE),TRUE,FALSE)</f>
        <v>0</v>
      </c>
      <c r="AK124" s="47" t="b">
        <f>if(countifs('Linköping, SW'!Q:Q,$A124,'Linköping, SW'!$I:$I,TRUE),TRUE,FALSE)</f>
        <v>1</v>
      </c>
      <c r="AL124" s="47" t="b">
        <f>if(countifs('Austin, USA'!Q:Q,$A124,'Austin, USA'!$I:$I,TRUE),TRUE,FALSE)</f>
        <v>0</v>
      </c>
      <c r="AM124" s="47" t="b">
        <f>if(countifs('Thringstone, UK'!Q:Q,$A124,'Thringstone, UK'!$I:$I,TRUE),TRUE,FALSE)</f>
        <v>1</v>
      </c>
      <c r="AN124" s="47" t="b">
        <f>if(countifs('Andover, UK'!Q:Q,$A124,'Andover, UK'!$I:$I,TRUE),TRUE,FALSE)</f>
        <v>1</v>
      </c>
      <c r="AO124" s="47" t="b">
        <f>if(countifs('Ospel, NL'!Q:Q,$A124,'Ospel, NL'!$I:$I,TRUE),TRUE,FALSE)</f>
        <v>1</v>
      </c>
      <c r="AP124" s="47" t="b">
        <f>if(countifs('Wonthaggi, AUS'!Q:Q,$A124,'Wonthaggi, AUS'!$I:$I,TRUE),TRUE,FALSE)</f>
        <v>1</v>
      </c>
      <c r="AQ124" s="47" t="b">
        <f>if(countifs('Falling_Waters, USA'!$Q:$Q,$A124,'Falling_Waters, USA'!$I:$I,TRUE),TRUE,FALSE)</f>
        <v>1</v>
      </c>
      <c r="AR124" s="47" t="b">
        <f>if(countifs('Kelmscott, AUS'!Q:Q,$A124,'Kelmscott, AUS'!$I:$I,TRUE),TRUE,FALSE)</f>
        <v>1</v>
      </c>
    </row>
    <row r="125">
      <c r="A125" s="47" t="str">
        <f>IFERROR(__xludf.DUMMYFUNCTION("""COMPUTED_VALUE"""),"Belladivadee")</f>
        <v>Belladivadee</v>
      </c>
      <c r="B125" s="47">
        <f t="shared" si="1"/>
        <v>30</v>
      </c>
      <c r="C125" s="47" t="b">
        <v>0</v>
      </c>
      <c r="D125" s="47" t="b">
        <v>0</v>
      </c>
      <c r="E125" s="47" t="b">
        <v>0</v>
      </c>
      <c r="F125" s="47" t="b">
        <v>0</v>
      </c>
      <c r="G125" s="96"/>
      <c r="H125" s="96" t="b">
        <f>if(countifs('Berlin, GER'!Q:Q,A125,'Berlin, GER'!I:I,TRUE),TRUE,FALSE)</f>
        <v>1</v>
      </c>
      <c r="I125" s="96" t="b">
        <f>if(countifs('Escondido, USA'!Q:Q,A125,'Escondido, USA'!I:I,TRUE),TRUE,FALSE)</f>
        <v>1</v>
      </c>
      <c r="J125" s="96" t="b">
        <f>if(countifs('Onkaparinga_Hills, AUS'!Q:Q,A125,'Onkaparinga_Hills, AUS'!I:I,TRUE),TRUE,FALSE)</f>
        <v>1</v>
      </c>
      <c r="K125" s="96" t="b">
        <f>if(countifs('Perth, AUS'!Q:Q,A125,'Perth, AUS'!I:I,TRUE),TRUE,FALSE)</f>
        <v>1</v>
      </c>
      <c r="L125" s="96" t="b">
        <f>if(countifs('Raleigh, USA'!Q:Q,A125,'Raleigh, USA'!I:I,TRUE),TRUE,FALSE)</f>
        <v>1</v>
      </c>
      <c r="M125" s="96" t="b">
        <f>if(countifs('Browns Plains, AUS'!Q:Q,A125,'Browns Plains, AUS'!I:I,TRUE),TRUE,FALSE)</f>
        <v>1</v>
      </c>
      <c r="N125" s="96" t="b">
        <f>if(countifs('Brossard, CAN'!Q:Q,A125,'Brossard, CAN'!I:I,TRUE),TRUE,FALSE)</f>
        <v>1</v>
      </c>
      <c r="O125" s="96" t="b">
        <f>if(countifs('Gouda, NL'!Q:Q,$A125,'Gouda, NL'!$I:$I,TRUE),TRUE,FALSE)</f>
        <v>1</v>
      </c>
      <c r="P125" s="47" t="b">
        <f>if(countifs('Plympton, UK'!Q:Q,$A125,'Plympton, UK'!$I:$I,TRUE),TRUE,FALSE)</f>
        <v>1</v>
      </c>
      <c r="Q125" s="47" t="b">
        <f>if(countifs('Glen Oaks, USA'!Q:Q,$A125,'Glen Oaks, USA'!$I:$I,TRUE),TRUE,FALSE)</f>
        <v>1</v>
      </c>
      <c r="R125" s="47" t="b">
        <f>if(countifs('Chemnitz, GER'!Q:Q,$A125,'Chemnitz, GER'!I:I,TRUE),TRUE,FALSE)</f>
        <v>1</v>
      </c>
      <c r="S125" s="47" t="b">
        <f>if(countifs('Vosselaar, BE'!Q:Q,$A125,'Vosselaar, BE'!$I:$I,TRUE),TRUE,FALSE)</f>
        <v>1</v>
      </c>
      <c r="T125" s="47" t="b">
        <f>if(countifs('MHQ, USA'!Q:Q,$A125,'MHQ, USA'!$I:$I,TRUE),TRUE,FALSE)</f>
        <v>1</v>
      </c>
      <c r="U125" s="47" t="b">
        <f>if(countifs('Morayfield, AUS'!Q:Q,$A125,'Morayfield, AUS'!$I:$I,TRUE),TRUE,FALSE)</f>
        <v>1</v>
      </c>
      <c r="V125" s="11" t="b">
        <f>if(countifs('Arnhem, NL'!Q:Q,$A125,'Arnhem, NL'!$I:$I,TRUE),TRUE,FALSE)</f>
        <v>1</v>
      </c>
      <c r="W125" s="47" t="b">
        <f>if(countifs('Gotenborg, SW'!Q:Q,$A125,'Gotenborg, SW'!$I:$I,TRUE),TRUE,FALSE)</f>
        <v>1</v>
      </c>
      <c r="X125" s="47" t="b">
        <f>if(countifs('Shepparton, AUS'!Q:Q,$A125,'Shepparton, AUS'!$I:$I,TRUE),TRUE,FALSE)</f>
        <v>1</v>
      </c>
      <c r="Y125" s="47" t="b">
        <f>if(countifs('Hoofddorp, NL'!Q:Q,$A125,'Hoofddorp, NL'!$I:$I,TRUE),TRUE,FALSE)</f>
        <v>1</v>
      </c>
      <c r="Z125" s="47" t="b">
        <f>if(countifs('Bedford, UK'!Q:Q,$A125,'Bedford, UK'!$I:$I,TRUE),TRUE,FALSE)</f>
        <v>1</v>
      </c>
      <c r="AA125" s="47" t="b">
        <f>IF(COUNTIFS('Desert Lodge, USA'!Q:Q,$A125,'Desert Lodge, USA'!I:I,TRUE),TRUE,FALSE)</f>
        <v>1</v>
      </c>
      <c r="AB125" s="47" t="b">
        <f>if(countifs('Dapto, AUS'!Q:Q,$A125,'Dapto, AUS'!$I:$I,TRUE),TRUE,FALSE)</f>
        <v>1</v>
      </c>
      <c r="AC125" s="47" t="b">
        <f>if(countifs('New Westminster, CAN'!Q:Q,$A125,'New Westminster, CAN'!$I:$I,TRUE),TRUE,FALSE)</f>
        <v>1</v>
      </c>
      <c r="AD125" s="47" t="b">
        <f>if(countifs('Georgetown, CAN'!Q:Q,$A125,'Georgetown, CAN'!$I:$I,TRUE),TRUE,FALSE)</f>
        <v>1</v>
      </c>
      <c r="AE125" s="47" t="b">
        <f>if(countifs('Kingswood, UK'!Q:Q,$A125,'Kingswood, UK'!$I:$I,TRUE),TRUE,FALSE)</f>
        <v>1</v>
      </c>
      <c r="AF125" s="47" t="b">
        <f>if(countifs('Hagerstown, USA'!Q:Q,$A125,'Hagerstown, USA'!$I:$I,TRUE),TRUE,FALSE)</f>
        <v>1</v>
      </c>
      <c r="AG125" s="47" t="b">
        <f>if(countifs('Felsogalla, HU'!Q:Q,$A125,'Felsogalla, HU'!$I:$I,TRUE),TRUE,FALSE)</f>
        <v>1</v>
      </c>
      <c r="AH125" s="47" t="b">
        <f>if(countifs('Norlane, AUS'!Q:Q,$A125,'Norlane, AUS'!$I:$I,TRUE),TRUE,FALSE)</f>
        <v>1</v>
      </c>
      <c r="AI125" s="47" t="b">
        <f>if(countifs('Meitingen, GER'!Q:Q,$A125,'Meitingen, GER'!$I:$I,TRUE),TRUE,FALSE)</f>
        <v>1</v>
      </c>
      <c r="AJ125" s="47" t="b">
        <f>if(countifs('Groningen, NL'!Q:Q,$A125,'Groningen, NL'!$I:$I,TRUE),TRUE,FALSE)</f>
        <v>1</v>
      </c>
      <c r="AK125" s="47" t="b">
        <f>if(countifs('Linköping, SW'!Q:Q,$A125,'Linköping, SW'!$I:$I,TRUE),TRUE,FALSE)</f>
        <v>1</v>
      </c>
      <c r="AL125" s="47" t="b">
        <f>if(countifs('Austin, USA'!Q:Q,$A125,'Austin, USA'!$I:$I,TRUE),TRUE,FALSE)</f>
        <v>0</v>
      </c>
      <c r="AM125" s="47" t="b">
        <f>if(countifs('Thringstone, UK'!Q:Q,$A125,'Thringstone, UK'!$I:$I,TRUE),TRUE,FALSE)</f>
        <v>0</v>
      </c>
      <c r="AN125" s="47" t="b">
        <f>if(countifs('Andover, UK'!Q:Q,$A125,'Andover, UK'!$I:$I,TRUE),TRUE,FALSE)</f>
        <v>0</v>
      </c>
      <c r="AO125" s="47" t="b">
        <f>if(countifs('Ospel, NL'!Q:Q,$A125,'Ospel, NL'!$I:$I,TRUE),TRUE,FALSE)</f>
        <v>0</v>
      </c>
      <c r="AP125" s="47" t="b">
        <f>if(countifs('Wonthaggi, AUS'!Q:Q,$A125,'Wonthaggi, AUS'!$I:$I,TRUE),TRUE,FALSE)</f>
        <v>0</v>
      </c>
      <c r="AQ125" s="47" t="b">
        <f>if(countifs('Falling_Waters, USA'!$Q:$Q,$A125,'Falling_Waters, USA'!$I:$I,TRUE),TRUE,FALSE)</f>
        <v>0</v>
      </c>
      <c r="AR125" s="47" t="b">
        <f>if(countifs('Kelmscott, AUS'!Q:Q,$A125,'Kelmscott, AUS'!$I:$I,TRUE),TRUE,FALSE)</f>
        <v>0</v>
      </c>
    </row>
    <row r="126">
      <c r="A126" s="47" t="str">
        <f>IFERROR(__xludf.DUMMYFUNCTION("""COMPUTED_VALUE"""),"Jennbaby82")</f>
        <v>Jennbaby82</v>
      </c>
      <c r="B126" s="47">
        <f t="shared" si="1"/>
        <v>1</v>
      </c>
      <c r="C126" s="47" t="b">
        <v>0</v>
      </c>
      <c r="D126" s="47" t="b">
        <v>0</v>
      </c>
      <c r="E126" s="47" t="b">
        <v>0</v>
      </c>
      <c r="F126" s="47" t="b">
        <v>0</v>
      </c>
      <c r="G126" s="96"/>
      <c r="H126" s="96" t="b">
        <f>if(countifs('Berlin, GER'!Q:Q,A126,'Berlin, GER'!I:I,TRUE),TRUE,FALSE)</f>
        <v>0</v>
      </c>
      <c r="I126" s="96" t="b">
        <f>if(countifs('Escondido, USA'!Q:Q,A126,'Escondido, USA'!I:I,TRUE),TRUE,FALSE)</f>
        <v>0</v>
      </c>
      <c r="J126" s="96" t="b">
        <f>if(countifs('Onkaparinga_Hills, AUS'!Q:Q,A126,'Onkaparinga_Hills, AUS'!I:I,TRUE),TRUE,FALSE)</f>
        <v>0</v>
      </c>
      <c r="K126" s="96" t="b">
        <f>if(countifs('Perth, AUS'!Q:Q,A126,'Perth, AUS'!I:I,TRUE),TRUE,FALSE)</f>
        <v>0</v>
      </c>
      <c r="L126" s="96" t="b">
        <f>if(countifs('Raleigh, USA'!Q:Q,A126,'Raleigh, USA'!I:I,TRUE),TRUE,FALSE)</f>
        <v>0</v>
      </c>
      <c r="M126" s="96" t="b">
        <f>if(countifs('Browns Plains, AUS'!Q:Q,A126,'Browns Plains, AUS'!I:I,TRUE),TRUE,FALSE)</f>
        <v>0</v>
      </c>
      <c r="N126" s="96" t="b">
        <f>if(countifs('Brossard, CAN'!Q:Q,A126,'Brossard, CAN'!I:I,TRUE),TRUE,FALSE)</f>
        <v>0</v>
      </c>
      <c r="O126" s="96" t="b">
        <f>if(countifs('Gouda, NL'!Q:Q,$A126,'Gouda, NL'!$I:$I,TRUE),TRUE,FALSE)</f>
        <v>0</v>
      </c>
      <c r="P126" s="47" t="b">
        <f>if(countifs('Plympton, UK'!Q:Q,$A126,'Plympton, UK'!$I:$I,TRUE),TRUE,FALSE)</f>
        <v>0</v>
      </c>
      <c r="Q126" s="47" t="b">
        <f>if(countifs('Glen Oaks, USA'!Q:Q,$A126,'Glen Oaks, USA'!$I:$I,TRUE),TRUE,FALSE)</f>
        <v>0</v>
      </c>
      <c r="R126" s="47" t="b">
        <f>if(countifs('Chemnitz, GER'!Q:Q,$A126,'Chemnitz, GER'!I:I,TRUE),TRUE,FALSE)</f>
        <v>0</v>
      </c>
      <c r="S126" s="47" t="b">
        <f>if(countifs('Vosselaar, BE'!Q:Q,$A126,'Vosselaar, BE'!$I:$I,TRUE),TRUE,FALSE)</f>
        <v>0</v>
      </c>
      <c r="T126" s="47" t="b">
        <f>if(countifs('MHQ, USA'!Q:Q,$A126,'MHQ, USA'!$I:$I,TRUE),TRUE,FALSE)</f>
        <v>0</v>
      </c>
      <c r="U126" s="47" t="b">
        <f>if(countifs('Morayfield, AUS'!Q:Q,$A126,'Morayfield, AUS'!$I:$I,TRUE),TRUE,FALSE)</f>
        <v>0</v>
      </c>
      <c r="V126" s="11" t="b">
        <f>if(countifs('Arnhem, NL'!Q:Q,$A126,'Arnhem, NL'!$I:$I,TRUE),TRUE,FALSE)</f>
        <v>0</v>
      </c>
      <c r="W126" s="47" t="b">
        <f>if(countifs('Gotenborg, SW'!Q:Q,$A126,'Gotenborg, SW'!$I:$I,TRUE),TRUE,FALSE)</f>
        <v>0</v>
      </c>
      <c r="X126" s="47" t="b">
        <f>if(countifs('Shepparton, AUS'!Q:Q,$A126,'Shepparton, AUS'!$I:$I,TRUE),TRUE,FALSE)</f>
        <v>0</v>
      </c>
      <c r="Y126" s="47" t="b">
        <f>if(countifs('Hoofddorp, NL'!Q:Q,$A126,'Hoofddorp, NL'!$I:$I,TRUE),TRUE,FALSE)</f>
        <v>0</v>
      </c>
      <c r="Z126" s="47" t="b">
        <f>if(countifs('Bedford, UK'!Q:Q,$A126,'Bedford, UK'!$I:$I,TRUE),TRUE,FALSE)</f>
        <v>0</v>
      </c>
      <c r="AA126" s="47" t="b">
        <f>IF(COUNTIFS('Desert Lodge, USA'!Q:Q,$A126,'Desert Lodge, USA'!I:I,TRUE),TRUE,FALSE)</f>
        <v>0</v>
      </c>
      <c r="AB126" s="47" t="b">
        <f>if(countifs('Dapto, AUS'!Q:Q,$A126,'Dapto, AUS'!$I:$I,TRUE),TRUE,FALSE)</f>
        <v>1</v>
      </c>
      <c r="AC126" s="47" t="b">
        <f>if(countifs('New Westminster, CAN'!Q:Q,$A126,'New Westminster, CAN'!$I:$I,TRUE),TRUE,FALSE)</f>
        <v>0</v>
      </c>
      <c r="AD126" s="47" t="b">
        <f>if(countifs('Georgetown, CAN'!Q:Q,$A126,'Georgetown, CAN'!$I:$I,TRUE),TRUE,FALSE)</f>
        <v>0</v>
      </c>
      <c r="AE126" s="47" t="b">
        <f>if(countifs('Kingswood, UK'!Q:Q,$A126,'Kingswood, UK'!$I:$I,TRUE),TRUE,FALSE)</f>
        <v>0</v>
      </c>
      <c r="AF126" s="47" t="b">
        <f>if(countifs('Hagerstown, USA'!Q:Q,$A126,'Hagerstown, USA'!$I:$I,TRUE),TRUE,FALSE)</f>
        <v>0</v>
      </c>
      <c r="AG126" s="47" t="b">
        <f>if(countifs('Felsogalla, HU'!Q:Q,$A126,'Felsogalla, HU'!$I:$I,TRUE),TRUE,FALSE)</f>
        <v>0</v>
      </c>
      <c r="AH126" s="47" t="b">
        <f>if(countifs('Norlane, AUS'!Q:Q,$A126,'Norlane, AUS'!$I:$I,TRUE),TRUE,FALSE)</f>
        <v>0</v>
      </c>
      <c r="AI126" s="47" t="b">
        <f>if(countifs('Meitingen, GER'!Q:Q,$A126,'Meitingen, GER'!$I:$I,TRUE),TRUE,FALSE)</f>
        <v>0</v>
      </c>
      <c r="AJ126" s="47" t="b">
        <f>if(countifs('Groningen, NL'!Q:Q,$A126,'Groningen, NL'!$I:$I,TRUE),TRUE,FALSE)</f>
        <v>0</v>
      </c>
      <c r="AK126" s="47" t="b">
        <f>if(countifs('Linköping, SW'!Q:Q,$A126,'Linköping, SW'!$I:$I,TRUE),TRUE,FALSE)</f>
        <v>0</v>
      </c>
      <c r="AL126" s="47" t="b">
        <f>if(countifs('Austin, USA'!Q:Q,$A126,'Austin, USA'!$I:$I,TRUE),TRUE,FALSE)</f>
        <v>0</v>
      </c>
      <c r="AM126" s="47" t="b">
        <f>if(countifs('Thringstone, UK'!Q:Q,$A126,'Thringstone, UK'!$I:$I,TRUE),TRUE,FALSE)</f>
        <v>0</v>
      </c>
      <c r="AN126" s="47" t="b">
        <f>if(countifs('Andover, UK'!Q:Q,$A126,'Andover, UK'!$I:$I,TRUE),TRUE,FALSE)</f>
        <v>0</v>
      </c>
      <c r="AO126" s="47" t="b">
        <f>if(countifs('Ospel, NL'!Q:Q,$A126,'Ospel, NL'!$I:$I,TRUE),TRUE,FALSE)</f>
        <v>0</v>
      </c>
      <c r="AP126" s="47" t="b">
        <f>if(countifs('Wonthaggi, AUS'!Q:Q,$A126,'Wonthaggi, AUS'!$I:$I,TRUE),TRUE,FALSE)</f>
        <v>0</v>
      </c>
      <c r="AQ126" s="47" t="b">
        <f>if(countifs('Falling_Waters, USA'!$Q:$Q,$A126,'Falling_Waters, USA'!$I:$I,TRUE),TRUE,FALSE)</f>
        <v>0</v>
      </c>
      <c r="AR126" s="47" t="b">
        <f>if(countifs('Kelmscott, AUS'!Q:Q,$A126,'Kelmscott, AUS'!$I:$I,TRUE),TRUE,FALSE)</f>
        <v>0</v>
      </c>
    </row>
    <row r="127">
      <c r="A127" s="47" t="str">
        <f>IFERROR(__xludf.DUMMYFUNCTION("""COMPUTED_VALUE"""),"WangoTango")</f>
        <v>WangoTango</v>
      </c>
      <c r="B127" s="47">
        <f t="shared" si="1"/>
        <v>22</v>
      </c>
      <c r="C127" s="47" t="b">
        <v>0</v>
      </c>
      <c r="D127" s="47" t="b">
        <v>0</v>
      </c>
      <c r="E127" s="47" t="b">
        <v>0</v>
      </c>
      <c r="F127" s="47" t="b">
        <v>0</v>
      </c>
      <c r="G127" s="96"/>
      <c r="H127" s="96" t="b">
        <f>if(countifs('Berlin, GER'!Q:Q,A127,'Berlin, GER'!I:I,TRUE),TRUE,FALSE)</f>
        <v>1</v>
      </c>
      <c r="I127" s="96" t="b">
        <f>if(countifs('Escondido, USA'!Q:Q,A127,'Escondido, USA'!I:I,TRUE),TRUE,FALSE)</f>
        <v>1</v>
      </c>
      <c r="J127" s="96" t="b">
        <f>if(countifs('Onkaparinga_Hills, AUS'!Q:Q,A127,'Onkaparinga_Hills, AUS'!I:I,TRUE),TRUE,FALSE)</f>
        <v>1</v>
      </c>
      <c r="K127" s="96" t="b">
        <f>if(countifs('Perth, AUS'!Q:Q,A127,'Perth, AUS'!I:I,TRUE),TRUE,FALSE)</f>
        <v>1</v>
      </c>
      <c r="L127" s="96" t="b">
        <f>if(countifs('Raleigh, USA'!Q:Q,A127,'Raleigh, USA'!I:I,TRUE),TRUE,FALSE)</f>
        <v>1</v>
      </c>
      <c r="M127" s="96" t="b">
        <f>if(countifs('Browns Plains, AUS'!Q:Q,A127,'Browns Plains, AUS'!I:I,TRUE),TRUE,FALSE)</f>
        <v>1</v>
      </c>
      <c r="N127" s="96" t="b">
        <f>if(countifs('Brossard, CAN'!Q:Q,A127,'Brossard, CAN'!I:I,TRUE),TRUE,FALSE)</f>
        <v>0</v>
      </c>
      <c r="O127" s="96" t="b">
        <f>if(countifs('Gouda, NL'!Q:Q,$A127,'Gouda, NL'!$I:$I,TRUE),TRUE,FALSE)</f>
        <v>1</v>
      </c>
      <c r="P127" s="47" t="b">
        <f>if(countifs('Plympton, UK'!Q:Q,$A127,'Plympton, UK'!$I:$I,TRUE),TRUE,FALSE)</f>
        <v>1</v>
      </c>
      <c r="Q127" s="47" t="b">
        <f>if(countifs('Glen Oaks, USA'!Q:Q,$A127,'Glen Oaks, USA'!$I:$I,TRUE),TRUE,FALSE)</f>
        <v>1</v>
      </c>
      <c r="R127" s="47" t="b">
        <f>if(countifs('Chemnitz, GER'!Q:Q,$A127,'Chemnitz, GER'!I:I,TRUE),TRUE,FALSE)</f>
        <v>1</v>
      </c>
      <c r="S127" s="47" t="b">
        <f>if(countifs('Vosselaar, BE'!Q:Q,$A127,'Vosselaar, BE'!$I:$I,TRUE),TRUE,FALSE)</f>
        <v>1</v>
      </c>
      <c r="T127" s="47" t="b">
        <f>if(countifs('MHQ, USA'!Q:Q,$A127,'MHQ, USA'!$I:$I,TRUE),TRUE,FALSE)</f>
        <v>0</v>
      </c>
      <c r="U127" s="47" t="b">
        <f>if(countifs('Morayfield, AUS'!Q:Q,$A127,'Morayfield, AUS'!$I:$I,TRUE),TRUE,FALSE)</f>
        <v>1</v>
      </c>
      <c r="V127" s="11" t="b">
        <f>if(countifs('Arnhem, NL'!Q:Q,$A127,'Arnhem, NL'!$I:$I,TRUE),TRUE,FALSE)</f>
        <v>0</v>
      </c>
      <c r="W127" s="47" t="b">
        <f>if(countifs('Gotenborg, SW'!Q:Q,$A127,'Gotenborg, SW'!$I:$I,TRUE),TRUE,FALSE)</f>
        <v>1</v>
      </c>
      <c r="X127" s="47" t="b">
        <f>if(countifs('Shepparton, AUS'!Q:Q,$A127,'Shepparton, AUS'!$I:$I,TRUE),TRUE,FALSE)</f>
        <v>1</v>
      </c>
      <c r="Y127" s="47" t="b">
        <f>if(countifs('Hoofddorp, NL'!Q:Q,$A127,'Hoofddorp, NL'!$I:$I,TRUE),TRUE,FALSE)</f>
        <v>1</v>
      </c>
      <c r="Z127" s="47" t="b">
        <f>if(countifs('Bedford, UK'!Q:Q,$A127,'Bedford, UK'!$I:$I,TRUE),TRUE,FALSE)</f>
        <v>1</v>
      </c>
      <c r="AA127" s="47" t="b">
        <f>IF(COUNTIFS('Desert Lodge, USA'!Q:Q,$A127,'Desert Lodge, USA'!I:I,TRUE),TRUE,FALSE)</f>
        <v>1</v>
      </c>
      <c r="AB127" s="47" t="b">
        <f>if(countifs('Dapto, AUS'!Q:Q,$A127,'Dapto, AUS'!$I:$I,TRUE),TRUE,FALSE)</f>
        <v>1</v>
      </c>
      <c r="AC127" s="47" t="b">
        <f>if(countifs('New Westminster, CAN'!Q:Q,$A127,'New Westminster, CAN'!$I:$I,TRUE),TRUE,FALSE)</f>
        <v>0</v>
      </c>
      <c r="AD127" s="47" t="b">
        <f>if(countifs('Georgetown, CAN'!Q:Q,$A127,'Georgetown, CAN'!$I:$I,TRUE),TRUE,FALSE)</f>
        <v>0</v>
      </c>
      <c r="AE127" s="47" t="b">
        <f>if(countifs('Kingswood, UK'!Q:Q,$A127,'Kingswood, UK'!$I:$I,TRUE),TRUE,FALSE)</f>
        <v>0</v>
      </c>
      <c r="AF127" s="47" t="b">
        <f>if(countifs('Hagerstown, USA'!Q:Q,$A127,'Hagerstown, USA'!$I:$I,TRUE),TRUE,FALSE)</f>
        <v>1</v>
      </c>
      <c r="AG127" s="47" t="b">
        <f>if(countifs('Felsogalla, HU'!Q:Q,$A127,'Felsogalla, HU'!$I:$I,TRUE),TRUE,FALSE)</f>
        <v>0</v>
      </c>
      <c r="AH127" s="47" t="b">
        <f>if(countifs('Norlane, AUS'!Q:Q,$A127,'Norlane, AUS'!$I:$I,TRUE),TRUE,FALSE)</f>
        <v>0</v>
      </c>
      <c r="AI127" s="47" t="b">
        <f>if(countifs('Meitingen, GER'!Q:Q,$A127,'Meitingen, GER'!$I:$I,TRUE),TRUE,FALSE)</f>
        <v>0</v>
      </c>
      <c r="AJ127" s="47" t="b">
        <f>if(countifs('Groningen, NL'!Q:Q,$A127,'Groningen, NL'!$I:$I,TRUE),TRUE,FALSE)</f>
        <v>0</v>
      </c>
      <c r="AK127" s="47" t="b">
        <f>if(countifs('Linköping, SW'!Q:Q,$A127,'Linköping, SW'!$I:$I,TRUE),TRUE,FALSE)</f>
        <v>0</v>
      </c>
      <c r="AL127" s="47" t="b">
        <f>if(countifs('Austin, USA'!Q:Q,$A127,'Austin, USA'!$I:$I,TRUE),TRUE,FALSE)</f>
        <v>0</v>
      </c>
      <c r="AM127" s="47" t="b">
        <f>if(countifs('Thringstone, UK'!Q:Q,$A127,'Thringstone, UK'!$I:$I,TRUE),TRUE,FALSE)</f>
        <v>0</v>
      </c>
      <c r="AN127" s="47" t="b">
        <f>if(countifs('Andover, UK'!Q:Q,$A127,'Andover, UK'!$I:$I,TRUE),TRUE,FALSE)</f>
        <v>1</v>
      </c>
      <c r="AO127" s="47" t="b">
        <f>if(countifs('Ospel, NL'!Q:Q,$A127,'Ospel, NL'!$I:$I,TRUE),TRUE,FALSE)</f>
        <v>0</v>
      </c>
      <c r="AP127" s="47" t="b">
        <f>if(countifs('Wonthaggi, AUS'!Q:Q,$A127,'Wonthaggi, AUS'!$I:$I,TRUE),TRUE,FALSE)</f>
        <v>1</v>
      </c>
      <c r="AQ127" s="47" t="b">
        <f>if(countifs('Falling_Waters, USA'!$Q:$Q,$A127,'Falling_Waters, USA'!$I:$I,TRUE),TRUE,FALSE)</f>
        <v>1</v>
      </c>
      <c r="AR127" s="47" t="b">
        <f>if(countifs('Kelmscott, AUS'!Q:Q,$A127,'Kelmscott, AUS'!$I:$I,TRUE),TRUE,FALSE)</f>
        <v>0</v>
      </c>
    </row>
    <row r="128">
      <c r="A128" s="47" t="str">
        <f>IFERROR(__xludf.DUMMYFUNCTION("""COMPUTED_VALUE"""),"WetCoaster")</f>
        <v>WetCoaster</v>
      </c>
      <c r="B128" s="47">
        <f t="shared" si="1"/>
        <v>2</v>
      </c>
      <c r="C128" s="47" t="b">
        <v>0</v>
      </c>
      <c r="D128" s="47" t="b">
        <v>0</v>
      </c>
      <c r="E128" s="47" t="b">
        <v>0</v>
      </c>
      <c r="F128" s="47" t="b">
        <v>0</v>
      </c>
      <c r="G128" s="96"/>
      <c r="H128" s="96" t="b">
        <f>if(countifs('Berlin, GER'!Q:Q,A128,'Berlin, GER'!I:I,TRUE),TRUE,FALSE)</f>
        <v>0</v>
      </c>
      <c r="I128" s="96" t="b">
        <f>if(countifs('Escondido, USA'!Q:Q,A128,'Escondido, USA'!I:I,TRUE),TRUE,FALSE)</f>
        <v>0</v>
      </c>
      <c r="J128" s="96" t="b">
        <f>if(countifs('Onkaparinga_Hills, AUS'!Q:Q,A128,'Onkaparinga_Hills, AUS'!I:I,TRUE),TRUE,FALSE)</f>
        <v>0</v>
      </c>
      <c r="K128" s="96" t="b">
        <f>if(countifs('Perth, AUS'!Q:Q,A128,'Perth, AUS'!I:I,TRUE),TRUE,FALSE)</f>
        <v>0</v>
      </c>
      <c r="L128" s="96" t="b">
        <f>if(countifs('Raleigh, USA'!Q:Q,A128,'Raleigh, USA'!I:I,TRUE),TRUE,FALSE)</f>
        <v>0</v>
      </c>
      <c r="M128" s="96" t="b">
        <f>if(countifs('Browns Plains, AUS'!Q:Q,A128,'Browns Plains, AUS'!I:I,TRUE),TRUE,FALSE)</f>
        <v>0</v>
      </c>
      <c r="N128" s="96" t="b">
        <f>if(countifs('Brossard, CAN'!Q:Q,A128,'Brossard, CAN'!I:I,TRUE),TRUE,FALSE)</f>
        <v>0</v>
      </c>
      <c r="O128" s="96" t="b">
        <f>if(countifs('Gouda, NL'!Q:Q,$A128,'Gouda, NL'!$I:$I,TRUE),TRUE,FALSE)</f>
        <v>0</v>
      </c>
      <c r="P128" s="47" t="b">
        <f>if(countifs('Plympton, UK'!Q:Q,$A128,'Plympton, UK'!$I:$I,TRUE),TRUE,FALSE)</f>
        <v>0</v>
      </c>
      <c r="Q128" s="47" t="b">
        <f>if(countifs('Glen Oaks, USA'!Q:Q,$A128,'Glen Oaks, USA'!$I:$I,TRUE),TRUE,FALSE)</f>
        <v>0</v>
      </c>
      <c r="R128" s="47" t="b">
        <f>if(countifs('Chemnitz, GER'!Q:Q,$A128,'Chemnitz, GER'!I:I,TRUE),TRUE,FALSE)</f>
        <v>0</v>
      </c>
      <c r="S128" s="47" t="b">
        <f>if(countifs('Vosselaar, BE'!Q:Q,$A128,'Vosselaar, BE'!$I:$I,TRUE),TRUE,FALSE)</f>
        <v>0</v>
      </c>
      <c r="T128" s="47" t="b">
        <f>if(countifs('MHQ, USA'!Q:Q,$A128,'MHQ, USA'!$I:$I,TRUE),TRUE,FALSE)</f>
        <v>0</v>
      </c>
      <c r="U128" s="47" t="b">
        <f>if(countifs('Morayfield, AUS'!Q:Q,$A128,'Morayfield, AUS'!$I:$I,TRUE),TRUE,FALSE)</f>
        <v>0</v>
      </c>
      <c r="V128" s="11" t="b">
        <f>if(countifs('Arnhem, NL'!Q:Q,$A128,'Arnhem, NL'!$I:$I,TRUE),TRUE,FALSE)</f>
        <v>0</v>
      </c>
      <c r="W128" s="47" t="b">
        <f>if(countifs('Gotenborg, SW'!Q:Q,$A128,'Gotenborg, SW'!$I:$I,TRUE),TRUE,FALSE)</f>
        <v>0</v>
      </c>
      <c r="X128" s="47" t="b">
        <f>if(countifs('Shepparton, AUS'!Q:Q,$A128,'Shepparton, AUS'!$I:$I,TRUE),TRUE,FALSE)</f>
        <v>0</v>
      </c>
      <c r="Y128" s="47" t="b">
        <f>if(countifs('Hoofddorp, NL'!Q:Q,$A128,'Hoofddorp, NL'!$I:$I,TRUE),TRUE,FALSE)</f>
        <v>0</v>
      </c>
      <c r="Z128" s="47" t="b">
        <f>if(countifs('Bedford, UK'!Q:Q,$A128,'Bedford, UK'!$I:$I,TRUE),TRUE,FALSE)</f>
        <v>0</v>
      </c>
      <c r="AA128" s="47" t="b">
        <f>IF(COUNTIFS('Desert Lodge, USA'!Q:Q,$A128,'Desert Lodge, USA'!I:I,TRUE),TRUE,FALSE)</f>
        <v>0</v>
      </c>
      <c r="AB128" s="47" t="b">
        <f>if(countifs('Dapto, AUS'!Q:Q,$A128,'Dapto, AUS'!$I:$I,TRUE),TRUE,FALSE)</f>
        <v>0</v>
      </c>
      <c r="AC128" s="47" t="b">
        <f>if(countifs('New Westminster, CAN'!Q:Q,$A128,'New Westminster, CAN'!$I:$I,TRUE),TRUE,FALSE)</f>
        <v>1</v>
      </c>
      <c r="AD128" s="47" t="b">
        <f>if(countifs('Georgetown, CAN'!Q:Q,$A128,'Georgetown, CAN'!$I:$I,TRUE),TRUE,FALSE)</f>
        <v>1</v>
      </c>
      <c r="AE128" s="47" t="b">
        <f>if(countifs('Kingswood, UK'!Q:Q,$A128,'Kingswood, UK'!$I:$I,TRUE),TRUE,FALSE)</f>
        <v>0</v>
      </c>
      <c r="AF128" s="47" t="b">
        <f>if(countifs('Hagerstown, USA'!Q:Q,$A128,'Hagerstown, USA'!$I:$I,TRUE),TRUE,FALSE)</f>
        <v>0</v>
      </c>
      <c r="AG128" s="47" t="b">
        <f>if(countifs('Felsogalla, HU'!Q:Q,$A128,'Felsogalla, HU'!$I:$I,TRUE),TRUE,FALSE)</f>
        <v>0</v>
      </c>
      <c r="AH128" s="47" t="b">
        <f>if(countifs('Norlane, AUS'!Q:Q,$A128,'Norlane, AUS'!$I:$I,TRUE),TRUE,FALSE)</f>
        <v>0</v>
      </c>
      <c r="AI128" s="47" t="b">
        <f>if(countifs('Meitingen, GER'!Q:Q,$A128,'Meitingen, GER'!$I:$I,TRUE),TRUE,FALSE)</f>
        <v>0</v>
      </c>
      <c r="AJ128" s="47" t="b">
        <f>if(countifs('Groningen, NL'!Q:Q,$A128,'Groningen, NL'!$I:$I,TRUE),TRUE,FALSE)</f>
        <v>0</v>
      </c>
      <c r="AK128" s="47" t="b">
        <f>if(countifs('Linköping, SW'!Q:Q,$A128,'Linköping, SW'!$I:$I,TRUE),TRUE,FALSE)</f>
        <v>0</v>
      </c>
      <c r="AL128" s="47" t="b">
        <f>if(countifs('Austin, USA'!Q:Q,$A128,'Austin, USA'!$I:$I,TRUE),TRUE,FALSE)</f>
        <v>0</v>
      </c>
      <c r="AM128" s="47" t="b">
        <f>if(countifs('Thringstone, UK'!Q:Q,$A128,'Thringstone, UK'!$I:$I,TRUE),TRUE,FALSE)</f>
        <v>0</v>
      </c>
      <c r="AN128" s="47" t="b">
        <f>if(countifs('Andover, UK'!Q:Q,$A128,'Andover, UK'!$I:$I,TRUE),TRUE,FALSE)</f>
        <v>0</v>
      </c>
      <c r="AO128" s="47" t="b">
        <f>if(countifs('Ospel, NL'!Q:Q,$A128,'Ospel, NL'!$I:$I,TRUE),TRUE,FALSE)</f>
        <v>0</v>
      </c>
      <c r="AP128" s="47" t="b">
        <f>if(countifs('Wonthaggi, AUS'!Q:Q,$A128,'Wonthaggi, AUS'!$I:$I,TRUE),TRUE,FALSE)</f>
        <v>0</v>
      </c>
      <c r="AQ128" s="47" t="b">
        <f>if(countifs('Falling_Waters, USA'!$Q:$Q,$A128,'Falling_Waters, USA'!$I:$I,TRUE),TRUE,FALSE)</f>
        <v>0</v>
      </c>
      <c r="AR128" s="47" t="b">
        <f>if(countifs('Kelmscott, AUS'!Q:Q,$A128,'Kelmscott, AUS'!$I:$I,TRUE),TRUE,FALSE)</f>
        <v>0</v>
      </c>
    </row>
    <row r="129">
      <c r="A129" s="47" t="str">
        <f>IFERROR(__xludf.DUMMYFUNCTION("""COMPUTED_VALUE"""),"dQuest")</f>
        <v>dQuest</v>
      </c>
      <c r="B129" s="47">
        <f t="shared" si="1"/>
        <v>1</v>
      </c>
      <c r="C129" s="47" t="b">
        <v>0</v>
      </c>
      <c r="D129" s="47" t="b">
        <v>0</v>
      </c>
      <c r="E129" s="47" t="b">
        <v>0</v>
      </c>
      <c r="F129" s="47" t="b">
        <v>0</v>
      </c>
      <c r="G129" s="96"/>
      <c r="H129" s="96" t="b">
        <f>if(countifs('Berlin, GER'!Q:Q,A129,'Berlin, GER'!I:I,TRUE),TRUE,FALSE)</f>
        <v>0</v>
      </c>
      <c r="I129" s="96" t="b">
        <f>if(countifs('Escondido, USA'!Q:Q,A129,'Escondido, USA'!I:I,TRUE),TRUE,FALSE)</f>
        <v>0</v>
      </c>
      <c r="J129" s="96" t="b">
        <f>if(countifs('Onkaparinga_Hills, AUS'!Q:Q,A129,'Onkaparinga_Hills, AUS'!I:I,TRUE),TRUE,FALSE)</f>
        <v>0</v>
      </c>
      <c r="K129" s="96" t="b">
        <f>if(countifs('Perth, AUS'!Q:Q,A129,'Perth, AUS'!I:I,TRUE),TRUE,FALSE)</f>
        <v>0</v>
      </c>
      <c r="L129" s="96" t="b">
        <f>if(countifs('Raleigh, USA'!Q:Q,A129,'Raleigh, USA'!I:I,TRUE),TRUE,FALSE)</f>
        <v>0</v>
      </c>
      <c r="M129" s="96" t="b">
        <f>if(countifs('Browns Plains, AUS'!Q:Q,A129,'Browns Plains, AUS'!I:I,TRUE),TRUE,FALSE)</f>
        <v>0</v>
      </c>
      <c r="N129" s="96" t="b">
        <f>if(countifs('Brossard, CAN'!Q:Q,A129,'Brossard, CAN'!I:I,TRUE),TRUE,FALSE)</f>
        <v>0</v>
      </c>
      <c r="O129" s="96" t="b">
        <f>if(countifs('Gouda, NL'!Q:Q,$A129,'Gouda, NL'!$I:$I,TRUE),TRUE,FALSE)</f>
        <v>0</v>
      </c>
      <c r="P129" s="47" t="b">
        <f>if(countifs('Plympton, UK'!Q:Q,$A129,'Plympton, UK'!$I:$I,TRUE),TRUE,FALSE)</f>
        <v>0</v>
      </c>
      <c r="Q129" s="47" t="b">
        <f>if(countifs('Glen Oaks, USA'!Q:Q,$A129,'Glen Oaks, USA'!$I:$I,TRUE),TRUE,FALSE)</f>
        <v>0</v>
      </c>
      <c r="R129" s="47" t="b">
        <f>if(countifs('Chemnitz, GER'!Q:Q,$A129,'Chemnitz, GER'!I:I,TRUE),TRUE,FALSE)</f>
        <v>0</v>
      </c>
      <c r="S129" s="47" t="b">
        <f>if(countifs('Vosselaar, BE'!Q:Q,$A129,'Vosselaar, BE'!$I:$I,TRUE),TRUE,FALSE)</f>
        <v>0</v>
      </c>
      <c r="T129" s="47" t="b">
        <f>if(countifs('MHQ, USA'!Q:Q,$A129,'MHQ, USA'!$I:$I,TRUE),TRUE,FALSE)</f>
        <v>0</v>
      </c>
      <c r="U129" s="47" t="b">
        <f>if(countifs('Morayfield, AUS'!Q:Q,$A129,'Morayfield, AUS'!$I:$I,TRUE),TRUE,FALSE)</f>
        <v>0</v>
      </c>
      <c r="V129" s="11" t="b">
        <f>if(countifs('Arnhem, NL'!Q:Q,$A129,'Arnhem, NL'!$I:$I,TRUE),TRUE,FALSE)</f>
        <v>0</v>
      </c>
      <c r="W129" s="47" t="b">
        <f>if(countifs('Gotenborg, SW'!Q:Q,$A129,'Gotenborg, SW'!$I:$I,TRUE),TRUE,FALSE)</f>
        <v>0</v>
      </c>
      <c r="X129" s="47" t="b">
        <f>if(countifs('Shepparton, AUS'!Q:Q,$A129,'Shepparton, AUS'!$I:$I,TRUE),TRUE,FALSE)</f>
        <v>0</v>
      </c>
      <c r="Y129" s="47" t="b">
        <f>if(countifs('Hoofddorp, NL'!Q:Q,$A129,'Hoofddorp, NL'!$I:$I,TRUE),TRUE,FALSE)</f>
        <v>0</v>
      </c>
      <c r="Z129" s="47" t="b">
        <f>if(countifs('Bedford, UK'!Q:Q,$A129,'Bedford, UK'!$I:$I,TRUE),TRUE,FALSE)</f>
        <v>0</v>
      </c>
      <c r="AA129" s="47" t="b">
        <f>IF(COUNTIFS('Desert Lodge, USA'!Q:Q,$A129,'Desert Lodge, USA'!I:I,TRUE),TRUE,FALSE)</f>
        <v>0</v>
      </c>
      <c r="AB129" s="47" t="b">
        <f>if(countifs('Dapto, AUS'!Q:Q,$A129,'Dapto, AUS'!$I:$I,TRUE),TRUE,FALSE)</f>
        <v>0</v>
      </c>
      <c r="AC129" s="47" t="b">
        <f>if(countifs('New Westminster, CAN'!Q:Q,$A129,'New Westminster, CAN'!$I:$I,TRUE),TRUE,FALSE)</f>
        <v>1</v>
      </c>
      <c r="AD129" s="47" t="b">
        <f>if(countifs('Georgetown, CAN'!Q:Q,$A129,'Georgetown, CAN'!$I:$I,TRUE),TRUE,FALSE)</f>
        <v>0</v>
      </c>
      <c r="AE129" s="47" t="b">
        <f>if(countifs('Kingswood, UK'!Q:Q,$A129,'Kingswood, UK'!$I:$I,TRUE),TRUE,FALSE)</f>
        <v>0</v>
      </c>
      <c r="AF129" s="47" t="b">
        <f>if(countifs('Hagerstown, USA'!Q:Q,$A129,'Hagerstown, USA'!$I:$I,TRUE),TRUE,FALSE)</f>
        <v>0</v>
      </c>
      <c r="AG129" s="47" t="b">
        <f>if(countifs('Felsogalla, HU'!Q:Q,$A129,'Felsogalla, HU'!$I:$I,TRUE),TRUE,FALSE)</f>
        <v>0</v>
      </c>
      <c r="AH129" s="47" t="b">
        <f>if(countifs('Norlane, AUS'!Q:Q,$A129,'Norlane, AUS'!$I:$I,TRUE),TRUE,FALSE)</f>
        <v>0</v>
      </c>
      <c r="AI129" s="47" t="b">
        <f>if(countifs('Meitingen, GER'!Q:Q,$A129,'Meitingen, GER'!$I:$I,TRUE),TRUE,FALSE)</f>
        <v>0</v>
      </c>
      <c r="AJ129" s="47" t="b">
        <f>if(countifs('Groningen, NL'!Q:Q,$A129,'Groningen, NL'!$I:$I,TRUE),TRUE,FALSE)</f>
        <v>0</v>
      </c>
      <c r="AK129" s="47" t="b">
        <f>if(countifs('Linköping, SW'!Q:Q,$A129,'Linköping, SW'!$I:$I,TRUE),TRUE,FALSE)</f>
        <v>0</v>
      </c>
      <c r="AL129" s="47" t="b">
        <f>if(countifs('Austin, USA'!Q:Q,$A129,'Austin, USA'!$I:$I,TRUE),TRUE,FALSE)</f>
        <v>0</v>
      </c>
      <c r="AM129" s="47" t="b">
        <f>if(countifs('Thringstone, UK'!Q:Q,$A129,'Thringstone, UK'!$I:$I,TRUE),TRUE,FALSE)</f>
        <v>0</v>
      </c>
      <c r="AN129" s="47" t="b">
        <f>if(countifs('Andover, UK'!Q:Q,$A129,'Andover, UK'!$I:$I,TRUE),TRUE,FALSE)</f>
        <v>0</v>
      </c>
      <c r="AO129" s="47" t="b">
        <f>if(countifs('Ospel, NL'!Q:Q,$A129,'Ospel, NL'!$I:$I,TRUE),TRUE,FALSE)</f>
        <v>0</v>
      </c>
      <c r="AP129" s="47" t="b">
        <f>if(countifs('Wonthaggi, AUS'!Q:Q,$A129,'Wonthaggi, AUS'!$I:$I,TRUE),TRUE,FALSE)</f>
        <v>0</v>
      </c>
      <c r="AQ129" s="47" t="b">
        <f>if(countifs('Falling_Waters, USA'!$Q:$Q,$A129,'Falling_Waters, USA'!$I:$I,TRUE),TRUE,FALSE)</f>
        <v>0</v>
      </c>
      <c r="AR129" s="47" t="b">
        <f>if(countifs('Kelmscott, AUS'!Q:Q,$A129,'Kelmscott, AUS'!$I:$I,TRUE),TRUE,FALSE)</f>
        <v>0</v>
      </c>
    </row>
    <row r="130">
      <c r="A130" s="47" t="str">
        <f>IFERROR(__xludf.DUMMYFUNCTION("""COMPUTED_VALUE"""),"pinlight")</f>
        <v>pinlight</v>
      </c>
      <c r="B130" s="47">
        <f t="shared" si="1"/>
        <v>1</v>
      </c>
      <c r="C130" s="47" t="b">
        <v>0</v>
      </c>
      <c r="D130" s="47" t="b">
        <v>0</v>
      </c>
      <c r="E130" s="47" t="b">
        <v>0</v>
      </c>
      <c r="F130" s="47" t="b">
        <v>0</v>
      </c>
      <c r="G130" s="96"/>
      <c r="H130" s="96" t="b">
        <f>if(countifs('Berlin, GER'!Q:Q,A130,'Berlin, GER'!I:I,TRUE),TRUE,FALSE)</f>
        <v>0</v>
      </c>
      <c r="I130" s="96" t="b">
        <f>if(countifs('Escondido, USA'!Q:Q,A130,'Escondido, USA'!I:I,TRUE),TRUE,FALSE)</f>
        <v>0</v>
      </c>
      <c r="J130" s="96" t="b">
        <f>if(countifs('Onkaparinga_Hills, AUS'!Q:Q,A130,'Onkaparinga_Hills, AUS'!I:I,TRUE),TRUE,FALSE)</f>
        <v>0</v>
      </c>
      <c r="K130" s="96" t="b">
        <f>if(countifs('Perth, AUS'!Q:Q,A130,'Perth, AUS'!I:I,TRUE),TRUE,FALSE)</f>
        <v>0</v>
      </c>
      <c r="L130" s="96" t="b">
        <f>if(countifs('Raleigh, USA'!Q:Q,A130,'Raleigh, USA'!I:I,TRUE),TRUE,FALSE)</f>
        <v>0</v>
      </c>
      <c r="M130" s="96" t="b">
        <f>if(countifs('Browns Plains, AUS'!Q:Q,A130,'Browns Plains, AUS'!I:I,TRUE),TRUE,FALSE)</f>
        <v>0</v>
      </c>
      <c r="N130" s="96" t="b">
        <f>if(countifs('Brossard, CAN'!Q:Q,A130,'Brossard, CAN'!I:I,TRUE),TRUE,FALSE)</f>
        <v>0</v>
      </c>
      <c r="O130" s="96" t="b">
        <f>if(countifs('Gouda, NL'!Q:Q,$A130,'Gouda, NL'!$I:$I,TRUE),TRUE,FALSE)</f>
        <v>0</v>
      </c>
      <c r="P130" s="47" t="b">
        <f>if(countifs('Plympton, UK'!Q:Q,$A130,'Plympton, UK'!$I:$I,TRUE),TRUE,FALSE)</f>
        <v>0</v>
      </c>
      <c r="Q130" s="47" t="b">
        <f>if(countifs('Glen Oaks, USA'!Q:Q,$A130,'Glen Oaks, USA'!$I:$I,TRUE),TRUE,FALSE)</f>
        <v>0</v>
      </c>
      <c r="R130" s="47" t="b">
        <f>if(countifs('Chemnitz, GER'!Q:Q,$A130,'Chemnitz, GER'!I:I,TRUE),TRUE,FALSE)</f>
        <v>0</v>
      </c>
      <c r="S130" s="47" t="b">
        <f>if(countifs('Vosselaar, BE'!Q:Q,$A130,'Vosselaar, BE'!$I:$I,TRUE),TRUE,FALSE)</f>
        <v>0</v>
      </c>
      <c r="T130" s="47" t="b">
        <f>if(countifs('MHQ, USA'!Q:Q,$A130,'MHQ, USA'!$I:$I,TRUE),TRUE,FALSE)</f>
        <v>0</v>
      </c>
      <c r="U130" s="47" t="b">
        <f>if(countifs('Morayfield, AUS'!Q:Q,$A130,'Morayfield, AUS'!$I:$I,TRUE),TRUE,FALSE)</f>
        <v>0</v>
      </c>
      <c r="V130" s="11" t="b">
        <f>if(countifs('Arnhem, NL'!Q:Q,$A130,'Arnhem, NL'!$I:$I,TRUE),TRUE,FALSE)</f>
        <v>0</v>
      </c>
      <c r="W130" s="47" t="b">
        <f>if(countifs('Gotenborg, SW'!Q:Q,$A130,'Gotenborg, SW'!$I:$I,TRUE),TRUE,FALSE)</f>
        <v>0</v>
      </c>
      <c r="X130" s="47" t="b">
        <f>if(countifs('Shepparton, AUS'!Q:Q,$A130,'Shepparton, AUS'!$I:$I,TRUE),TRUE,FALSE)</f>
        <v>0</v>
      </c>
      <c r="Y130" s="47" t="b">
        <f>if(countifs('Hoofddorp, NL'!Q:Q,$A130,'Hoofddorp, NL'!$I:$I,TRUE),TRUE,FALSE)</f>
        <v>0</v>
      </c>
      <c r="Z130" s="47" t="b">
        <f>if(countifs('Bedford, UK'!Q:Q,$A130,'Bedford, UK'!$I:$I,TRUE),TRUE,FALSE)</f>
        <v>0</v>
      </c>
      <c r="AA130" s="47" t="b">
        <f>IF(COUNTIFS('Desert Lodge, USA'!Q:Q,$A130,'Desert Lodge, USA'!I:I,TRUE),TRUE,FALSE)</f>
        <v>0</v>
      </c>
      <c r="AB130" s="47" t="b">
        <f>if(countifs('Dapto, AUS'!Q:Q,$A130,'Dapto, AUS'!$I:$I,TRUE),TRUE,FALSE)</f>
        <v>0</v>
      </c>
      <c r="AC130" s="47" t="b">
        <f>if(countifs('New Westminster, CAN'!Q:Q,$A130,'New Westminster, CAN'!$I:$I,TRUE),TRUE,FALSE)</f>
        <v>1</v>
      </c>
      <c r="AD130" s="47" t="b">
        <f>if(countifs('Georgetown, CAN'!Q:Q,$A130,'Georgetown, CAN'!$I:$I,TRUE),TRUE,FALSE)</f>
        <v>0</v>
      </c>
      <c r="AE130" s="47" t="b">
        <f>if(countifs('Kingswood, UK'!Q:Q,$A130,'Kingswood, UK'!$I:$I,TRUE),TRUE,FALSE)</f>
        <v>0</v>
      </c>
      <c r="AF130" s="47" t="b">
        <f>if(countifs('Hagerstown, USA'!Q:Q,$A130,'Hagerstown, USA'!$I:$I,TRUE),TRUE,FALSE)</f>
        <v>0</v>
      </c>
      <c r="AG130" s="47" t="b">
        <f>if(countifs('Felsogalla, HU'!Q:Q,$A130,'Felsogalla, HU'!$I:$I,TRUE),TRUE,FALSE)</f>
        <v>0</v>
      </c>
      <c r="AH130" s="47" t="b">
        <f>if(countifs('Norlane, AUS'!Q:Q,$A130,'Norlane, AUS'!$I:$I,TRUE),TRUE,FALSE)</f>
        <v>0</v>
      </c>
      <c r="AI130" s="47" t="b">
        <f>if(countifs('Meitingen, GER'!Q:Q,$A130,'Meitingen, GER'!$I:$I,TRUE),TRUE,FALSE)</f>
        <v>0</v>
      </c>
      <c r="AJ130" s="47" t="b">
        <f>if(countifs('Groningen, NL'!Q:Q,$A130,'Groningen, NL'!$I:$I,TRUE),TRUE,FALSE)</f>
        <v>0</v>
      </c>
      <c r="AK130" s="47" t="b">
        <f>if(countifs('Linköping, SW'!Q:Q,$A130,'Linköping, SW'!$I:$I,TRUE),TRUE,FALSE)</f>
        <v>0</v>
      </c>
      <c r="AL130" s="47" t="b">
        <f>if(countifs('Austin, USA'!Q:Q,$A130,'Austin, USA'!$I:$I,TRUE),TRUE,FALSE)</f>
        <v>0</v>
      </c>
      <c r="AM130" s="47" t="b">
        <f>if(countifs('Thringstone, UK'!Q:Q,$A130,'Thringstone, UK'!$I:$I,TRUE),TRUE,FALSE)</f>
        <v>0</v>
      </c>
      <c r="AN130" s="47" t="b">
        <f>if(countifs('Andover, UK'!Q:Q,$A130,'Andover, UK'!$I:$I,TRUE),TRUE,FALSE)</f>
        <v>0</v>
      </c>
      <c r="AO130" s="47" t="b">
        <f>if(countifs('Ospel, NL'!Q:Q,$A130,'Ospel, NL'!$I:$I,TRUE),TRUE,FALSE)</f>
        <v>0</v>
      </c>
      <c r="AP130" s="47" t="b">
        <f>if(countifs('Wonthaggi, AUS'!Q:Q,$A130,'Wonthaggi, AUS'!$I:$I,TRUE),TRUE,FALSE)</f>
        <v>0</v>
      </c>
      <c r="AQ130" s="47" t="b">
        <f>if(countifs('Falling_Waters, USA'!$Q:$Q,$A130,'Falling_Waters, USA'!$I:$I,TRUE),TRUE,FALSE)</f>
        <v>0</v>
      </c>
      <c r="AR130" s="47" t="b">
        <f>if(countifs('Kelmscott, AUS'!Q:Q,$A130,'Kelmscott, AUS'!$I:$I,TRUE),TRUE,FALSE)</f>
        <v>0</v>
      </c>
    </row>
    <row r="131">
      <c r="A131" s="47" t="str">
        <f>IFERROR(__xludf.DUMMYFUNCTION("""COMPUTED_VALUE"""),"Girlteddy5")</f>
        <v>Girlteddy5</v>
      </c>
      <c r="B131" s="47">
        <f t="shared" si="1"/>
        <v>5</v>
      </c>
      <c r="C131" s="47" t="b">
        <v>0</v>
      </c>
      <c r="D131" s="47" t="b">
        <v>0</v>
      </c>
      <c r="E131" s="47" t="b">
        <v>0</v>
      </c>
      <c r="F131" s="47" t="b">
        <v>0</v>
      </c>
      <c r="G131" s="96"/>
      <c r="H131" s="96" t="b">
        <f>if(countifs('Berlin, GER'!Q:Q,A131,'Berlin, GER'!I:I,TRUE),TRUE,FALSE)</f>
        <v>0</v>
      </c>
      <c r="I131" s="96" t="b">
        <f>if(countifs('Escondido, USA'!Q:Q,A131,'Escondido, USA'!I:I,TRUE),TRUE,FALSE)</f>
        <v>0</v>
      </c>
      <c r="J131" s="96" t="b">
        <f>if(countifs('Onkaparinga_Hills, AUS'!Q:Q,A131,'Onkaparinga_Hills, AUS'!I:I,TRUE),TRUE,FALSE)</f>
        <v>0</v>
      </c>
      <c r="K131" s="96" t="b">
        <f>if(countifs('Perth, AUS'!Q:Q,A131,'Perth, AUS'!I:I,TRUE),TRUE,FALSE)</f>
        <v>0</v>
      </c>
      <c r="L131" s="96" t="b">
        <f>if(countifs('Raleigh, USA'!Q:Q,A131,'Raleigh, USA'!I:I,TRUE),TRUE,FALSE)</f>
        <v>0</v>
      </c>
      <c r="M131" s="96" t="b">
        <f>if(countifs('Browns Plains, AUS'!Q:Q,A131,'Browns Plains, AUS'!I:I,TRUE),TRUE,FALSE)</f>
        <v>0</v>
      </c>
      <c r="N131" s="96" t="b">
        <f>if(countifs('Brossard, CAN'!Q:Q,A131,'Brossard, CAN'!I:I,TRUE),TRUE,FALSE)</f>
        <v>0</v>
      </c>
      <c r="O131" s="96" t="b">
        <f>if(countifs('Gouda, NL'!Q:Q,$A131,'Gouda, NL'!$I:$I,TRUE),TRUE,FALSE)</f>
        <v>0</v>
      </c>
      <c r="P131" s="47" t="b">
        <f>if(countifs('Plympton, UK'!Q:Q,$A131,'Plympton, UK'!$I:$I,TRUE),TRUE,FALSE)</f>
        <v>0</v>
      </c>
      <c r="Q131" s="47" t="b">
        <f>if(countifs('Glen Oaks, USA'!Q:Q,$A131,'Glen Oaks, USA'!$I:$I,TRUE),TRUE,FALSE)</f>
        <v>0</v>
      </c>
      <c r="R131" s="47" t="b">
        <f>if(countifs('Chemnitz, GER'!Q:Q,$A131,'Chemnitz, GER'!I:I,TRUE),TRUE,FALSE)</f>
        <v>0</v>
      </c>
      <c r="S131" s="47" t="b">
        <f>if(countifs('Vosselaar, BE'!Q:Q,$A131,'Vosselaar, BE'!$I:$I,TRUE),TRUE,FALSE)</f>
        <v>0</v>
      </c>
      <c r="T131" s="47" t="b">
        <f>if(countifs('MHQ, USA'!Q:Q,$A131,'MHQ, USA'!$I:$I,TRUE),TRUE,FALSE)</f>
        <v>0</v>
      </c>
      <c r="U131" s="47" t="b">
        <f>if(countifs('Morayfield, AUS'!Q:Q,$A131,'Morayfield, AUS'!$I:$I,TRUE),TRUE,FALSE)</f>
        <v>0</v>
      </c>
      <c r="V131" s="11" t="b">
        <f>if(countifs('Arnhem, NL'!Q:Q,$A131,'Arnhem, NL'!$I:$I,TRUE),TRUE,FALSE)</f>
        <v>0</v>
      </c>
      <c r="W131" s="47" t="b">
        <f>if(countifs('Gotenborg, SW'!Q:Q,$A131,'Gotenborg, SW'!$I:$I,TRUE),TRUE,FALSE)</f>
        <v>0</v>
      </c>
      <c r="X131" s="47" t="b">
        <f>if(countifs('Shepparton, AUS'!Q:Q,$A131,'Shepparton, AUS'!$I:$I,TRUE),TRUE,FALSE)</f>
        <v>0</v>
      </c>
      <c r="Y131" s="47" t="b">
        <f>if(countifs('Hoofddorp, NL'!Q:Q,$A131,'Hoofddorp, NL'!$I:$I,TRUE),TRUE,FALSE)</f>
        <v>0</v>
      </c>
      <c r="Z131" s="47" t="b">
        <f>if(countifs('Bedford, UK'!Q:Q,$A131,'Bedford, UK'!$I:$I,TRUE),TRUE,FALSE)</f>
        <v>0</v>
      </c>
      <c r="AA131" s="47" t="b">
        <f>IF(COUNTIFS('Desert Lodge, USA'!Q:Q,$A131,'Desert Lodge, USA'!I:I,TRUE),TRUE,FALSE)</f>
        <v>0</v>
      </c>
      <c r="AB131" s="47" t="b">
        <f>if(countifs('Dapto, AUS'!Q:Q,$A131,'Dapto, AUS'!$I:$I,TRUE),TRUE,FALSE)</f>
        <v>0</v>
      </c>
      <c r="AC131" s="47" t="b">
        <f>if(countifs('New Westminster, CAN'!Q:Q,$A131,'New Westminster, CAN'!$I:$I,TRUE),TRUE,FALSE)</f>
        <v>1</v>
      </c>
      <c r="AD131" s="47" t="b">
        <f>if(countifs('Georgetown, CAN'!Q:Q,$A131,'Georgetown, CAN'!$I:$I,TRUE),TRUE,FALSE)</f>
        <v>0</v>
      </c>
      <c r="AE131" s="47" t="b">
        <f>if(countifs('Kingswood, UK'!Q:Q,$A131,'Kingswood, UK'!$I:$I,TRUE),TRUE,FALSE)</f>
        <v>0</v>
      </c>
      <c r="AF131" s="47" t="b">
        <f>if(countifs('Hagerstown, USA'!Q:Q,$A131,'Hagerstown, USA'!$I:$I,TRUE),TRUE,FALSE)</f>
        <v>0</v>
      </c>
      <c r="AG131" s="47" t="b">
        <f>if(countifs('Felsogalla, HU'!Q:Q,$A131,'Felsogalla, HU'!$I:$I,TRUE),TRUE,FALSE)</f>
        <v>0</v>
      </c>
      <c r="AH131" s="47" t="b">
        <f>if(countifs('Norlane, AUS'!Q:Q,$A131,'Norlane, AUS'!$I:$I,TRUE),TRUE,FALSE)</f>
        <v>1</v>
      </c>
      <c r="AI131" s="47" t="b">
        <f>if(countifs('Meitingen, GER'!Q:Q,$A131,'Meitingen, GER'!$I:$I,TRUE),TRUE,FALSE)</f>
        <v>0</v>
      </c>
      <c r="AJ131" s="47" t="b">
        <f>if(countifs('Groningen, NL'!Q:Q,$A131,'Groningen, NL'!$I:$I,TRUE),TRUE,FALSE)</f>
        <v>1</v>
      </c>
      <c r="AK131" s="47" t="b">
        <f>if(countifs('Linköping, SW'!Q:Q,$A131,'Linköping, SW'!$I:$I,TRUE),TRUE,FALSE)</f>
        <v>0</v>
      </c>
      <c r="AL131" s="47" t="b">
        <f>if(countifs('Austin, USA'!Q:Q,$A131,'Austin, USA'!$I:$I,TRUE),TRUE,FALSE)</f>
        <v>0</v>
      </c>
      <c r="AM131" s="47" t="b">
        <f>if(countifs('Thringstone, UK'!Q:Q,$A131,'Thringstone, UK'!$I:$I,TRUE),TRUE,FALSE)</f>
        <v>1</v>
      </c>
      <c r="AN131" s="47" t="b">
        <f>if(countifs('Andover, UK'!Q:Q,$A131,'Andover, UK'!$I:$I,TRUE),TRUE,FALSE)</f>
        <v>0</v>
      </c>
      <c r="AO131" s="47" t="b">
        <f>if(countifs('Ospel, NL'!Q:Q,$A131,'Ospel, NL'!$I:$I,TRUE),TRUE,FALSE)</f>
        <v>1</v>
      </c>
      <c r="AP131" s="47" t="b">
        <f>if(countifs('Wonthaggi, AUS'!Q:Q,$A131,'Wonthaggi, AUS'!$I:$I,TRUE),TRUE,FALSE)</f>
        <v>0</v>
      </c>
      <c r="AQ131" s="47" t="b">
        <f>if(countifs('Falling_Waters, USA'!$Q:$Q,$A131,'Falling_Waters, USA'!$I:$I,TRUE),TRUE,FALSE)</f>
        <v>0</v>
      </c>
      <c r="AR131" s="47" t="b">
        <f>if(countifs('Kelmscott, AUS'!Q:Q,$A131,'Kelmscott, AUS'!$I:$I,TRUE),TRUE,FALSE)</f>
        <v>0</v>
      </c>
    </row>
    <row r="132">
      <c r="A132" s="47" t="str">
        <f>IFERROR(__xludf.DUMMYFUNCTION("""COMPUTED_VALUE"""),"nyboss")</f>
        <v>nyboss</v>
      </c>
      <c r="B132" s="47">
        <f t="shared" si="1"/>
        <v>1</v>
      </c>
      <c r="C132" s="47" t="b">
        <v>0</v>
      </c>
      <c r="D132" s="47" t="b">
        <v>0</v>
      </c>
      <c r="E132" s="47" t="b">
        <v>0</v>
      </c>
      <c r="F132" s="47" t="b">
        <v>0</v>
      </c>
      <c r="G132" s="96"/>
      <c r="H132" s="96" t="b">
        <f>if(countifs('Berlin, GER'!Q:Q,A132,'Berlin, GER'!I:I,TRUE),TRUE,FALSE)</f>
        <v>0</v>
      </c>
      <c r="I132" s="96" t="b">
        <f>if(countifs('Escondido, USA'!Q:Q,A132,'Escondido, USA'!I:I,TRUE),TRUE,FALSE)</f>
        <v>0</v>
      </c>
      <c r="J132" s="96" t="b">
        <f>if(countifs('Onkaparinga_Hills, AUS'!Q:Q,A132,'Onkaparinga_Hills, AUS'!I:I,TRUE),TRUE,FALSE)</f>
        <v>0</v>
      </c>
      <c r="K132" s="96" t="b">
        <f>if(countifs('Perth, AUS'!Q:Q,A132,'Perth, AUS'!I:I,TRUE),TRUE,FALSE)</f>
        <v>0</v>
      </c>
      <c r="L132" s="96" t="b">
        <f>if(countifs('Raleigh, USA'!Q:Q,A132,'Raleigh, USA'!I:I,TRUE),TRUE,FALSE)</f>
        <v>0</v>
      </c>
      <c r="M132" s="96" t="b">
        <f>if(countifs('Browns Plains, AUS'!Q:Q,A132,'Browns Plains, AUS'!I:I,TRUE),TRUE,FALSE)</f>
        <v>0</v>
      </c>
      <c r="N132" s="96" t="b">
        <f>if(countifs('Brossard, CAN'!Q:Q,A132,'Brossard, CAN'!I:I,TRUE),TRUE,FALSE)</f>
        <v>0</v>
      </c>
      <c r="O132" s="96" t="b">
        <f>if(countifs('Gouda, NL'!Q:Q,$A132,'Gouda, NL'!$I:$I,TRUE),TRUE,FALSE)</f>
        <v>0</v>
      </c>
      <c r="P132" s="47" t="b">
        <f>if(countifs('Plympton, UK'!Q:Q,$A132,'Plympton, UK'!$I:$I,TRUE),TRUE,FALSE)</f>
        <v>0</v>
      </c>
      <c r="Q132" s="47" t="b">
        <f>if(countifs('Glen Oaks, USA'!Q:Q,$A132,'Glen Oaks, USA'!$I:$I,TRUE),TRUE,FALSE)</f>
        <v>0</v>
      </c>
      <c r="R132" s="47" t="b">
        <f>if(countifs('Chemnitz, GER'!Q:Q,$A132,'Chemnitz, GER'!I:I,TRUE),TRUE,FALSE)</f>
        <v>0</v>
      </c>
      <c r="S132" s="47" t="b">
        <f>if(countifs('Vosselaar, BE'!Q:Q,$A132,'Vosselaar, BE'!$I:$I,TRUE),TRUE,FALSE)</f>
        <v>0</v>
      </c>
      <c r="T132" s="47" t="b">
        <f>if(countifs('MHQ, USA'!Q:Q,$A132,'MHQ, USA'!$I:$I,TRUE),TRUE,FALSE)</f>
        <v>0</v>
      </c>
      <c r="U132" s="47" t="b">
        <f>if(countifs('Morayfield, AUS'!Q:Q,$A132,'Morayfield, AUS'!$I:$I,TRUE),TRUE,FALSE)</f>
        <v>0</v>
      </c>
      <c r="V132" s="11" t="b">
        <f>if(countifs('Arnhem, NL'!Q:Q,$A132,'Arnhem, NL'!$I:$I,TRUE),TRUE,FALSE)</f>
        <v>0</v>
      </c>
      <c r="W132" s="47" t="b">
        <f>if(countifs('Gotenborg, SW'!Q:Q,$A132,'Gotenborg, SW'!$I:$I,TRUE),TRUE,FALSE)</f>
        <v>0</v>
      </c>
      <c r="X132" s="47" t="b">
        <f>if(countifs('Shepparton, AUS'!Q:Q,$A132,'Shepparton, AUS'!$I:$I,TRUE),TRUE,FALSE)</f>
        <v>0</v>
      </c>
      <c r="Y132" s="47" t="b">
        <f>if(countifs('Hoofddorp, NL'!Q:Q,$A132,'Hoofddorp, NL'!$I:$I,TRUE),TRUE,FALSE)</f>
        <v>0</v>
      </c>
      <c r="Z132" s="47" t="b">
        <f>if(countifs('Bedford, UK'!Q:Q,$A132,'Bedford, UK'!$I:$I,TRUE),TRUE,FALSE)</f>
        <v>0</v>
      </c>
      <c r="AA132" s="47" t="b">
        <f>IF(COUNTIFS('Desert Lodge, USA'!Q:Q,$A132,'Desert Lodge, USA'!I:I,TRUE),TRUE,FALSE)</f>
        <v>0</v>
      </c>
      <c r="AB132" s="47" t="b">
        <f>if(countifs('Dapto, AUS'!Q:Q,$A132,'Dapto, AUS'!$I:$I,TRUE),TRUE,FALSE)</f>
        <v>0</v>
      </c>
      <c r="AC132" s="47" t="b">
        <f>if(countifs('New Westminster, CAN'!Q:Q,$A132,'New Westminster, CAN'!$I:$I,TRUE),TRUE,FALSE)</f>
        <v>0</v>
      </c>
      <c r="AD132" s="47" t="b">
        <f>if(countifs('Georgetown, CAN'!Q:Q,$A132,'Georgetown, CAN'!$I:$I,TRUE),TRUE,FALSE)</f>
        <v>0</v>
      </c>
      <c r="AE132" s="47" t="b">
        <f>if(countifs('Kingswood, UK'!Q:Q,$A132,'Kingswood, UK'!$I:$I,TRUE),TRUE,FALSE)</f>
        <v>1</v>
      </c>
      <c r="AF132" s="47" t="b">
        <f>if(countifs('Hagerstown, USA'!Q:Q,$A132,'Hagerstown, USA'!$I:$I,TRUE),TRUE,FALSE)</f>
        <v>0</v>
      </c>
      <c r="AG132" s="47" t="b">
        <f>if(countifs('Felsogalla, HU'!Q:Q,$A132,'Felsogalla, HU'!$I:$I,TRUE),TRUE,FALSE)</f>
        <v>0</v>
      </c>
      <c r="AH132" s="47" t="b">
        <f>if(countifs('Norlane, AUS'!Q:Q,$A132,'Norlane, AUS'!$I:$I,TRUE),TRUE,FALSE)</f>
        <v>0</v>
      </c>
      <c r="AI132" s="47" t="b">
        <f>if(countifs('Meitingen, GER'!Q:Q,$A132,'Meitingen, GER'!$I:$I,TRUE),TRUE,FALSE)</f>
        <v>0</v>
      </c>
      <c r="AJ132" s="47" t="b">
        <f>if(countifs('Groningen, NL'!Q:Q,$A132,'Groningen, NL'!$I:$I,TRUE),TRUE,FALSE)</f>
        <v>0</v>
      </c>
      <c r="AK132" s="47" t="b">
        <f>if(countifs('Linköping, SW'!Q:Q,$A132,'Linköping, SW'!$I:$I,TRUE),TRUE,FALSE)</f>
        <v>0</v>
      </c>
      <c r="AL132" s="47" t="b">
        <f>if(countifs('Austin, USA'!Q:Q,$A132,'Austin, USA'!$I:$I,TRUE),TRUE,FALSE)</f>
        <v>0</v>
      </c>
      <c r="AM132" s="47" t="b">
        <f>if(countifs('Thringstone, UK'!Q:Q,$A132,'Thringstone, UK'!$I:$I,TRUE),TRUE,FALSE)</f>
        <v>0</v>
      </c>
      <c r="AN132" s="47" t="b">
        <f>if(countifs('Andover, UK'!Q:Q,$A132,'Andover, UK'!$I:$I,TRUE),TRUE,FALSE)</f>
        <v>0</v>
      </c>
      <c r="AO132" s="47" t="b">
        <f>if(countifs('Ospel, NL'!Q:Q,$A132,'Ospel, NL'!$I:$I,TRUE),TRUE,FALSE)</f>
        <v>0</v>
      </c>
      <c r="AP132" s="47" t="b">
        <f>if(countifs('Wonthaggi, AUS'!Q:Q,$A132,'Wonthaggi, AUS'!$I:$I,TRUE),TRUE,FALSE)</f>
        <v>0</v>
      </c>
      <c r="AQ132" s="47" t="b">
        <f>if(countifs('Falling_Waters, USA'!$Q:$Q,$A132,'Falling_Waters, USA'!$I:$I,TRUE),TRUE,FALSE)</f>
        <v>0</v>
      </c>
      <c r="AR132" s="47" t="b">
        <f>if(countifs('Kelmscott, AUS'!Q:Q,$A132,'Kelmscott, AUS'!$I:$I,TRUE),TRUE,FALSE)</f>
        <v>0</v>
      </c>
    </row>
    <row r="133">
      <c r="A133" s="47" t="str">
        <f>IFERROR(__xludf.DUMMYFUNCTION("""COMPUTED_VALUE"""),"tommobil")</f>
        <v>tommobil</v>
      </c>
      <c r="B133" s="47">
        <f t="shared" si="1"/>
        <v>1</v>
      </c>
      <c r="C133" s="47" t="b">
        <v>0</v>
      </c>
      <c r="D133" s="47" t="b">
        <v>0</v>
      </c>
      <c r="E133" s="47" t="b">
        <v>0</v>
      </c>
      <c r="F133" s="47" t="b">
        <v>0</v>
      </c>
      <c r="G133" s="96"/>
      <c r="H133" s="96" t="b">
        <f>if(countifs('Berlin, GER'!Q:Q,A133,'Berlin, GER'!I:I,TRUE),TRUE,FALSE)</f>
        <v>0</v>
      </c>
      <c r="I133" s="96" t="b">
        <f>if(countifs('Escondido, USA'!Q:Q,A133,'Escondido, USA'!I:I,TRUE),TRUE,FALSE)</f>
        <v>0</v>
      </c>
      <c r="J133" s="96" t="b">
        <f>if(countifs('Onkaparinga_Hills, AUS'!Q:Q,A133,'Onkaparinga_Hills, AUS'!I:I,TRUE),TRUE,FALSE)</f>
        <v>0</v>
      </c>
      <c r="K133" s="96" t="b">
        <f>if(countifs('Perth, AUS'!Q:Q,A133,'Perth, AUS'!I:I,TRUE),TRUE,FALSE)</f>
        <v>0</v>
      </c>
      <c r="L133" s="96" t="b">
        <f>if(countifs('Raleigh, USA'!Q:Q,A133,'Raleigh, USA'!I:I,TRUE),TRUE,FALSE)</f>
        <v>0</v>
      </c>
      <c r="M133" s="96" t="b">
        <f>if(countifs('Browns Plains, AUS'!Q:Q,A133,'Browns Plains, AUS'!I:I,TRUE),TRUE,FALSE)</f>
        <v>0</v>
      </c>
      <c r="N133" s="96" t="b">
        <f>if(countifs('Brossard, CAN'!Q:Q,A133,'Brossard, CAN'!I:I,TRUE),TRUE,FALSE)</f>
        <v>0</v>
      </c>
      <c r="O133" s="96" t="b">
        <f>if(countifs('Gouda, NL'!Q:Q,$A133,'Gouda, NL'!$I:$I,TRUE),TRUE,FALSE)</f>
        <v>0</v>
      </c>
      <c r="P133" s="47" t="b">
        <f>if(countifs('Plympton, UK'!Q:Q,$A133,'Plympton, UK'!$I:$I,TRUE),TRUE,FALSE)</f>
        <v>0</v>
      </c>
      <c r="Q133" s="47" t="b">
        <f>if(countifs('Glen Oaks, USA'!Q:Q,$A133,'Glen Oaks, USA'!$I:$I,TRUE),TRUE,FALSE)</f>
        <v>0</v>
      </c>
      <c r="R133" s="47" t="b">
        <f>if(countifs('Chemnitz, GER'!Q:Q,$A133,'Chemnitz, GER'!I:I,TRUE),TRUE,FALSE)</f>
        <v>0</v>
      </c>
      <c r="S133" s="47" t="b">
        <f>if(countifs('Vosselaar, BE'!Q:Q,$A133,'Vosselaar, BE'!$I:$I,TRUE),TRUE,FALSE)</f>
        <v>0</v>
      </c>
      <c r="T133" s="47" t="b">
        <f>if(countifs('MHQ, USA'!Q:Q,$A133,'MHQ, USA'!$I:$I,TRUE),TRUE,FALSE)</f>
        <v>0</v>
      </c>
      <c r="U133" s="47" t="b">
        <f>if(countifs('Morayfield, AUS'!Q:Q,$A133,'Morayfield, AUS'!$I:$I,TRUE),TRUE,FALSE)</f>
        <v>0</v>
      </c>
      <c r="V133" s="11" t="b">
        <f>if(countifs('Arnhem, NL'!Q:Q,$A133,'Arnhem, NL'!$I:$I,TRUE),TRUE,FALSE)</f>
        <v>0</v>
      </c>
      <c r="W133" s="47" t="b">
        <f>if(countifs('Gotenborg, SW'!Q:Q,$A133,'Gotenborg, SW'!$I:$I,TRUE),TRUE,FALSE)</f>
        <v>0</v>
      </c>
      <c r="X133" s="47" t="b">
        <f>if(countifs('Shepparton, AUS'!Q:Q,$A133,'Shepparton, AUS'!$I:$I,TRUE),TRUE,FALSE)</f>
        <v>0</v>
      </c>
      <c r="Y133" s="47" t="b">
        <f>if(countifs('Hoofddorp, NL'!Q:Q,$A133,'Hoofddorp, NL'!$I:$I,TRUE),TRUE,FALSE)</f>
        <v>0</v>
      </c>
      <c r="Z133" s="47" t="b">
        <f>if(countifs('Bedford, UK'!Q:Q,$A133,'Bedford, UK'!$I:$I,TRUE),TRUE,FALSE)</f>
        <v>0</v>
      </c>
      <c r="AA133" s="47" t="b">
        <f>IF(COUNTIFS('Desert Lodge, USA'!Q:Q,$A133,'Desert Lodge, USA'!I:I,TRUE),TRUE,FALSE)</f>
        <v>0</v>
      </c>
      <c r="AB133" s="47" t="b">
        <f>if(countifs('Dapto, AUS'!Q:Q,$A133,'Dapto, AUS'!$I:$I,TRUE),TRUE,FALSE)</f>
        <v>0</v>
      </c>
      <c r="AC133" s="47" t="b">
        <f>if(countifs('New Westminster, CAN'!Q:Q,$A133,'New Westminster, CAN'!$I:$I,TRUE),TRUE,FALSE)</f>
        <v>0</v>
      </c>
      <c r="AD133" s="47" t="b">
        <f>if(countifs('Georgetown, CAN'!Q:Q,$A133,'Georgetown, CAN'!$I:$I,TRUE),TRUE,FALSE)</f>
        <v>0</v>
      </c>
      <c r="AE133" s="47" t="b">
        <f>if(countifs('Kingswood, UK'!Q:Q,$A133,'Kingswood, UK'!$I:$I,TRUE),TRUE,FALSE)</f>
        <v>0</v>
      </c>
      <c r="AF133" s="47" t="b">
        <f>if(countifs('Hagerstown, USA'!Q:Q,$A133,'Hagerstown, USA'!$I:$I,TRUE),TRUE,FALSE)</f>
        <v>0</v>
      </c>
      <c r="AG133" s="47" t="b">
        <f>if(countifs('Felsogalla, HU'!Q:Q,$A133,'Felsogalla, HU'!$I:$I,TRUE),TRUE,FALSE)</f>
        <v>1</v>
      </c>
      <c r="AH133" s="47" t="b">
        <f>if(countifs('Norlane, AUS'!Q:Q,$A133,'Norlane, AUS'!$I:$I,TRUE),TRUE,FALSE)</f>
        <v>0</v>
      </c>
      <c r="AI133" s="47" t="b">
        <f>if(countifs('Meitingen, GER'!Q:Q,$A133,'Meitingen, GER'!$I:$I,TRUE),TRUE,FALSE)</f>
        <v>0</v>
      </c>
      <c r="AJ133" s="47" t="b">
        <f>if(countifs('Groningen, NL'!Q:Q,$A133,'Groningen, NL'!$I:$I,TRUE),TRUE,FALSE)</f>
        <v>0</v>
      </c>
      <c r="AK133" s="47" t="b">
        <f>if(countifs('Linköping, SW'!Q:Q,$A133,'Linköping, SW'!$I:$I,TRUE),TRUE,FALSE)</f>
        <v>0</v>
      </c>
      <c r="AL133" s="47" t="b">
        <f>if(countifs('Austin, USA'!Q:Q,$A133,'Austin, USA'!$I:$I,TRUE),TRUE,FALSE)</f>
        <v>0</v>
      </c>
      <c r="AM133" s="47" t="b">
        <f>if(countifs('Thringstone, UK'!Q:Q,$A133,'Thringstone, UK'!$I:$I,TRUE),TRUE,FALSE)</f>
        <v>0</v>
      </c>
      <c r="AN133" s="47" t="b">
        <f>if(countifs('Andover, UK'!Q:Q,$A133,'Andover, UK'!$I:$I,TRUE),TRUE,FALSE)</f>
        <v>0</v>
      </c>
      <c r="AO133" s="47" t="b">
        <f>if(countifs('Ospel, NL'!Q:Q,$A133,'Ospel, NL'!$I:$I,TRUE),TRUE,FALSE)</f>
        <v>0</v>
      </c>
      <c r="AP133" s="47" t="b">
        <f>if(countifs('Wonthaggi, AUS'!Q:Q,$A133,'Wonthaggi, AUS'!$I:$I,TRUE),TRUE,FALSE)</f>
        <v>0</v>
      </c>
      <c r="AQ133" s="47" t="b">
        <f>if(countifs('Falling_Waters, USA'!$Q:$Q,$A133,'Falling_Waters, USA'!$I:$I,TRUE),TRUE,FALSE)</f>
        <v>0</v>
      </c>
      <c r="AR133" s="47" t="b">
        <f>if(countifs('Kelmscott, AUS'!Q:Q,$A133,'Kelmscott, AUS'!$I:$I,TRUE),TRUE,FALSE)</f>
        <v>0</v>
      </c>
    </row>
    <row r="134">
      <c r="A134" s="47" t="str">
        <f>IFERROR(__xludf.DUMMYFUNCTION("""COMPUTED_VALUE"""),"Csiki86")</f>
        <v>Csiki86</v>
      </c>
      <c r="B134" s="47">
        <f t="shared" si="1"/>
        <v>1</v>
      </c>
      <c r="C134" s="47" t="b">
        <v>0</v>
      </c>
      <c r="D134" s="47" t="b">
        <v>0</v>
      </c>
      <c r="E134" s="47" t="b">
        <v>0</v>
      </c>
      <c r="F134" s="47" t="b">
        <v>0</v>
      </c>
      <c r="G134" s="96"/>
      <c r="H134" s="96" t="b">
        <f>if(countifs('Berlin, GER'!Q:Q,A134,'Berlin, GER'!I:I,TRUE),TRUE,FALSE)</f>
        <v>0</v>
      </c>
      <c r="I134" s="96" t="b">
        <f>if(countifs('Escondido, USA'!Q:Q,A134,'Escondido, USA'!I:I,TRUE),TRUE,FALSE)</f>
        <v>0</v>
      </c>
      <c r="J134" s="96" t="b">
        <f>if(countifs('Onkaparinga_Hills, AUS'!Q:Q,A134,'Onkaparinga_Hills, AUS'!I:I,TRUE),TRUE,FALSE)</f>
        <v>0</v>
      </c>
      <c r="K134" s="96" t="b">
        <f>if(countifs('Perth, AUS'!Q:Q,A134,'Perth, AUS'!I:I,TRUE),TRUE,FALSE)</f>
        <v>0</v>
      </c>
      <c r="L134" s="96" t="b">
        <f>if(countifs('Raleigh, USA'!Q:Q,A134,'Raleigh, USA'!I:I,TRUE),TRUE,FALSE)</f>
        <v>0</v>
      </c>
      <c r="M134" s="96" t="b">
        <f>if(countifs('Browns Plains, AUS'!Q:Q,A134,'Browns Plains, AUS'!I:I,TRUE),TRUE,FALSE)</f>
        <v>0</v>
      </c>
      <c r="N134" s="96" t="b">
        <f>if(countifs('Brossard, CAN'!Q:Q,A134,'Brossard, CAN'!I:I,TRUE),TRUE,FALSE)</f>
        <v>0</v>
      </c>
      <c r="O134" s="96" t="b">
        <f>if(countifs('Gouda, NL'!Q:Q,$A134,'Gouda, NL'!$I:$I,TRUE),TRUE,FALSE)</f>
        <v>0</v>
      </c>
      <c r="P134" s="47" t="b">
        <f>if(countifs('Plympton, UK'!Q:Q,$A134,'Plympton, UK'!$I:$I,TRUE),TRUE,FALSE)</f>
        <v>0</v>
      </c>
      <c r="Q134" s="47" t="b">
        <f>if(countifs('Glen Oaks, USA'!Q:Q,$A134,'Glen Oaks, USA'!$I:$I,TRUE),TRUE,FALSE)</f>
        <v>0</v>
      </c>
      <c r="R134" s="47" t="b">
        <f>if(countifs('Chemnitz, GER'!Q:Q,$A134,'Chemnitz, GER'!I:I,TRUE),TRUE,FALSE)</f>
        <v>0</v>
      </c>
      <c r="S134" s="47" t="b">
        <f>if(countifs('Vosselaar, BE'!Q:Q,$A134,'Vosselaar, BE'!$I:$I,TRUE),TRUE,FALSE)</f>
        <v>0</v>
      </c>
      <c r="T134" s="47" t="b">
        <f>if(countifs('MHQ, USA'!Q:Q,$A134,'MHQ, USA'!$I:$I,TRUE),TRUE,FALSE)</f>
        <v>0</v>
      </c>
      <c r="U134" s="47" t="b">
        <f>if(countifs('Morayfield, AUS'!Q:Q,$A134,'Morayfield, AUS'!$I:$I,TRUE),TRUE,FALSE)</f>
        <v>0</v>
      </c>
      <c r="V134" s="11" t="b">
        <f>if(countifs('Arnhem, NL'!Q:Q,$A134,'Arnhem, NL'!$I:$I,TRUE),TRUE,FALSE)</f>
        <v>0</v>
      </c>
      <c r="W134" s="47" t="b">
        <f>if(countifs('Gotenborg, SW'!Q:Q,$A134,'Gotenborg, SW'!$I:$I,TRUE),TRUE,FALSE)</f>
        <v>0</v>
      </c>
      <c r="X134" s="47" t="b">
        <f>if(countifs('Shepparton, AUS'!Q:Q,$A134,'Shepparton, AUS'!$I:$I,TRUE),TRUE,FALSE)</f>
        <v>0</v>
      </c>
      <c r="Y134" s="47" t="b">
        <f>if(countifs('Hoofddorp, NL'!Q:Q,$A134,'Hoofddorp, NL'!$I:$I,TRUE),TRUE,FALSE)</f>
        <v>0</v>
      </c>
      <c r="Z134" s="47" t="b">
        <f>if(countifs('Bedford, UK'!Q:Q,$A134,'Bedford, UK'!$I:$I,TRUE),TRUE,FALSE)</f>
        <v>0</v>
      </c>
      <c r="AA134" s="47" t="b">
        <f>IF(COUNTIFS('Desert Lodge, USA'!Q:Q,$A134,'Desert Lodge, USA'!I:I,TRUE),TRUE,FALSE)</f>
        <v>0</v>
      </c>
      <c r="AB134" s="47" t="b">
        <f>if(countifs('Dapto, AUS'!Q:Q,$A134,'Dapto, AUS'!$I:$I,TRUE),TRUE,FALSE)</f>
        <v>0</v>
      </c>
      <c r="AC134" s="47" t="b">
        <f>if(countifs('New Westminster, CAN'!Q:Q,$A134,'New Westminster, CAN'!$I:$I,TRUE),TRUE,FALSE)</f>
        <v>0</v>
      </c>
      <c r="AD134" s="47" t="b">
        <f>if(countifs('Georgetown, CAN'!Q:Q,$A134,'Georgetown, CAN'!$I:$I,TRUE),TRUE,FALSE)</f>
        <v>0</v>
      </c>
      <c r="AE134" s="47" t="b">
        <f>if(countifs('Kingswood, UK'!Q:Q,$A134,'Kingswood, UK'!$I:$I,TRUE),TRUE,FALSE)</f>
        <v>0</v>
      </c>
      <c r="AF134" s="47" t="b">
        <f>if(countifs('Hagerstown, USA'!Q:Q,$A134,'Hagerstown, USA'!$I:$I,TRUE),TRUE,FALSE)</f>
        <v>0</v>
      </c>
      <c r="AG134" s="47" t="b">
        <f>if(countifs('Felsogalla, HU'!Q:Q,$A134,'Felsogalla, HU'!$I:$I,TRUE),TRUE,FALSE)</f>
        <v>1</v>
      </c>
      <c r="AH134" s="47" t="b">
        <f>if(countifs('Norlane, AUS'!Q:Q,$A134,'Norlane, AUS'!$I:$I,TRUE),TRUE,FALSE)</f>
        <v>0</v>
      </c>
      <c r="AI134" s="47" t="b">
        <f>if(countifs('Meitingen, GER'!Q:Q,$A134,'Meitingen, GER'!$I:$I,TRUE),TRUE,FALSE)</f>
        <v>0</v>
      </c>
      <c r="AJ134" s="47" t="b">
        <f>if(countifs('Groningen, NL'!Q:Q,$A134,'Groningen, NL'!$I:$I,TRUE),TRUE,FALSE)</f>
        <v>0</v>
      </c>
      <c r="AK134" s="47" t="b">
        <f>if(countifs('Linköping, SW'!Q:Q,$A134,'Linköping, SW'!$I:$I,TRUE),TRUE,FALSE)</f>
        <v>0</v>
      </c>
      <c r="AL134" s="47" t="b">
        <f>if(countifs('Austin, USA'!Q:Q,$A134,'Austin, USA'!$I:$I,TRUE),TRUE,FALSE)</f>
        <v>0</v>
      </c>
      <c r="AM134" s="47" t="b">
        <f>if(countifs('Thringstone, UK'!Q:Q,$A134,'Thringstone, UK'!$I:$I,TRUE),TRUE,FALSE)</f>
        <v>0</v>
      </c>
      <c r="AN134" s="47" t="b">
        <f>if(countifs('Andover, UK'!Q:Q,$A134,'Andover, UK'!$I:$I,TRUE),TRUE,FALSE)</f>
        <v>0</v>
      </c>
      <c r="AO134" s="47" t="b">
        <f>if(countifs('Ospel, NL'!Q:Q,$A134,'Ospel, NL'!$I:$I,TRUE),TRUE,FALSE)</f>
        <v>0</v>
      </c>
      <c r="AP134" s="47" t="b">
        <f>if(countifs('Wonthaggi, AUS'!Q:Q,$A134,'Wonthaggi, AUS'!$I:$I,TRUE),TRUE,FALSE)</f>
        <v>0</v>
      </c>
      <c r="AQ134" s="47" t="b">
        <f>if(countifs('Falling_Waters, USA'!$Q:$Q,$A134,'Falling_Waters, USA'!$I:$I,TRUE),TRUE,FALSE)</f>
        <v>0</v>
      </c>
      <c r="AR134" s="47" t="b">
        <f>if(countifs('Kelmscott, AUS'!Q:Q,$A134,'Kelmscott, AUS'!$I:$I,TRUE),TRUE,FALSE)</f>
        <v>0</v>
      </c>
    </row>
    <row r="135">
      <c r="A135" s="47" t="str">
        <f>IFERROR(__xludf.DUMMYFUNCTION("""COMPUTED_VALUE"""),"alexmester")</f>
        <v>alexmester</v>
      </c>
      <c r="B135" s="47">
        <f t="shared" si="1"/>
        <v>1</v>
      </c>
      <c r="C135" s="47" t="b">
        <v>0</v>
      </c>
      <c r="D135" s="47" t="b">
        <v>0</v>
      </c>
      <c r="E135" s="47" t="b">
        <v>0</v>
      </c>
      <c r="F135" s="47" t="b">
        <v>0</v>
      </c>
      <c r="G135" s="96"/>
      <c r="H135" s="96" t="b">
        <f>if(countifs('Berlin, GER'!Q:Q,A135,'Berlin, GER'!I:I,TRUE),TRUE,FALSE)</f>
        <v>0</v>
      </c>
      <c r="I135" s="96" t="b">
        <f>if(countifs('Escondido, USA'!Q:Q,A135,'Escondido, USA'!I:I,TRUE),TRUE,FALSE)</f>
        <v>0</v>
      </c>
      <c r="J135" s="96" t="b">
        <f>if(countifs('Onkaparinga_Hills, AUS'!Q:Q,A135,'Onkaparinga_Hills, AUS'!I:I,TRUE),TRUE,FALSE)</f>
        <v>0</v>
      </c>
      <c r="K135" s="96" t="b">
        <f>if(countifs('Perth, AUS'!Q:Q,A135,'Perth, AUS'!I:I,TRUE),TRUE,FALSE)</f>
        <v>0</v>
      </c>
      <c r="L135" s="96" t="b">
        <f>if(countifs('Raleigh, USA'!Q:Q,A135,'Raleigh, USA'!I:I,TRUE),TRUE,FALSE)</f>
        <v>0</v>
      </c>
      <c r="M135" s="96" t="b">
        <f>if(countifs('Browns Plains, AUS'!Q:Q,A135,'Browns Plains, AUS'!I:I,TRUE),TRUE,FALSE)</f>
        <v>0</v>
      </c>
      <c r="N135" s="96" t="b">
        <f>if(countifs('Brossard, CAN'!Q:Q,A135,'Brossard, CAN'!I:I,TRUE),TRUE,FALSE)</f>
        <v>0</v>
      </c>
      <c r="O135" s="96" t="b">
        <f>if(countifs('Gouda, NL'!Q:Q,$A135,'Gouda, NL'!$I:$I,TRUE),TRUE,FALSE)</f>
        <v>0</v>
      </c>
      <c r="P135" s="47" t="b">
        <f>if(countifs('Plympton, UK'!Q:Q,$A135,'Plympton, UK'!$I:$I,TRUE),TRUE,FALSE)</f>
        <v>0</v>
      </c>
      <c r="Q135" s="47" t="b">
        <f>if(countifs('Glen Oaks, USA'!Q:Q,$A135,'Glen Oaks, USA'!$I:$I,TRUE),TRUE,FALSE)</f>
        <v>0</v>
      </c>
      <c r="R135" s="47" t="b">
        <f>if(countifs('Chemnitz, GER'!Q:Q,$A135,'Chemnitz, GER'!I:I,TRUE),TRUE,FALSE)</f>
        <v>0</v>
      </c>
      <c r="S135" s="47" t="b">
        <f>if(countifs('Vosselaar, BE'!Q:Q,$A135,'Vosselaar, BE'!$I:$I,TRUE),TRUE,FALSE)</f>
        <v>0</v>
      </c>
      <c r="T135" s="47" t="b">
        <f>if(countifs('MHQ, USA'!Q:Q,$A135,'MHQ, USA'!$I:$I,TRUE),TRUE,FALSE)</f>
        <v>0</v>
      </c>
      <c r="U135" s="47" t="b">
        <f>if(countifs('Morayfield, AUS'!Q:Q,$A135,'Morayfield, AUS'!$I:$I,TRUE),TRUE,FALSE)</f>
        <v>0</v>
      </c>
      <c r="V135" s="11" t="b">
        <f>if(countifs('Arnhem, NL'!Q:Q,$A135,'Arnhem, NL'!$I:$I,TRUE),TRUE,FALSE)</f>
        <v>0</v>
      </c>
      <c r="W135" s="47" t="b">
        <f>if(countifs('Gotenborg, SW'!Q:Q,$A135,'Gotenborg, SW'!$I:$I,TRUE),TRUE,FALSE)</f>
        <v>0</v>
      </c>
      <c r="X135" s="47" t="b">
        <f>if(countifs('Shepparton, AUS'!Q:Q,$A135,'Shepparton, AUS'!$I:$I,TRUE),TRUE,FALSE)</f>
        <v>0</v>
      </c>
      <c r="Y135" s="47" t="b">
        <f>if(countifs('Hoofddorp, NL'!Q:Q,$A135,'Hoofddorp, NL'!$I:$I,TRUE),TRUE,FALSE)</f>
        <v>0</v>
      </c>
      <c r="Z135" s="47" t="b">
        <f>if(countifs('Bedford, UK'!Q:Q,$A135,'Bedford, UK'!$I:$I,TRUE),TRUE,FALSE)</f>
        <v>0</v>
      </c>
      <c r="AA135" s="47" t="b">
        <f>IF(COUNTIFS('Desert Lodge, USA'!Q:Q,$A135,'Desert Lodge, USA'!I:I,TRUE),TRUE,FALSE)</f>
        <v>0</v>
      </c>
      <c r="AB135" s="47" t="b">
        <f>if(countifs('Dapto, AUS'!Q:Q,$A135,'Dapto, AUS'!$I:$I,TRUE),TRUE,FALSE)</f>
        <v>0</v>
      </c>
      <c r="AC135" s="47" t="b">
        <f>if(countifs('New Westminster, CAN'!Q:Q,$A135,'New Westminster, CAN'!$I:$I,TRUE),TRUE,FALSE)</f>
        <v>0</v>
      </c>
      <c r="AD135" s="47" t="b">
        <f>if(countifs('Georgetown, CAN'!Q:Q,$A135,'Georgetown, CAN'!$I:$I,TRUE),TRUE,FALSE)</f>
        <v>0</v>
      </c>
      <c r="AE135" s="47" t="b">
        <f>if(countifs('Kingswood, UK'!Q:Q,$A135,'Kingswood, UK'!$I:$I,TRUE),TRUE,FALSE)</f>
        <v>0</v>
      </c>
      <c r="AF135" s="47" t="b">
        <f>if(countifs('Hagerstown, USA'!Q:Q,$A135,'Hagerstown, USA'!$I:$I,TRUE),TRUE,FALSE)</f>
        <v>0</v>
      </c>
      <c r="AG135" s="47" t="b">
        <f>if(countifs('Felsogalla, HU'!Q:Q,$A135,'Felsogalla, HU'!$I:$I,TRUE),TRUE,FALSE)</f>
        <v>1</v>
      </c>
      <c r="AH135" s="47" t="b">
        <f>if(countifs('Norlane, AUS'!Q:Q,$A135,'Norlane, AUS'!$I:$I,TRUE),TRUE,FALSE)</f>
        <v>0</v>
      </c>
      <c r="AI135" s="47" t="b">
        <f>if(countifs('Meitingen, GER'!Q:Q,$A135,'Meitingen, GER'!$I:$I,TRUE),TRUE,FALSE)</f>
        <v>0</v>
      </c>
      <c r="AJ135" s="47" t="b">
        <f>if(countifs('Groningen, NL'!Q:Q,$A135,'Groningen, NL'!$I:$I,TRUE),TRUE,FALSE)</f>
        <v>0</v>
      </c>
      <c r="AK135" s="47" t="b">
        <f>if(countifs('Linköping, SW'!Q:Q,$A135,'Linköping, SW'!$I:$I,TRUE),TRUE,FALSE)</f>
        <v>0</v>
      </c>
      <c r="AL135" s="47" t="b">
        <f>if(countifs('Austin, USA'!Q:Q,$A135,'Austin, USA'!$I:$I,TRUE),TRUE,FALSE)</f>
        <v>0</v>
      </c>
      <c r="AM135" s="47" t="b">
        <f>if(countifs('Thringstone, UK'!Q:Q,$A135,'Thringstone, UK'!$I:$I,TRUE),TRUE,FALSE)</f>
        <v>0</v>
      </c>
      <c r="AN135" s="47" t="b">
        <f>if(countifs('Andover, UK'!Q:Q,$A135,'Andover, UK'!$I:$I,TRUE),TRUE,FALSE)</f>
        <v>0</v>
      </c>
      <c r="AO135" s="47" t="b">
        <f>if(countifs('Ospel, NL'!Q:Q,$A135,'Ospel, NL'!$I:$I,TRUE),TRUE,FALSE)</f>
        <v>0</v>
      </c>
      <c r="AP135" s="47" t="b">
        <f>if(countifs('Wonthaggi, AUS'!Q:Q,$A135,'Wonthaggi, AUS'!$I:$I,TRUE),TRUE,FALSE)</f>
        <v>0</v>
      </c>
      <c r="AQ135" s="47" t="b">
        <f>if(countifs('Falling_Waters, USA'!$Q:$Q,$A135,'Falling_Waters, USA'!$I:$I,TRUE),TRUE,FALSE)</f>
        <v>0</v>
      </c>
      <c r="AR135" s="47" t="b">
        <f>if(countifs('Kelmscott, AUS'!Q:Q,$A135,'Kelmscott, AUS'!$I:$I,TRUE),TRUE,FALSE)</f>
        <v>0</v>
      </c>
    </row>
    <row r="136">
      <c r="A136" s="47" t="str">
        <f>IFERROR(__xludf.DUMMYFUNCTION("""COMPUTED_VALUE"""),"23speds")</f>
        <v>23speds</v>
      </c>
      <c r="B136" s="47">
        <f t="shared" si="1"/>
        <v>1</v>
      </c>
      <c r="C136" s="47" t="b">
        <v>0</v>
      </c>
      <c r="D136" s="47" t="b">
        <v>0</v>
      </c>
      <c r="E136" s="47" t="b">
        <v>0</v>
      </c>
      <c r="F136" s="47" t="b">
        <v>0</v>
      </c>
      <c r="G136" s="96"/>
      <c r="H136" s="96" t="b">
        <f>if(countifs('Berlin, GER'!Q:Q,A136,'Berlin, GER'!I:I,TRUE),TRUE,FALSE)</f>
        <v>0</v>
      </c>
      <c r="I136" s="96" t="b">
        <f>if(countifs('Escondido, USA'!Q:Q,A136,'Escondido, USA'!I:I,TRUE),TRUE,FALSE)</f>
        <v>0</v>
      </c>
      <c r="J136" s="96" t="b">
        <f>if(countifs('Onkaparinga_Hills, AUS'!Q:Q,A136,'Onkaparinga_Hills, AUS'!I:I,TRUE),TRUE,FALSE)</f>
        <v>0</v>
      </c>
      <c r="K136" s="96" t="b">
        <f>if(countifs('Perth, AUS'!Q:Q,A136,'Perth, AUS'!I:I,TRUE),TRUE,FALSE)</f>
        <v>0</v>
      </c>
      <c r="L136" s="96" t="b">
        <f>if(countifs('Raleigh, USA'!Q:Q,A136,'Raleigh, USA'!I:I,TRUE),TRUE,FALSE)</f>
        <v>0</v>
      </c>
      <c r="M136" s="96" t="b">
        <f>if(countifs('Browns Plains, AUS'!Q:Q,A136,'Browns Plains, AUS'!I:I,TRUE),TRUE,FALSE)</f>
        <v>0</v>
      </c>
      <c r="N136" s="96" t="b">
        <f>if(countifs('Brossard, CAN'!Q:Q,A136,'Brossard, CAN'!I:I,TRUE),TRUE,FALSE)</f>
        <v>0</v>
      </c>
      <c r="O136" s="96" t="b">
        <f>if(countifs('Gouda, NL'!Q:Q,$A136,'Gouda, NL'!$I:$I,TRUE),TRUE,FALSE)</f>
        <v>0</v>
      </c>
      <c r="P136" s="47" t="b">
        <f>if(countifs('Plympton, UK'!Q:Q,$A136,'Plympton, UK'!$I:$I,TRUE),TRUE,FALSE)</f>
        <v>0</v>
      </c>
      <c r="Q136" s="47" t="b">
        <f>if(countifs('Glen Oaks, USA'!Q:Q,$A136,'Glen Oaks, USA'!$I:$I,TRUE),TRUE,FALSE)</f>
        <v>0</v>
      </c>
      <c r="R136" s="47" t="b">
        <f>if(countifs('Chemnitz, GER'!Q:Q,$A136,'Chemnitz, GER'!I:I,TRUE),TRUE,FALSE)</f>
        <v>0</v>
      </c>
      <c r="S136" s="47" t="b">
        <f>if(countifs('Vosselaar, BE'!Q:Q,$A136,'Vosselaar, BE'!$I:$I,TRUE),TRUE,FALSE)</f>
        <v>0</v>
      </c>
      <c r="T136" s="47" t="b">
        <f>if(countifs('MHQ, USA'!Q:Q,$A136,'MHQ, USA'!$I:$I,TRUE),TRUE,FALSE)</f>
        <v>0</v>
      </c>
      <c r="U136" s="47" t="b">
        <f>if(countifs('Morayfield, AUS'!Q:Q,$A136,'Morayfield, AUS'!$I:$I,TRUE),TRUE,FALSE)</f>
        <v>0</v>
      </c>
      <c r="V136" s="11" t="b">
        <f>if(countifs('Arnhem, NL'!Q:Q,$A136,'Arnhem, NL'!$I:$I,TRUE),TRUE,FALSE)</f>
        <v>0</v>
      </c>
      <c r="W136" s="47" t="b">
        <f>if(countifs('Gotenborg, SW'!Q:Q,$A136,'Gotenborg, SW'!$I:$I,TRUE),TRUE,FALSE)</f>
        <v>0</v>
      </c>
      <c r="X136" s="47" t="b">
        <f>if(countifs('Shepparton, AUS'!Q:Q,$A136,'Shepparton, AUS'!$I:$I,TRUE),TRUE,FALSE)</f>
        <v>0</v>
      </c>
      <c r="Y136" s="47" t="b">
        <f>if(countifs('Hoofddorp, NL'!Q:Q,$A136,'Hoofddorp, NL'!$I:$I,TRUE),TRUE,FALSE)</f>
        <v>0</v>
      </c>
      <c r="Z136" s="47" t="b">
        <f>if(countifs('Bedford, UK'!Q:Q,$A136,'Bedford, UK'!$I:$I,TRUE),TRUE,FALSE)</f>
        <v>0</v>
      </c>
      <c r="AA136" s="47" t="b">
        <f>IF(COUNTIFS('Desert Lodge, USA'!Q:Q,$A136,'Desert Lodge, USA'!I:I,TRUE),TRUE,FALSE)</f>
        <v>0</v>
      </c>
      <c r="AB136" s="47" t="b">
        <f>if(countifs('Dapto, AUS'!Q:Q,$A136,'Dapto, AUS'!$I:$I,TRUE),TRUE,FALSE)</f>
        <v>0</v>
      </c>
      <c r="AC136" s="47" t="b">
        <f>if(countifs('New Westminster, CAN'!Q:Q,$A136,'New Westminster, CAN'!$I:$I,TRUE),TRUE,FALSE)</f>
        <v>0</v>
      </c>
      <c r="AD136" s="47" t="b">
        <f>if(countifs('Georgetown, CAN'!Q:Q,$A136,'Georgetown, CAN'!$I:$I,TRUE),TRUE,FALSE)</f>
        <v>0</v>
      </c>
      <c r="AE136" s="47" t="b">
        <f>if(countifs('Kingswood, UK'!Q:Q,$A136,'Kingswood, UK'!$I:$I,TRUE),TRUE,FALSE)</f>
        <v>0</v>
      </c>
      <c r="AF136" s="47" t="b">
        <f>if(countifs('Hagerstown, USA'!Q:Q,$A136,'Hagerstown, USA'!$I:$I,TRUE),TRUE,FALSE)</f>
        <v>0</v>
      </c>
      <c r="AG136" s="47" t="b">
        <f>if(countifs('Felsogalla, HU'!Q:Q,$A136,'Felsogalla, HU'!$I:$I,TRUE),TRUE,FALSE)</f>
        <v>0</v>
      </c>
      <c r="AH136" s="47" t="b">
        <f>if(countifs('Norlane, AUS'!Q:Q,$A136,'Norlane, AUS'!$I:$I,TRUE),TRUE,FALSE)</f>
        <v>1</v>
      </c>
      <c r="AI136" s="47" t="b">
        <f>if(countifs('Meitingen, GER'!Q:Q,$A136,'Meitingen, GER'!$I:$I,TRUE),TRUE,FALSE)</f>
        <v>0</v>
      </c>
      <c r="AJ136" s="47" t="b">
        <f>if(countifs('Groningen, NL'!Q:Q,$A136,'Groningen, NL'!$I:$I,TRUE),TRUE,FALSE)</f>
        <v>0</v>
      </c>
      <c r="AK136" s="47" t="b">
        <f>if(countifs('Linköping, SW'!Q:Q,$A136,'Linköping, SW'!$I:$I,TRUE),TRUE,FALSE)</f>
        <v>0</v>
      </c>
      <c r="AL136" s="47" t="b">
        <f>if(countifs('Austin, USA'!Q:Q,$A136,'Austin, USA'!$I:$I,TRUE),TRUE,FALSE)</f>
        <v>0</v>
      </c>
      <c r="AM136" s="47" t="b">
        <f>if(countifs('Thringstone, UK'!Q:Q,$A136,'Thringstone, UK'!$I:$I,TRUE),TRUE,FALSE)</f>
        <v>0</v>
      </c>
      <c r="AN136" s="47" t="b">
        <f>if(countifs('Andover, UK'!Q:Q,$A136,'Andover, UK'!$I:$I,TRUE),TRUE,FALSE)</f>
        <v>0</v>
      </c>
      <c r="AO136" s="47" t="b">
        <f>if(countifs('Ospel, NL'!Q:Q,$A136,'Ospel, NL'!$I:$I,TRUE),TRUE,FALSE)</f>
        <v>0</v>
      </c>
      <c r="AP136" s="47" t="b">
        <f>if(countifs('Wonthaggi, AUS'!Q:Q,$A136,'Wonthaggi, AUS'!$I:$I,TRUE),TRUE,FALSE)</f>
        <v>0</v>
      </c>
      <c r="AQ136" s="47" t="b">
        <f>if(countifs('Falling_Waters, USA'!$Q:$Q,$A136,'Falling_Waters, USA'!$I:$I,TRUE),TRUE,FALSE)</f>
        <v>0</v>
      </c>
      <c r="AR136" s="47" t="b">
        <f>if(countifs('Kelmscott, AUS'!Q:Q,$A136,'Kelmscott, AUS'!$I:$I,TRUE),TRUE,FALSE)</f>
        <v>0</v>
      </c>
    </row>
    <row r="137">
      <c r="A137" s="47" t="str">
        <f>IFERROR(__xludf.DUMMYFUNCTION("""COMPUTED_VALUE"""),"skyfox")</f>
        <v>skyfox</v>
      </c>
      <c r="B137" s="47">
        <f t="shared" si="1"/>
        <v>2</v>
      </c>
      <c r="C137" s="47" t="b">
        <v>0</v>
      </c>
      <c r="D137" s="47" t="b">
        <v>0</v>
      </c>
      <c r="E137" s="47" t="b">
        <v>0</v>
      </c>
      <c r="F137" s="47" t="b">
        <v>0</v>
      </c>
      <c r="G137" s="96"/>
      <c r="H137" s="96" t="b">
        <f>if(countifs('Berlin, GER'!Q:Q,A137,'Berlin, GER'!I:I,TRUE),TRUE,FALSE)</f>
        <v>0</v>
      </c>
      <c r="I137" s="96" t="b">
        <f>if(countifs('Escondido, USA'!Q:Q,A137,'Escondido, USA'!I:I,TRUE),TRUE,FALSE)</f>
        <v>0</v>
      </c>
      <c r="J137" s="96" t="b">
        <f>if(countifs('Onkaparinga_Hills, AUS'!Q:Q,A137,'Onkaparinga_Hills, AUS'!I:I,TRUE),TRUE,FALSE)</f>
        <v>0</v>
      </c>
      <c r="K137" s="96" t="b">
        <f>if(countifs('Perth, AUS'!Q:Q,A137,'Perth, AUS'!I:I,TRUE),TRUE,FALSE)</f>
        <v>0</v>
      </c>
      <c r="L137" s="96" t="b">
        <f>if(countifs('Raleigh, USA'!Q:Q,A137,'Raleigh, USA'!I:I,TRUE),TRUE,FALSE)</f>
        <v>0</v>
      </c>
      <c r="M137" s="96" t="b">
        <f>if(countifs('Browns Plains, AUS'!Q:Q,A137,'Browns Plains, AUS'!I:I,TRUE),TRUE,FALSE)</f>
        <v>0</v>
      </c>
      <c r="N137" s="96" t="b">
        <f>if(countifs('Brossard, CAN'!Q:Q,A137,'Brossard, CAN'!I:I,TRUE),TRUE,FALSE)</f>
        <v>0</v>
      </c>
      <c r="O137" s="96" t="b">
        <f>if(countifs('Gouda, NL'!Q:Q,$A137,'Gouda, NL'!$I:$I,TRUE),TRUE,FALSE)</f>
        <v>0</v>
      </c>
      <c r="P137" s="47" t="b">
        <f>if(countifs('Plympton, UK'!Q:Q,$A137,'Plympton, UK'!$I:$I,TRUE),TRUE,FALSE)</f>
        <v>0</v>
      </c>
      <c r="Q137" s="47" t="b">
        <f>if(countifs('Glen Oaks, USA'!Q:Q,$A137,'Glen Oaks, USA'!$I:$I,TRUE),TRUE,FALSE)</f>
        <v>0</v>
      </c>
      <c r="R137" s="47" t="b">
        <f>if(countifs('Chemnitz, GER'!Q:Q,$A137,'Chemnitz, GER'!I:I,TRUE),TRUE,FALSE)</f>
        <v>0</v>
      </c>
      <c r="S137" s="47" t="b">
        <f>if(countifs('Vosselaar, BE'!Q:Q,$A137,'Vosselaar, BE'!$I:$I,TRUE),TRUE,FALSE)</f>
        <v>0</v>
      </c>
      <c r="T137" s="47" t="b">
        <f>if(countifs('MHQ, USA'!Q:Q,$A137,'MHQ, USA'!$I:$I,TRUE),TRUE,FALSE)</f>
        <v>0</v>
      </c>
      <c r="U137" s="47" t="b">
        <f>if(countifs('Morayfield, AUS'!Q:Q,$A137,'Morayfield, AUS'!$I:$I,TRUE),TRUE,FALSE)</f>
        <v>0</v>
      </c>
      <c r="V137" s="11" t="b">
        <f>if(countifs('Arnhem, NL'!Q:Q,$A137,'Arnhem, NL'!$I:$I,TRUE),TRUE,FALSE)</f>
        <v>0</v>
      </c>
      <c r="W137" s="47" t="b">
        <f>if(countifs('Gotenborg, SW'!Q:Q,$A137,'Gotenborg, SW'!$I:$I,TRUE),TRUE,FALSE)</f>
        <v>0</v>
      </c>
      <c r="X137" s="47" t="b">
        <f>if(countifs('Shepparton, AUS'!Q:Q,$A137,'Shepparton, AUS'!$I:$I,TRUE),TRUE,FALSE)</f>
        <v>0</v>
      </c>
      <c r="Y137" s="47" t="b">
        <f>if(countifs('Hoofddorp, NL'!Q:Q,$A137,'Hoofddorp, NL'!$I:$I,TRUE),TRUE,FALSE)</f>
        <v>0</v>
      </c>
      <c r="Z137" s="47" t="b">
        <f>if(countifs('Bedford, UK'!Q:Q,$A137,'Bedford, UK'!$I:$I,TRUE),TRUE,FALSE)</f>
        <v>0</v>
      </c>
      <c r="AA137" s="47" t="b">
        <f>IF(COUNTIFS('Desert Lodge, USA'!Q:Q,$A137,'Desert Lodge, USA'!I:I,TRUE),TRUE,FALSE)</f>
        <v>0</v>
      </c>
      <c r="AB137" s="47" t="b">
        <f>if(countifs('Dapto, AUS'!Q:Q,$A137,'Dapto, AUS'!$I:$I,TRUE),TRUE,FALSE)</f>
        <v>0</v>
      </c>
      <c r="AC137" s="47" t="b">
        <f>if(countifs('New Westminster, CAN'!Q:Q,$A137,'New Westminster, CAN'!$I:$I,TRUE),TRUE,FALSE)</f>
        <v>0</v>
      </c>
      <c r="AD137" s="47" t="b">
        <f>if(countifs('Georgetown, CAN'!Q:Q,$A137,'Georgetown, CAN'!$I:$I,TRUE),TRUE,FALSE)</f>
        <v>0</v>
      </c>
      <c r="AE137" s="47" t="b">
        <f>if(countifs('Kingswood, UK'!Q:Q,$A137,'Kingswood, UK'!$I:$I,TRUE),TRUE,FALSE)</f>
        <v>0</v>
      </c>
      <c r="AF137" s="47" t="b">
        <f>if(countifs('Hagerstown, USA'!Q:Q,$A137,'Hagerstown, USA'!$I:$I,TRUE),TRUE,FALSE)</f>
        <v>0</v>
      </c>
      <c r="AG137" s="47" t="b">
        <f>if(countifs('Felsogalla, HU'!Q:Q,$A137,'Felsogalla, HU'!$I:$I,TRUE),TRUE,FALSE)</f>
        <v>0</v>
      </c>
      <c r="AH137" s="47" t="b">
        <f>if(countifs('Norlane, AUS'!Q:Q,$A137,'Norlane, AUS'!$I:$I,TRUE),TRUE,FALSE)</f>
        <v>1</v>
      </c>
      <c r="AI137" s="47" t="b">
        <f>if(countifs('Meitingen, GER'!Q:Q,$A137,'Meitingen, GER'!$I:$I,TRUE),TRUE,FALSE)</f>
        <v>0</v>
      </c>
      <c r="AJ137" s="47" t="b">
        <f>if(countifs('Groningen, NL'!Q:Q,$A137,'Groningen, NL'!$I:$I,TRUE),TRUE,FALSE)</f>
        <v>0</v>
      </c>
      <c r="AK137" s="47" t="b">
        <f>if(countifs('Linköping, SW'!Q:Q,$A137,'Linköping, SW'!$I:$I,TRUE),TRUE,FALSE)</f>
        <v>0</v>
      </c>
      <c r="AL137" s="47" t="b">
        <f>if(countifs('Austin, USA'!Q:Q,$A137,'Austin, USA'!$I:$I,TRUE),TRUE,FALSE)</f>
        <v>0</v>
      </c>
      <c r="AM137" s="47" t="b">
        <f>if(countifs('Thringstone, UK'!Q:Q,$A137,'Thringstone, UK'!$I:$I,TRUE),TRUE,FALSE)</f>
        <v>0</v>
      </c>
      <c r="AN137" s="47" t="b">
        <f>if(countifs('Andover, UK'!Q:Q,$A137,'Andover, UK'!$I:$I,TRUE),TRUE,FALSE)</f>
        <v>0</v>
      </c>
      <c r="AO137" s="47" t="b">
        <f>if(countifs('Ospel, NL'!Q:Q,$A137,'Ospel, NL'!$I:$I,TRUE),TRUE,FALSE)</f>
        <v>0</v>
      </c>
      <c r="AP137" s="47" t="b">
        <f>if(countifs('Wonthaggi, AUS'!Q:Q,$A137,'Wonthaggi, AUS'!$I:$I,TRUE),TRUE,FALSE)</f>
        <v>1</v>
      </c>
      <c r="AQ137" s="47" t="b">
        <f>if(countifs('Falling_Waters, USA'!$Q:$Q,$A137,'Falling_Waters, USA'!$I:$I,TRUE),TRUE,FALSE)</f>
        <v>0</v>
      </c>
      <c r="AR137" s="47" t="b">
        <f>if(countifs('Kelmscott, AUS'!Q:Q,$A137,'Kelmscott, AUS'!$I:$I,TRUE),TRUE,FALSE)</f>
        <v>0</v>
      </c>
    </row>
    <row r="138">
      <c r="A138" s="47" t="str">
        <f>IFERROR(__xludf.DUMMYFUNCTION("""COMPUTED_VALUE"""),"lupinchen")</f>
        <v>lupinchen</v>
      </c>
      <c r="B138" s="47">
        <f t="shared" si="1"/>
        <v>1</v>
      </c>
      <c r="C138" s="47" t="b">
        <v>0</v>
      </c>
      <c r="D138" s="47" t="b">
        <v>0</v>
      </c>
      <c r="E138" s="47" t="b">
        <v>0</v>
      </c>
      <c r="F138" s="47" t="b">
        <v>0</v>
      </c>
      <c r="G138" s="96"/>
      <c r="H138" s="96" t="b">
        <f>if(countifs('Berlin, GER'!Q:Q,A138,'Berlin, GER'!I:I,TRUE),TRUE,FALSE)</f>
        <v>0</v>
      </c>
      <c r="I138" s="96" t="b">
        <f>if(countifs('Escondido, USA'!Q:Q,A138,'Escondido, USA'!I:I,TRUE),TRUE,FALSE)</f>
        <v>0</v>
      </c>
      <c r="J138" s="96" t="b">
        <f>if(countifs('Onkaparinga_Hills, AUS'!Q:Q,A138,'Onkaparinga_Hills, AUS'!I:I,TRUE),TRUE,FALSE)</f>
        <v>0</v>
      </c>
      <c r="K138" s="96" t="b">
        <f>if(countifs('Perth, AUS'!Q:Q,A138,'Perth, AUS'!I:I,TRUE),TRUE,FALSE)</f>
        <v>0</v>
      </c>
      <c r="L138" s="96" t="b">
        <f>if(countifs('Raleigh, USA'!Q:Q,A138,'Raleigh, USA'!I:I,TRUE),TRUE,FALSE)</f>
        <v>0</v>
      </c>
      <c r="M138" s="96" t="b">
        <f>if(countifs('Browns Plains, AUS'!Q:Q,A138,'Browns Plains, AUS'!I:I,TRUE),TRUE,FALSE)</f>
        <v>0</v>
      </c>
      <c r="N138" s="96" t="b">
        <f>if(countifs('Brossard, CAN'!Q:Q,A138,'Brossard, CAN'!I:I,TRUE),TRUE,FALSE)</f>
        <v>0</v>
      </c>
      <c r="O138" s="96" t="b">
        <f>if(countifs('Gouda, NL'!Q:Q,$A138,'Gouda, NL'!$I:$I,TRUE),TRUE,FALSE)</f>
        <v>0</v>
      </c>
      <c r="P138" s="47" t="b">
        <f>if(countifs('Plympton, UK'!Q:Q,$A138,'Plympton, UK'!$I:$I,TRUE),TRUE,FALSE)</f>
        <v>0</v>
      </c>
      <c r="Q138" s="47" t="b">
        <f>if(countifs('Glen Oaks, USA'!Q:Q,$A138,'Glen Oaks, USA'!$I:$I,TRUE),TRUE,FALSE)</f>
        <v>0</v>
      </c>
      <c r="R138" s="47" t="b">
        <f>if(countifs('Chemnitz, GER'!Q:Q,$A138,'Chemnitz, GER'!I:I,TRUE),TRUE,FALSE)</f>
        <v>0</v>
      </c>
      <c r="S138" s="47" t="b">
        <f>if(countifs('Vosselaar, BE'!Q:Q,$A138,'Vosselaar, BE'!$I:$I,TRUE),TRUE,FALSE)</f>
        <v>0</v>
      </c>
      <c r="T138" s="47" t="b">
        <f>if(countifs('MHQ, USA'!Q:Q,$A138,'MHQ, USA'!$I:$I,TRUE),TRUE,FALSE)</f>
        <v>0</v>
      </c>
      <c r="U138" s="47" t="b">
        <f>if(countifs('Morayfield, AUS'!Q:Q,$A138,'Morayfield, AUS'!$I:$I,TRUE),TRUE,FALSE)</f>
        <v>0</v>
      </c>
      <c r="V138" s="11" t="b">
        <f>if(countifs('Arnhem, NL'!Q:Q,$A138,'Arnhem, NL'!$I:$I,TRUE),TRUE,FALSE)</f>
        <v>0</v>
      </c>
      <c r="W138" s="47" t="b">
        <f>if(countifs('Gotenborg, SW'!Q:Q,$A138,'Gotenborg, SW'!$I:$I,TRUE),TRUE,FALSE)</f>
        <v>0</v>
      </c>
      <c r="X138" s="47" t="b">
        <f>if(countifs('Shepparton, AUS'!Q:Q,$A138,'Shepparton, AUS'!$I:$I,TRUE),TRUE,FALSE)</f>
        <v>0</v>
      </c>
      <c r="Y138" s="47" t="b">
        <f>if(countifs('Hoofddorp, NL'!Q:Q,$A138,'Hoofddorp, NL'!$I:$I,TRUE),TRUE,FALSE)</f>
        <v>0</v>
      </c>
      <c r="Z138" s="47" t="b">
        <f>if(countifs('Bedford, UK'!Q:Q,$A138,'Bedford, UK'!$I:$I,TRUE),TRUE,FALSE)</f>
        <v>0</v>
      </c>
      <c r="AA138" s="47" t="b">
        <f>IF(COUNTIFS('Desert Lodge, USA'!Q:Q,$A138,'Desert Lodge, USA'!I:I,TRUE),TRUE,FALSE)</f>
        <v>0</v>
      </c>
      <c r="AB138" s="47" t="b">
        <f>if(countifs('Dapto, AUS'!Q:Q,$A138,'Dapto, AUS'!$I:$I,TRUE),TRUE,FALSE)</f>
        <v>0</v>
      </c>
      <c r="AC138" s="47" t="b">
        <f>if(countifs('New Westminster, CAN'!Q:Q,$A138,'New Westminster, CAN'!$I:$I,TRUE),TRUE,FALSE)</f>
        <v>0</v>
      </c>
      <c r="AD138" s="47" t="b">
        <f>if(countifs('Georgetown, CAN'!Q:Q,$A138,'Georgetown, CAN'!$I:$I,TRUE),TRUE,FALSE)</f>
        <v>0</v>
      </c>
      <c r="AE138" s="47" t="b">
        <f>if(countifs('Kingswood, UK'!Q:Q,$A138,'Kingswood, UK'!$I:$I,TRUE),TRUE,FALSE)</f>
        <v>0</v>
      </c>
      <c r="AF138" s="47" t="b">
        <f>if(countifs('Hagerstown, USA'!Q:Q,$A138,'Hagerstown, USA'!$I:$I,TRUE),TRUE,FALSE)</f>
        <v>0</v>
      </c>
      <c r="AG138" s="47" t="b">
        <f>if(countifs('Felsogalla, HU'!Q:Q,$A138,'Felsogalla, HU'!$I:$I,TRUE),TRUE,FALSE)</f>
        <v>0</v>
      </c>
      <c r="AH138" s="47" t="b">
        <f>if(countifs('Norlane, AUS'!Q:Q,$A138,'Norlane, AUS'!$I:$I,TRUE),TRUE,FALSE)</f>
        <v>0</v>
      </c>
      <c r="AI138" s="47" t="b">
        <f>if(countifs('Meitingen, GER'!Q:Q,$A138,'Meitingen, GER'!$I:$I,TRUE),TRUE,FALSE)</f>
        <v>1</v>
      </c>
      <c r="AJ138" s="47" t="b">
        <f>if(countifs('Groningen, NL'!Q:Q,$A138,'Groningen, NL'!$I:$I,TRUE),TRUE,FALSE)</f>
        <v>0</v>
      </c>
      <c r="AK138" s="47" t="b">
        <f>if(countifs('Linköping, SW'!Q:Q,$A138,'Linköping, SW'!$I:$I,TRUE),TRUE,FALSE)</f>
        <v>0</v>
      </c>
      <c r="AL138" s="47" t="b">
        <f>if(countifs('Austin, USA'!Q:Q,$A138,'Austin, USA'!$I:$I,TRUE),TRUE,FALSE)</f>
        <v>0</v>
      </c>
      <c r="AM138" s="47" t="b">
        <f>if(countifs('Thringstone, UK'!Q:Q,$A138,'Thringstone, UK'!$I:$I,TRUE),TRUE,FALSE)</f>
        <v>0</v>
      </c>
      <c r="AN138" s="47" t="b">
        <f>if(countifs('Andover, UK'!Q:Q,$A138,'Andover, UK'!$I:$I,TRUE),TRUE,FALSE)</f>
        <v>0</v>
      </c>
      <c r="AO138" s="47" t="b">
        <f>if(countifs('Ospel, NL'!Q:Q,$A138,'Ospel, NL'!$I:$I,TRUE),TRUE,FALSE)</f>
        <v>0</v>
      </c>
      <c r="AP138" s="47" t="b">
        <f>if(countifs('Wonthaggi, AUS'!Q:Q,$A138,'Wonthaggi, AUS'!$I:$I,TRUE),TRUE,FALSE)</f>
        <v>0</v>
      </c>
      <c r="AQ138" s="47" t="b">
        <f>if(countifs('Falling_Waters, USA'!$Q:$Q,$A138,'Falling_Waters, USA'!$I:$I,TRUE),TRUE,FALSE)</f>
        <v>0</v>
      </c>
      <c r="AR138" s="47" t="b">
        <f>if(countifs('Kelmscott, AUS'!Q:Q,$A138,'Kelmscott, AUS'!$I:$I,TRUE),TRUE,FALSE)</f>
        <v>0</v>
      </c>
    </row>
    <row r="139">
      <c r="A139" s="47" t="str">
        <f>IFERROR(__xludf.DUMMYFUNCTION("""COMPUTED_VALUE"""),"Arendsoog")</f>
        <v>Arendsoog</v>
      </c>
      <c r="B139" s="47">
        <f t="shared" si="1"/>
        <v>2</v>
      </c>
      <c r="C139" s="47" t="b">
        <v>0</v>
      </c>
      <c r="D139" s="47" t="b">
        <v>0</v>
      </c>
      <c r="E139" s="47" t="b">
        <v>0</v>
      </c>
      <c r="F139" s="47" t="b">
        <v>0</v>
      </c>
      <c r="G139" s="96"/>
      <c r="H139" s="96" t="b">
        <f>if(countifs('Berlin, GER'!Q:Q,A139,'Berlin, GER'!I:I,TRUE),TRUE,FALSE)</f>
        <v>0</v>
      </c>
      <c r="I139" s="96" t="b">
        <f>if(countifs('Escondido, USA'!Q:Q,A139,'Escondido, USA'!I:I,TRUE),TRUE,FALSE)</f>
        <v>0</v>
      </c>
      <c r="J139" s="96" t="b">
        <f>if(countifs('Onkaparinga_Hills, AUS'!Q:Q,A139,'Onkaparinga_Hills, AUS'!I:I,TRUE),TRUE,FALSE)</f>
        <v>0</v>
      </c>
      <c r="K139" s="96" t="b">
        <f>if(countifs('Perth, AUS'!Q:Q,A139,'Perth, AUS'!I:I,TRUE),TRUE,FALSE)</f>
        <v>0</v>
      </c>
      <c r="L139" s="96" t="b">
        <f>if(countifs('Raleigh, USA'!Q:Q,A139,'Raleigh, USA'!I:I,TRUE),TRUE,FALSE)</f>
        <v>0</v>
      </c>
      <c r="M139" s="96" t="b">
        <f>if(countifs('Browns Plains, AUS'!Q:Q,A139,'Browns Plains, AUS'!I:I,TRUE),TRUE,FALSE)</f>
        <v>0</v>
      </c>
      <c r="N139" s="96" t="b">
        <f>if(countifs('Brossard, CAN'!Q:Q,A139,'Brossard, CAN'!I:I,TRUE),TRUE,FALSE)</f>
        <v>0</v>
      </c>
      <c r="O139" s="96" t="b">
        <f>if(countifs('Gouda, NL'!Q:Q,$A139,'Gouda, NL'!$I:$I,TRUE),TRUE,FALSE)</f>
        <v>0</v>
      </c>
      <c r="P139" s="47" t="b">
        <f>if(countifs('Plympton, UK'!Q:Q,$A139,'Plympton, UK'!$I:$I,TRUE),TRUE,FALSE)</f>
        <v>0</v>
      </c>
      <c r="Q139" s="47" t="b">
        <f>if(countifs('Glen Oaks, USA'!Q:Q,$A139,'Glen Oaks, USA'!$I:$I,TRUE),TRUE,FALSE)</f>
        <v>0</v>
      </c>
      <c r="R139" s="47" t="b">
        <f>if(countifs('Chemnitz, GER'!Q:Q,$A139,'Chemnitz, GER'!I:I,TRUE),TRUE,FALSE)</f>
        <v>0</v>
      </c>
      <c r="S139" s="47" t="b">
        <f>if(countifs('Vosselaar, BE'!Q:Q,$A139,'Vosselaar, BE'!$I:$I,TRUE),TRUE,FALSE)</f>
        <v>0</v>
      </c>
      <c r="T139" s="47" t="b">
        <f>if(countifs('MHQ, USA'!Q:Q,$A139,'MHQ, USA'!$I:$I,TRUE),TRUE,FALSE)</f>
        <v>0</v>
      </c>
      <c r="U139" s="47" t="b">
        <f>if(countifs('Morayfield, AUS'!Q:Q,$A139,'Morayfield, AUS'!$I:$I,TRUE),TRUE,FALSE)</f>
        <v>0</v>
      </c>
      <c r="V139" s="11" t="b">
        <f>if(countifs('Arnhem, NL'!Q:Q,$A139,'Arnhem, NL'!$I:$I,TRUE),TRUE,FALSE)</f>
        <v>0</v>
      </c>
      <c r="W139" s="47" t="b">
        <f>if(countifs('Gotenborg, SW'!Q:Q,$A139,'Gotenborg, SW'!$I:$I,TRUE),TRUE,FALSE)</f>
        <v>0</v>
      </c>
      <c r="X139" s="47" t="b">
        <f>if(countifs('Shepparton, AUS'!Q:Q,$A139,'Shepparton, AUS'!$I:$I,TRUE),TRUE,FALSE)</f>
        <v>0</v>
      </c>
      <c r="Y139" s="47" t="b">
        <f>if(countifs('Hoofddorp, NL'!Q:Q,$A139,'Hoofddorp, NL'!$I:$I,TRUE),TRUE,FALSE)</f>
        <v>0</v>
      </c>
      <c r="Z139" s="47" t="b">
        <f>if(countifs('Bedford, UK'!Q:Q,$A139,'Bedford, UK'!$I:$I,TRUE),TRUE,FALSE)</f>
        <v>0</v>
      </c>
      <c r="AA139" s="47" t="b">
        <f>IF(COUNTIFS('Desert Lodge, USA'!Q:Q,$A139,'Desert Lodge, USA'!I:I,TRUE),TRUE,FALSE)</f>
        <v>0</v>
      </c>
      <c r="AB139" s="47" t="b">
        <f>if(countifs('Dapto, AUS'!Q:Q,$A139,'Dapto, AUS'!$I:$I,TRUE),TRUE,FALSE)</f>
        <v>0</v>
      </c>
      <c r="AC139" s="47" t="b">
        <f>if(countifs('New Westminster, CAN'!Q:Q,$A139,'New Westminster, CAN'!$I:$I,TRUE),TRUE,FALSE)</f>
        <v>0</v>
      </c>
      <c r="AD139" s="47" t="b">
        <f>if(countifs('Georgetown, CAN'!Q:Q,$A139,'Georgetown, CAN'!$I:$I,TRUE),TRUE,FALSE)</f>
        <v>0</v>
      </c>
      <c r="AE139" s="47" t="b">
        <f>if(countifs('Kingswood, UK'!Q:Q,$A139,'Kingswood, UK'!$I:$I,TRUE),TRUE,FALSE)</f>
        <v>0</v>
      </c>
      <c r="AF139" s="47" t="b">
        <f>if(countifs('Hagerstown, USA'!Q:Q,$A139,'Hagerstown, USA'!$I:$I,TRUE),TRUE,FALSE)</f>
        <v>0</v>
      </c>
      <c r="AG139" s="47" t="b">
        <f>if(countifs('Felsogalla, HU'!Q:Q,$A139,'Felsogalla, HU'!$I:$I,TRUE),TRUE,FALSE)</f>
        <v>0</v>
      </c>
      <c r="AH139" s="47" t="b">
        <f>if(countifs('Norlane, AUS'!Q:Q,$A139,'Norlane, AUS'!$I:$I,TRUE),TRUE,FALSE)</f>
        <v>0</v>
      </c>
      <c r="AI139" s="47" t="b">
        <f>if(countifs('Meitingen, GER'!Q:Q,$A139,'Meitingen, GER'!$I:$I,TRUE),TRUE,FALSE)</f>
        <v>0</v>
      </c>
      <c r="AJ139" s="47" t="b">
        <f>if(countifs('Groningen, NL'!Q:Q,$A139,'Groningen, NL'!$I:$I,TRUE),TRUE,FALSE)</f>
        <v>1</v>
      </c>
      <c r="AK139" s="47" t="b">
        <f>if(countifs('Linköping, SW'!Q:Q,$A139,'Linköping, SW'!$I:$I,TRUE),TRUE,FALSE)</f>
        <v>0</v>
      </c>
      <c r="AL139" s="47" t="b">
        <f>if(countifs('Austin, USA'!Q:Q,$A139,'Austin, USA'!$I:$I,TRUE),TRUE,FALSE)</f>
        <v>0</v>
      </c>
      <c r="AM139" s="47" t="b">
        <f>if(countifs('Thringstone, UK'!Q:Q,$A139,'Thringstone, UK'!$I:$I,TRUE),TRUE,FALSE)</f>
        <v>0</v>
      </c>
      <c r="AN139" s="47" t="b">
        <f>if(countifs('Andover, UK'!Q:Q,$A139,'Andover, UK'!$I:$I,TRUE),TRUE,FALSE)</f>
        <v>0</v>
      </c>
      <c r="AO139" s="47" t="b">
        <f>if(countifs('Ospel, NL'!Q:Q,$A139,'Ospel, NL'!$I:$I,TRUE),TRUE,FALSE)</f>
        <v>1</v>
      </c>
      <c r="AP139" s="47" t="b">
        <f>if(countifs('Wonthaggi, AUS'!Q:Q,$A139,'Wonthaggi, AUS'!$I:$I,TRUE),TRUE,FALSE)</f>
        <v>0</v>
      </c>
      <c r="AQ139" s="47" t="b">
        <f>if(countifs('Falling_Waters, USA'!$Q:$Q,$A139,'Falling_Waters, USA'!$I:$I,TRUE),TRUE,FALSE)</f>
        <v>0</v>
      </c>
      <c r="AR139" s="47" t="b">
        <f>if(countifs('Kelmscott, AUS'!Q:Q,$A139,'Kelmscott, AUS'!$I:$I,TRUE),TRUE,FALSE)</f>
        <v>0</v>
      </c>
    </row>
    <row r="140">
      <c r="A140" s="47" t="str">
        <f>IFERROR(__xludf.DUMMYFUNCTION("""COMPUTED_VALUE"""),"Anseldelux")</f>
        <v>Anseldelux</v>
      </c>
      <c r="B140" s="47">
        <f t="shared" si="1"/>
        <v>2</v>
      </c>
      <c r="C140" s="47" t="b">
        <v>0</v>
      </c>
      <c r="D140" s="47" t="b">
        <v>0</v>
      </c>
      <c r="E140" s="47" t="b">
        <v>0</v>
      </c>
      <c r="F140" s="47" t="b">
        <v>0</v>
      </c>
      <c r="G140" s="96"/>
      <c r="H140" s="96" t="b">
        <f>if(countifs('Berlin, GER'!Q:Q,A140,'Berlin, GER'!I:I,TRUE),TRUE,FALSE)</f>
        <v>0</v>
      </c>
      <c r="I140" s="96" t="b">
        <f>if(countifs('Escondido, USA'!Q:Q,A140,'Escondido, USA'!I:I,TRUE),TRUE,FALSE)</f>
        <v>0</v>
      </c>
      <c r="J140" s="96" t="b">
        <f>if(countifs('Onkaparinga_Hills, AUS'!Q:Q,A140,'Onkaparinga_Hills, AUS'!I:I,TRUE),TRUE,FALSE)</f>
        <v>0</v>
      </c>
      <c r="K140" s="96" t="b">
        <f>if(countifs('Perth, AUS'!Q:Q,A140,'Perth, AUS'!I:I,TRUE),TRUE,FALSE)</f>
        <v>0</v>
      </c>
      <c r="L140" s="96" t="b">
        <f>if(countifs('Raleigh, USA'!Q:Q,A140,'Raleigh, USA'!I:I,TRUE),TRUE,FALSE)</f>
        <v>0</v>
      </c>
      <c r="M140" s="96" t="b">
        <f>if(countifs('Browns Plains, AUS'!Q:Q,A140,'Browns Plains, AUS'!I:I,TRUE),TRUE,FALSE)</f>
        <v>0</v>
      </c>
      <c r="N140" s="96" t="b">
        <f>if(countifs('Brossard, CAN'!Q:Q,A140,'Brossard, CAN'!I:I,TRUE),TRUE,FALSE)</f>
        <v>0</v>
      </c>
      <c r="O140" s="96" t="b">
        <f>if(countifs('Gouda, NL'!Q:Q,$A140,'Gouda, NL'!$I:$I,TRUE),TRUE,FALSE)</f>
        <v>0</v>
      </c>
      <c r="P140" s="47" t="b">
        <f>if(countifs('Plympton, UK'!Q:Q,$A140,'Plympton, UK'!$I:$I,TRUE),TRUE,FALSE)</f>
        <v>0</v>
      </c>
      <c r="Q140" s="47" t="b">
        <f>if(countifs('Glen Oaks, USA'!Q:Q,$A140,'Glen Oaks, USA'!$I:$I,TRUE),TRUE,FALSE)</f>
        <v>0</v>
      </c>
      <c r="R140" s="47" t="b">
        <f>if(countifs('Chemnitz, GER'!Q:Q,$A140,'Chemnitz, GER'!I:I,TRUE),TRUE,FALSE)</f>
        <v>0</v>
      </c>
      <c r="S140" s="47" t="b">
        <f>if(countifs('Vosselaar, BE'!Q:Q,$A140,'Vosselaar, BE'!$I:$I,TRUE),TRUE,FALSE)</f>
        <v>0</v>
      </c>
      <c r="T140" s="47" t="b">
        <f>if(countifs('MHQ, USA'!Q:Q,$A140,'MHQ, USA'!$I:$I,TRUE),TRUE,FALSE)</f>
        <v>0</v>
      </c>
      <c r="U140" s="47" t="b">
        <f>if(countifs('Morayfield, AUS'!Q:Q,$A140,'Morayfield, AUS'!$I:$I,TRUE),TRUE,FALSE)</f>
        <v>0</v>
      </c>
      <c r="V140" s="11" t="b">
        <f>if(countifs('Arnhem, NL'!Q:Q,$A140,'Arnhem, NL'!$I:$I,TRUE),TRUE,FALSE)</f>
        <v>0</v>
      </c>
      <c r="W140" s="47" t="b">
        <f>if(countifs('Gotenborg, SW'!Q:Q,$A140,'Gotenborg, SW'!$I:$I,TRUE),TRUE,FALSE)</f>
        <v>0</v>
      </c>
      <c r="X140" s="47" t="b">
        <f>if(countifs('Shepparton, AUS'!Q:Q,$A140,'Shepparton, AUS'!$I:$I,TRUE),TRUE,FALSE)</f>
        <v>0</v>
      </c>
      <c r="Y140" s="47" t="b">
        <f>if(countifs('Hoofddorp, NL'!Q:Q,$A140,'Hoofddorp, NL'!$I:$I,TRUE),TRUE,FALSE)</f>
        <v>0</v>
      </c>
      <c r="Z140" s="47" t="b">
        <f>if(countifs('Bedford, UK'!Q:Q,$A140,'Bedford, UK'!$I:$I,TRUE),TRUE,FALSE)</f>
        <v>0</v>
      </c>
      <c r="AA140" s="47" t="b">
        <f>IF(COUNTIFS('Desert Lodge, USA'!Q:Q,$A140,'Desert Lodge, USA'!I:I,TRUE),TRUE,FALSE)</f>
        <v>0</v>
      </c>
      <c r="AB140" s="47" t="b">
        <f>if(countifs('Dapto, AUS'!Q:Q,$A140,'Dapto, AUS'!$I:$I,TRUE),TRUE,FALSE)</f>
        <v>0</v>
      </c>
      <c r="AC140" s="47" t="b">
        <f>if(countifs('New Westminster, CAN'!Q:Q,$A140,'New Westminster, CAN'!$I:$I,TRUE),TRUE,FALSE)</f>
        <v>0</v>
      </c>
      <c r="AD140" s="47" t="b">
        <f>if(countifs('Georgetown, CAN'!Q:Q,$A140,'Georgetown, CAN'!$I:$I,TRUE),TRUE,FALSE)</f>
        <v>0</v>
      </c>
      <c r="AE140" s="47" t="b">
        <f>if(countifs('Kingswood, UK'!Q:Q,$A140,'Kingswood, UK'!$I:$I,TRUE),TRUE,FALSE)</f>
        <v>0</v>
      </c>
      <c r="AF140" s="47" t="b">
        <f>if(countifs('Hagerstown, USA'!Q:Q,$A140,'Hagerstown, USA'!$I:$I,TRUE),TRUE,FALSE)</f>
        <v>0</v>
      </c>
      <c r="AG140" s="47" t="b">
        <f>if(countifs('Felsogalla, HU'!Q:Q,$A140,'Felsogalla, HU'!$I:$I,TRUE),TRUE,FALSE)</f>
        <v>0</v>
      </c>
      <c r="AH140" s="47" t="b">
        <f>if(countifs('Norlane, AUS'!Q:Q,$A140,'Norlane, AUS'!$I:$I,TRUE),TRUE,FALSE)</f>
        <v>0</v>
      </c>
      <c r="AI140" s="47" t="b">
        <f>if(countifs('Meitingen, GER'!Q:Q,$A140,'Meitingen, GER'!$I:$I,TRUE),TRUE,FALSE)</f>
        <v>0</v>
      </c>
      <c r="AJ140" s="47" t="b">
        <f>if(countifs('Groningen, NL'!Q:Q,$A140,'Groningen, NL'!$I:$I,TRUE),TRUE,FALSE)</f>
        <v>1</v>
      </c>
      <c r="AK140" s="47" t="b">
        <f>if(countifs('Linköping, SW'!Q:Q,$A140,'Linköping, SW'!$I:$I,TRUE),TRUE,FALSE)</f>
        <v>0</v>
      </c>
      <c r="AL140" s="47" t="b">
        <f>if(countifs('Austin, USA'!Q:Q,$A140,'Austin, USA'!$I:$I,TRUE),TRUE,FALSE)</f>
        <v>0</v>
      </c>
      <c r="AM140" s="47" t="b">
        <f>if(countifs('Thringstone, UK'!Q:Q,$A140,'Thringstone, UK'!$I:$I,TRUE),TRUE,FALSE)</f>
        <v>0</v>
      </c>
      <c r="AN140" s="47" t="b">
        <f>if(countifs('Andover, UK'!Q:Q,$A140,'Andover, UK'!$I:$I,TRUE),TRUE,FALSE)</f>
        <v>0</v>
      </c>
      <c r="AO140" s="47" t="b">
        <f>if(countifs('Ospel, NL'!Q:Q,$A140,'Ospel, NL'!$I:$I,TRUE),TRUE,FALSE)</f>
        <v>0</v>
      </c>
      <c r="AP140" s="47" t="b">
        <f>if(countifs('Wonthaggi, AUS'!Q:Q,$A140,'Wonthaggi, AUS'!$I:$I,TRUE),TRUE,FALSE)</f>
        <v>1</v>
      </c>
      <c r="AQ140" s="47" t="b">
        <f>if(countifs('Falling_Waters, USA'!$Q:$Q,$A140,'Falling_Waters, USA'!$I:$I,TRUE),TRUE,FALSE)</f>
        <v>0</v>
      </c>
      <c r="AR140" s="47" t="b">
        <f>if(countifs('Kelmscott, AUS'!Q:Q,$A140,'Kelmscott, AUS'!$I:$I,TRUE),TRUE,FALSE)</f>
        <v>0</v>
      </c>
    </row>
    <row r="141">
      <c r="A141" s="47" t="str">
        <f>IFERROR(__xludf.DUMMYFUNCTION("""COMPUTED_VALUE"""),"djeagle")</f>
        <v>djeagle</v>
      </c>
      <c r="B141" s="47">
        <f t="shared" si="1"/>
        <v>2</v>
      </c>
      <c r="C141" s="47" t="b">
        <v>0</v>
      </c>
      <c r="D141" s="47" t="b">
        <v>0</v>
      </c>
      <c r="E141" s="47" t="b">
        <v>0</v>
      </c>
      <c r="F141" s="47" t="b">
        <v>0</v>
      </c>
      <c r="G141" s="96"/>
      <c r="H141" s="96" t="b">
        <f>if(countifs('Berlin, GER'!Q:Q,A141,'Berlin, GER'!I:I,TRUE),TRUE,FALSE)</f>
        <v>0</v>
      </c>
      <c r="I141" s="96" t="b">
        <f>if(countifs('Escondido, USA'!Q:Q,A141,'Escondido, USA'!I:I,TRUE),TRUE,FALSE)</f>
        <v>0</v>
      </c>
      <c r="J141" s="96" t="b">
        <f>if(countifs('Onkaparinga_Hills, AUS'!Q:Q,A141,'Onkaparinga_Hills, AUS'!I:I,TRUE),TRUE,FALSE)</f>
        <v>0</v>
      </c>
      <c r="K141" s="96" t="b">
        <f>if(countifs('Perth, AUS'!Q:Q,A141,'Perth, AUS'!I:I,TRUE),TRUE,FALSE)</f>
        <v>0</v>
      </c>
      <c r="L141" s="96" t="b">
        <f>if(countifs('Raleigh, USA'!Q:Q,A141,'Raleigh, USA'!I:I,TRUE),TRUE,FALSE)</f>
        <v>0</v>
      </c>
      <c r="M141" s="96" t="b">
        <f>if(countifs('Browns Plains, AUS'!Q:Q,A141,'Browns Plains, AUS'!I:I,TRUE),TRUE,FALSE)</f>
        <v>0</v>
      </c>
      <c r="N141" s="96" t="b">
        <f>if(countifs('Brossard, CAN'!Q:Q,A141,'Brossard, CAN'!I:I,TRUE),TRUE,FALSE)</f>
        <v>0</v>
      </c>
      <c r="O141" s="96" t="b">
        <f>if(countifs('Gouda, NL'!Q:Q,$A141,'Gouda, NL'!$I:$I,TRUE),TRUE,FALSE)</f>
        <v>0</v>
      </c>
      <c r="P141" s="47" t="b">
        <f>if(countifs('Plympton, UK'!Q:Q,$A141,'Plympton, UK'!$I:$I,TRUE),TRUE,FALSE)</f>
        <v>0</v>
      </c>
      <c r="Q141" s="47" t="b">
        <f>if(countifs('Glen Oaks, USA'!Q:Q,$A141,'Glen Oaks, USA'!$I:$I,TRUE),TRUE,FALSE)</f>
        <v>0</v>
      </c>
      <c r="R141" s="47" t="b">
        <f>if(countifs('Chemnitz, GER'!Q:Q,$A141,'Chemnitz, GER'!I:I,TRUE),TRUE,FALSE)</f>
        <v>0</v>
      </c>
      <c r="S141" s="47" t="b">
        <f>if(countifs('Vosselaar, BE'!Q:Q,$A141,'Vosselaar, BE'!$I:$I,TRUE),TRUE,FALSE)</f>
        <v>0</v>
      </c>
      <c r="T141" s="47" t="b">
        <f>if(countifs('MHQ, USA'!Q:Q,$A141,'MHQ, USA'!$I:$I,TRUE),TRUE,FALSE)</f>
        <v>0</v>
      </c>
      <c r="U141" s="47" t="b">
        <f>if(countifs('Morayfield, AUS'!Q:Q,$A141,'Morayfield, AUS'!$I:$I,TRUE),TRUE,FALSE)</f>
        <v>0</v>
      </c>
      <c r="V141" s="11" t="b">
        <f>if(countifs('Arnhem, NL'!Q:Q,$A141,'Arnhem, NL'!$I:$I,TRUE),TRUE,FALSE)</f>
        <v>0</v>
      </c>
      <c r="W141" s="47" t="b">
        <f>if(countifs('Gotenborg, SW'!Q:Q,$A141,'Gotenborg, SW'!$I:$I,TRUE),TRUE,FALSE)</f>
        <v>0</v>
      </c>
      <c r="X141" s="47" t="b">
        <f>if(countifs('Shepparton, AUS'!Q:Q,$A141,'Shepparton, AUS'!$I:$I,TRUE),TRUE,FALSE)</f>
        <v>0</v>
      </c>
      <c r="Y141" s="47" t="b">
        <f>if(countifs('Hoofddorp, NL'!Q:Q,$A141,'Hoofddorp, NL'!$I:$I,TRUE),TRUE,FALSE)</f>
        <v>0</v>
      </c>
      <c r="Z141" s="47" t="b">
        <f>if(countifs('Bedford, UK'!Q:Q,$A141,'Bedford, UK'!$I:$I,TRUE),TRUE,FALSE)</f>
        <v>0</v>
      </c>
      <c r="AA141" s="47" t="b">
        <f>IF(COUNTIFS('Desert Lodge, USA'!Q:Q,$A141,'Desert Lodge, USA'!I:I,TRUE),TRUE,FALSE)</f>
        <v>0</v>
      </c>
      <c r="AB141" s="47" t="b">
        <f>if(countifs('Dapto, AUS'!Q:Q,$A141,'Dapto, AUS'!$I:$I,TRUE),TRUE,FALSE)</f>
        <v>0</v>
      </c>
      <c r="AC141" s="47" t="b">
        <f>if(countifs('New Westminster, CAN'!Q:Q,$A141,'New Westminster, CAN'!$I:$I,TRUE),TRUE,FALSE)</f>
        <v>0</v>
      </c>
      <c r="AD141" s="47" t="b">
        <f>if(countifs('Georgetown, CAN'!Q:Q,$A141,'Georgetown, CAN'!$I:$I,TRUE),TRUE,FALSE)</f>
        <v>0</v>
      </c>
      <c r="AE141" s="47" t="b">
        <f>if(countifs('Kingswood, UK'!Q:Q,$A141,'Kingswood, UK'!$I:$I,TRUE),TRUE,FALSE)</f>
        <v>0</v>
      </c>
      <c r="AF141" s="47" t="b">
        <f>if(countifs('Hagerstown, USA'!Q:Q,$A141,'Hagerstown, USA'!$I:$I,TRUE),TRUE,FALSE)</f>
        <v>0</v>
      </c>
      <c r="AG141" s="47" t="b">
        <f>if(countifs('Felsogalla, HU'!Q:Q,$A141,'Felsogalla, HU'!$I:$I,TRUE),TRUE,FALSE)</f>
        <v>0</v>
      </c>
      <c r="AH141" s="47" t="b">
        <f>if(countifs('Norlane, AUS'!Q:Q,$A141,'Norlane, AUS'!$I:$I,TRUE),TRUE,FALSE)</f>
        <v>0</v>
      </c>
      <c r="AI141" s="47" t="b">
        <f>if(countifs('Meitingen, GER'!Q:Q,$A141,'Meitingen, GER'!$I:$I,TRUE),TRUE,FALSE)</f>
        <v>0</v>
      </c>
      <c r="AJ141" s="47" t="b">
        <f>if(countifs('Groningen, NL'!Q:Q,$A141,'Groningen, NL'!$I:$I,TRUE),TRUE,FALSE)</f>
        <v>1</v>
      </c>
      <c r="AK141" s="47" t="b">
        <f>if(countifs('Linköping, SW'!Q:Q,$A141,'Linköping, SW'!$I:$I,TRUE),TRUE,FALSE)</f>
        <v>0</v>
      </c>
      <c r="AL141" s="47" t="b">
        <f>if(countifs('Austin, USA'!Q:Q,$A141,'Austin, USA'!$I:$I,TRUE),TRUE,FALSE)</f>
        <v>0</v>
      </c>
      <c r="AM141" s="47" t="b">
        <f>if(countifs('Thringstone, UK'!Q:Q,$A141,'Thringstone, UK'!$I:$I,TRUE),TRUE,FALSE)</f>
        <v>0</v>
      </c>
      <c r="AN141" s="47" t="b">
        <f>if(countifs('Andover, UK'!Q:Q,$A141,'Andover, UK'!$I:$I,TRUE),TRUE,FALSE)</f>
        <v>0</v>
      </c>
      <c r="AO141" s="47" t="b">
        <f>if(countifs('Ospel, NL'!Q:Q,$A141,'Ospel, NL'!$I:$I,TRUE),TRUE,FALSE)</f>
        <v>1</v>
      </c>
      <c r="AP141" s="47" t="b">
        <f>if(countifs('Wonthaggi, AUS'!Q:Q,$A141,'Wonthaggi, AUS'!$I:$I,TRUE),TRUE,FALSE)</f>
        <v>0</v>
      </c>
      <c r="AQ141" s="47" t="b">
        <f>if(countifs('Falling_Waters, USA'!$Q:$Q,$A141,'Falling_Waters, USA'!$I:$I,TRUE),TRUE,FALSE)</f>
        <v>0</v>
      </c>
      <c r="AR141" s="47" t="b">
        <f>if(countifs('Kelmscott, AUS'!Q:Q,$A141,'Kelmscott, AUS'!$I:$I,TRUE),TRUE,FALSE)</f>
        <v>0</v>
      </c>
    </row>
    <row r="142">
      <c r="A142" s="47" t="str">
        <f>IFERROR(__xludf.DUMMYFUNCTION("""COMPUTED_VALUE"""),"McCormick64")</f>
        <v>McCormick64</v>
      </c>
      <c r="B142" s="47">
        <f t="shared" si="1"/>
        <v>1</v>
      </c>
      <c r="C142" s="47" t="b">
        <v>0</v>
      </c>
      <c r="D142" s="47" t="b">
        <v>0</v>
      </c>
      <c r="E142" s="47" t="b">
        <v>0</v>
      </c>
      <c r="F142" s="47" t="b">
        <v>0</v>
      </c>
      <c r="G142" s="96"/>
      <c r="H142" s="96" t="b">
        <f>if(countifs('Berlin, GER'!Q:Q,A142,'Berlin, GER'!I:I,TRUE),TRUE,FALSE)</f>
        <v>0</v>
      </c>
      <c r="I142" s="96" t="b">
        <f>if(countifs('Escondido, USA'!Q:Q,A142,'Escondido, USA'!I:I,TRUE),TRUE,FALSE)</f>
        <v>0</v>
      </c>
      <c r="J142" s="96" t="b">
        <f>if(countifs('Onkaparinga_Hills, AUS'!Q:Q,A142,'Onkaparinga_Hills, AUS'!I:I,TRUE),TRUE,FALSE)</f>
        <v>0</v>
      </c>
      <c r="K142" s="96" t="b">
        <f>if(countifs('Perth, AUS'!Q:Q,A142,'Perth, AUS'!I:I,TRUE),TRUE,FALSE)</f>
        <v>0</v>
      </c>
      <c r="L142" s="96" t="b">
        <f>if(countifs('Raleigh, USA'!Q:Q,A142,'Raleigh, USA'!I:I,TRUE),TRUE,FALSE)</f>
        <v>0</v>
      </c>
      <c r="M142" s="96" t="b">
        <f>if(countifs('Browns Plains, AUS'!Q:Q,A142,'Browns Plains, AUS'!I:I,TRUE),TRUE,FALSE)</f>
        <v>0</v>
      </c>
      <c r="N142" s="96" t="b">
        <f>if(countifs('Brossard, CAN'!Q:Q,A142,'Brossard, CAN'!I:I,TRUE),TRUE,FALSE)</f>
        <v>0</v>
      </c>
      <c r="O142" s="96" t="b">
        <f>if(countifs('Gouda, NL'!Q:Q,$A142,'Gouda, NL'!$I:$I,TRUE),TRUE,FALSE)</f>
        <v>0</v>
      </c>
      <c r="P142" s="47" t="b">
        <f>if(countifs('Plympton, UK'!Q:Q,$A142,'Plympton, UK'!$I:$I,TRUE),TRUE,FALSE)</f>
        <v>0</v>
      </c>
      <c r="Q142" s="47" t="b">
        <f>if(countifs('Glen Oaks, USA'!Q:Q,$A142,'Glen Oaks, USA'!$I:$I,TRUE),TRUE,FALSE)</f>
        <v>0</v>
      </c>
      <c r="R142" s="47" t="b">
        <f>if(countifs('Chemnitz, GER'!Q:Q,$A142,'Chemnitz, GER'!I:I,TRUE),TRUE,FALSE)</f>
        <v>0</v>
      </c>
      <c r="S142" s="47" t="b">
        <f>if(countifs('Vosselaar, BE'!Q:Q,$A142,'Vosselaar, BE'!$I:$I,TRUE),TRUE,FALSE)</f>
        <v>0</v>
      </c>
      <c r="T142" s="47" t="b">
        <f>if(countifs('MHQ, USA'!Q:Q,$A142,'MHQ, USA'!$I:$I,TRUE),TRUE,FALSE)</f>
        <v>0</v>
      </c>
      <c r="U142" s="47" t="b">
        <f>if(countifs('Morayfield, AUS'!Q:Q,$A142,'Morayfield, AUS'!$I:$I,TRUE),TRUE,FALSE)</f>
        <v>0</v>
      </c>
      <c r="V142" s="11" t="b">
        <f>if(countifs('Arnhem, NL'!Q:Q,$A142,'Arnhem, NL'!$I:$I,TRUE),TRUE,FALSE)</f>
        <v>0</v>
      </c>
      <c r="W142" s="47" t="b">
        <f>if(countifs('Gotenborg, SW'!Q:Q,$A142,'Gotenborg, SW'!$I:$I,TRUE),TRUE,FALSE)</f>
        <v>0</v>
      </c>
      <c r="X142" s="47" t="b">
        <f>if(countifs('Shepparton, AUS'!Q:Q,$A142,'Shepparton, AUS'!$I:$I,TRUE),TRUE,FALSE)</f>
        <v>0</v>
      </c>
      <c r="Y142" s="47" t="b">
        <f>if(countifs('Hoofddorp, NL'!Q:Q,$A142,'Hoofddorp, NL'!$I:$I,TRUE),TRUE,FALSE)</f>
        <v>0</v>
      </c>
      <c r="Z142" s="47" t="b">
        <f>if(countifs('Bedford, UK'!Q:Q,$A142,'Bedford, UK'!$I:$I,TRUE),TRUE,FALSE)</f>
        <v>0</v>
      </c>
      <c r="AA142" s="47" t="b">
        <f>IF(COUNTIFS('Desert Lodge, USA'!Q:Q,$A142,'Desert Lodge, USA'!I:I,TRUE),TRUE,FALSE)</f>
        <v>0</v>
      </c>
      <c r="AB142" s="47" t="b">
        <f>if(countifs('Dapto, AUS'!Q:Q,$A142,'Dapto, AUS'!$I:$I,TRUE),TRUE,FALSE)</f>
        <v>0</v>
      </c>
      <c r="AC142" s="47" t="b">
        <f>if(countifs('New Westminster, CAN'!Q:Q,$A142,'New Westminster, CAN'!$I:$I,TRUE),TRUE,FALSE)</f>
        <v>0</v>
      </c>
      <c r="AD142" s="47" t="b">
        <f>if(countifs('Georgetown, CAN'!Q:Q,$A142,'Georgetown, CAN'!$I:$I,TRUE),TRUE,FALSE)</f>
        <v>0</v>
      </c>
      <c r="AE142" s="47" t="b">
        <f>if(countifs('Kingswood, UK'!Q:Q,$A142,'Kingswood, UK'!$I:$I,TRUE),TRUE,FALSE)</f>
        <v>0</v>
      </c>
      <c r="AF142" s="47" t="b">
        <f>if(countifs('Hagerstown, USA'!Q:Q,$A142,'Hagerstown, USA'!$I:$I,TRUE),TRUE,FALSE)</f>
        <v>0</v>
      </c>
      <c r="AG142" s="47" t="b">
        <f>if(countifs('Felsogalla, HU'!Q:Q,$A142,'Felsogalla, HU'!$I:$I,TRUE),TRUE,FALSE)</f>
        <v>0</v>
      </c>
      <c r="AH142" s="47" t="b">
        <f>if(countifs('Norlane, AUS'!Q:Q,$A142,'Norlane, AUS'!$I:$I,TRUE),TRUE,FALSE)</f>
        <v>0</v>
      </c>
      <c r="AI142" s="47" t="b">
        <f>if(countifs('Meitingen, GER'!Q:Q,$A142,'Meitingen, GER'!$I:$I,TRUE),TRUE,FALSE)</f>
        <v>0</v>
      </c>
      <c r="AJ142" s="47" t="b">
        <f>if(countifs('Groningen, NL'!Q:Q,$A142,'Groningen, NL'!$I:$I,TRUE),TRUE,FALSE)</f>
        <v>1</v>
      </c>
      <c r="AK142" s="47" t="b">
        <f>if(countifs('Linköping, SW'!Q:Q,$A142,'Linköping, SW'!$I:$I,TRUE),TRUE,FALSE)</f>
        <v>0</v>
      </c>
      <c r="AL142" s="47" t="b">
        <f>if(countifs('Austin, USA'!Q:Q,$A142,'Austin, USA'!$I:$I,TRUE),TRUE,FALSE)</f>
        <v>0</v>
      </c>
      <c r="AM142" s="47" t="b">
        <f>if(countifs('Thringstone, UK'!Q:Q,$A142,'Thringstone, UK'!$I:$I,TRUE),TRUE,FALSE)</f>
        <v>0</v>
      </c>
      <c r="AN142" s="47" t="b">
        <f>if(countifs('Andover, UK'!Q:Q,$A142,'Andover, UK'!$I:$I,TRUE),TRUE,FALSE)</f>
        <v>0</v>
      </c>
      <c r="AO142" s="47" t="b">
        <f>if(countifs('Ospel, NL'!Q:Q,$A142,'Ospel, NL'!$I:$I,TRUE),TRUE,FALSE)</f>
        <v>0</v>
      </c>
      <c r="AP142" s="47" t="b">
        <f>if(countifs('Wonthaggi, AUS'!Q:Q,$A142,'Wonthaggi, AUS'!$I:$I,TRUE),TRUE,FALSE)</f>
        <v>0</v>
      </c>
      <c r="AQ142" s="47" t="b">
        <f>if(countifs('Falling_Waters, USA'!$Q:$Q,$A142,'Falling_Waters, USA'!$I:$I,TRUE),TRUE,FALSE)</f>
        <v>0</v>
      </c>
      <c r="AR142" s="47" t="b">
        <f>if(countifs('Kelmscott, AUS'!Q:Q,$A142,'Kelmscott, AUS'!$I:$I,TRUE),TRUE,FALSE)</f>
        <v>0</v>
      </c>
    </row>
    <row r="143">
      <c r="A143" s="47" t="str">
        <f>IFERROR(__xludf.DUMMYFUNCTION("""COMPUTED_VALUE"""),"Rudydennis")</f>
        <v>Rudydennis</v>
      </c>
      <c r="B143" s="47">
        <f t="shared" si="1"/>
        <v>1</v>
      </c>
      <c r="C143" s="47" t="b">
        <v>0</v>
      </c>
      <c r="D143" s="47" t="b">
        <v>0</v>
      </c>
      <c r="E143" s="47" t="b">
        <v>0</v>
      </c>
      <c r="F143" s="47" t="b">
        <v>0</v>
      </c>
      <c r="G143" s="96"/>
      <c r="H143" s="96" t="b">
        <f>if(countifs('Berlin, GER'!Q:Q,A143,'Berlin, GER'!I:I,TRUE),TRUE,FALSE)</f>
        <v>0</v>
      </c>
      <c r="I143" s="96" t="b">
        <f>if(countifs('Escondido, USA'!Q:Q,A143,'Escondido, USA'!I:I,TRUE),TRUE,FALSE)</f>
        <v>0</v>
      </c>
      <c r="J143" s="96" t="b">
        <f>if(countifs('Onkaparinga_Hills, AUS'!Q:Q,A143,'Onkaparinga_Hills, AUS'!I:I,TRUE),TRUE,FALSE)</f>
        <v>0</v>
      </c>
      <c r="K143" s="96" t="b">
        <f>if(countifs('Perth, AUS'!Q:Q,A143,'Perth, AUS'!I:I,TRUE),TRUE,FALSE)</f>
        <v>0</v>
      </c>
      <c r="L143" s="96" t="b">
        <f>if(countifs('Raleigh, USA'!Q:Q,A143,'Raleigh, USA'!I:I,TRUE),TRUE,FALSE)</f>
        <v>0</v>
      </c>
      <c r="M143" s="96" t="b">
        <f>if(countifs('Browns Plains, AUS'!Q:Q,A143,'Browns Plains, AUS'!I:I,TRUE),TRUE,FALSE)</f>
        <v>0</v>
      </c>
      <c r="N143" s="96" t="b">
        <f>if(countifs('Brossard, CAN'!Q:Q,A143,'Brossard, CAN'!I:I,TRUE),TRUE,FALSE)</f>
        <v>0</v>
      </c>
      <c r="O143" s="96" t="b">
        <f>if(countifs('Gouda, NL'!Q:Q,$A143,'Gouda, NL'!$I:$I,TRUE),TRUE,FALSE)</f>
        <v>0</v>
      </c>
      <c r="P143" s="47" t="b">
        <f>if(countifs('Plympton, UK'!Q:Q,$A143,'Plympton, UK'!$I:$I,TRUE),TRUE,FALSE)</f>
        <v>0</v>
      </c>
      <c r="Q143" s="47" t="b">
        <f>if(countifs('Glen Oaks, USA'!Q:Q,$A143,'Glen Oaks, USA'!$I:$I,TRUE),TRUE,FALSE)</f>
        <v>0</v>
      </c>
      <c r="R143" s="47" t="b">
        <f>if(countifs('Chemnitz, GER'!Q:Q,$A143,'Chemnitz, GER'!I:I,TRUE),TRUE,FALSE)</f>
        <v>0</v>
      </c>
      <c r="S143" s="47" t="b">
        <f>if(countifs('Vosselaar, BE'!Q:Q,$A143,'Vosselaar, BE'!$I:$I,TRUE),TRUE,FALSE)</f>
        <v>0</v>
      </c>
      <c r="T143" s="47" t="b">
        <f>if(countifs('MHQ, USA'!Q:Q,$A143,'MHQ, USA'!$I:$I,TRUE),TRUE,FALSE)</f>
        <v>0</v>
      </c>
      <c r="U143" s="47" t="b">
        <f>if(countifs('Morayfield, AUS'!Q:Q,$A143,'Morayfield, AUS'!$I:$I,TRUE),TRUE,FALSE)</f>
        <v>0</v>
      </c>
      <c r="V143" s="11" t="b">
        <f>if(countifs('Arnhem, NL'!Q:Q,$A143,'Arnhem, NL'!$I:$I,TRUE),TRUE,FALSE)</f>
        <v>0</v>
      </c>
      <c r="W143" s="47" t="b">
        <f>if(countifs('Gotenborg, SW'!Q:Q,$A143,'Gotenborg, SW'!$I:$I,TRUE),TRUE,FALSE)</f>
        <v>0</v>
      </c>
      <c r="X143" s="47" t="b">
        <f>if(countifs('Shepparton, AUS'!Q:Q,$A143,'Shepparton, AUS'!$I:$I,TRUE),TRUE,FALSE)</f>
        <v>0</v>
      </c>
      <c r="Y143" s="47" t="b">
        <f>if(countifs('Hoofddorp, NL'!Q:Q,$A143,'Hoofddorp, NL'!$I:$I,TRUE),TRUE,FALSE)</f>
        <v>0</v>
      </c>
      <c r="Z143" s="47" t="b">
        <f>if(countifs('Bedford, UK'!Q:Q,$A143,'Bedford, UK'!$I:$I,TRUE),TRUE,FALSE)</f>
        <v>0</v>
      </c>
      <c r="AA143" s="47" t="b">
        <f>IF(COUNTIFS('Desert Lodge, USA'!Q:Q,$A143,'Desert Lodge, USA'!I:I,TRUE),TRUE,FALSE)</f>
        <v>0</v>
      </c>
      <c r="AB143" s="47" t="b">
        <f>if(countifs('Dapto, AUS'!Q:Q,$A143,'Dapto, AUS'!$I:$I,TRUE),TRUE,FALSE)</f>
        <v>0</v>
      </c>
      <c r="AC143" s="47" t="b">
        <f>if(countifs('New Westminster, CAN'!Q:Q,$A143,'New Westminster, CAN'!$I:$I,TRUE),TRUE,FALSE)</f>
        <v>0</v>
      </c>
      <c r="AD143" s="47" t="b">
        <f>if(countifs('Georgetown, CAN'!Q:Q,$A143,'Georgetown, CAN'!$I:$I,TRUE),TRUE,FALSE)</f>
        <v>0</v>
      </c>
      <c r="AE143" s="47" t="b">
        <f>if(countifs('Kingswood, UK'!Q:Q,$A143,'Kingswood, UK'!$I:$I,TRUE),TRUE,FALSE)</f>
        <v>0</v>
      </c>
      <c r="AF143" s="47" t="b">
        <f>if(countifs('Hagerstown, USA'!Q:Q,$A143,'Hagerstown, USA'!$I:$I,TRUE),TRUE,FALSE)</f>
        <v>0</v>
      </c>
      <c r="AG143" s="47" t="b">
        <f>if(countifs('Felsogalla, HU'!Q:Q,$A143,'Felsogalla, HU'!$I:$I,TRUE),TRUE,FALSE)</f>
        <v>0</v>
      </c>
      <c r="AH143" s="47" t="b">
        <f>if(countifs('Norlane, AUS'!Q:Q,$A143,'Norlane, AUS'!$I:$I,TRUE),TRUE,FALSE)</f>
        <v>0</v>
      </c>
      <c r="AI143" s="47" t="b">
        <f>if(countifs('Meitingen, GER'!Q:Q,$A143,'Meitingen, GER'!$I:$I,TRUE),TRUE,FALSE)</f>
        <v>0</v>
      </c>
      <c r="AJ143" s="47" t="b">
        <f>if(countifs('Groningen, NL'!Q:Q,$A143,'Groningen, NL'!$I:$I,TRUE),TRUE,FALSE)</f>
        <v>1</v>
      </c>
      <c r="AK143" s="47" t="b">
        <f>if(countifs('Linköping, SW'!Q:Q,$A143,'Linköping, SW'!$I:$I,TRUE),TRUE,FALSE)</f>
        <v>0</v>
      </c>
      <c r="AL143" s="47" t="b">
        <f>if(countifs('Austin, USA'!Q:Q,$A143,'Austin, USA'!$I:$I,TRUE),TRUE,FALSE)</f>
        <v>0</v>
      </c>
      <c r="AM143" s="47" t="b">
        <f>if(countifs('Thringstone, UK'!Q:Q,$A143,'Thringstone, UK'!$I:$I,TRUE),TRUE,FALSE)</f>
        <v>0</v>
      </c>
      <c r="AN143" s="47" t="b">
        <f>if(countifs('Andover, UK'!Q:Q,$A143,'Andover, UK'!$I:$I,TRUE),TRUE,FALSE)</f>
        <v>0</v>
      </c>
      <c r="AO143" s="47" t="b">
        <f>if(countifs('Ospel, NL'!Q:Q,$A143,'Ospel, NL'!$I:$I,TRUE),TRUE,FALSE)</f>
        <v>0</v>
      </c>
      <c r="AP143" s="47" t="b">
        <f>if(countifs('Wonthaggi, AUS'!Q:Q,$A143,'Wonthaggi, AUS'!$I:$I,TRUE),TRUE,FALSE)</f>
        <v>0</v>
      </c>
      <c r="AQ143" s="47" t="b">
        <f>if(countifs('Falling_Waters, USA'!$Q:$Q,$A143,'Falling_Waters, USA'!$I:$I,TRUE),TRUE,FALSE)</f>
        <v>0</v>
      </c>
      <c r="AR143" s="47" t="b">
        <f>if(countifs('Kelmscott, AUS'!Q:Q,$A143,'Kelmscott, AUS'!$I:$I,TRUE),TRUE,FALSE)</f>
        <v>0</v>
      </c>
    </row>
    <row r="144">
      <c r="A144" s="47" t="str">
        <f>IFERROR(__xludf.DUMMYFUNCTION("""COMPUTED_VALUE"""),"Chaotix")</f>
        <v>Chaotix</v>
      </c>
      <c r="B144" s="47">
        <f t="shared" si="1"/>
        <v>1</v>
      </c>
      <c r="C144" s="47" t="b">
        <v>0</v>
      </c>
      <c r="D144" s="47" t="b">
        <v>0</v>
      </c>
      <c r="E144" s="47" t="b">
        <v>0</v>
      </c>
      <c r="F144" s="47" t="b">
        <v>0</v>
      </c>
      <c r="G144" s="96"/>
      <c r="H144" s="96" t="b">
        <f>if(countifs('Berlin, GER'!Q:Q,A144,'Berlin, GER'!I:I,TRUE),TRUE,FALSE)</f>
        <v>0</v>
      </c>
      <c r="I144" s="96" t="b">
        <f>if(countifs('Escondido, USA'!Q:Q,A144,'Escondido, USA'!I:I,TRUE),TRUE,FALSE)</f>
        <v>0</v>
      </c>
      <c r="J144" s="96" t="b">
        <f>if(countifs('Onkaparinga_Hills, AUS'!Q:Q,A144,'Onkaparinga_Hills, AUS'!I:I,TRUE),TRUE,FALSE)</f>
        <v>0</v>
      </c>
      <c r="K144" s="96" t="b">
        <f>if(countifs('Perth, AUS'!Q:Q,A144,'Perth, AUS'!I:I,TRUE),TRUE,FALSE)</f>
        <v>0</v>
      </c>
      <c r="L144" s="96" t="b">
        <f>if(countifs('Raleigh, USA'!Q:Q,A144,'Raleigh, USA'!I:I,TRUE),TRUE,FALSE)</f>
        <v>0</v>
      </c>
      <c r="M144" s="96" t="b">
        <f>if(countifs('Browns Plains, AUS'!Q:Q,A144,'Browns Plains, AUS'!I:I,TRUE),TRUE,FALSE)</f>
        <v>0</v>
      </c>
      <c r="N144" s="96" t="b">
        <f>if(countifs('Brossard, CAN'!Q:Q,A144,'Brossard, CAN'!I:I,TRUE),TRUE,FALSE)</f>
        <v>0</v>
      </c>
      <c r="O144" s="96" t="b">
        <f>if(countifs('Gouda, NL'!Q:Q,$A144,'Gouda, NL'!$I:$I,TRUE),TRUE,FALSE)</f>
        <v>0</v>
      </c>
      <c r="P144" s="47" t="b">
        <f>if(countifs('Plympton, UK'!Q:Q,$A144,'Plympton, UK'!$I:$I,TRUE),TRUE,FALSE)</f>
        <v>0</v>
      </c>
      <c r="Q144" s="47" t="b">
        <f>if(countifs('Glen Oaks, USA'!Q:Q,$A144,'Glen Oaks, USA'!$I:$I,TRUE),TRUE,FALSE)</f>
        <v>0</v>
      </c>
      <c r="R144" s="47" t="b">
        <f>if(countifs('Chemnitz, GER'!Q:Q,$A144,'Chemnitz, GER'!I:I,TRUE),TRUE,FALSE)</f>
        <v>0</v>
      </c>
      <c r="S144" s="47" t="b">
        <f>if(countifs('Vosselaar, BE'!Q:Q,$A144,'Vosselaar, BE'!$I:$I,TRUE),TRUE,FALSE)</f>
        <v>0</v>
      </c>
      <c r="T144" s="47" t="b">
        <f>if(countifs('MHQ, USA'!Q:Q,$A144,'MHQ, USA'!$I:$I,TRUE),TRUE,FALSE)</f>
        <v>0</v>
      </c>
      <c r="U144" s="47" t="b">
        <f>if(countifs('Morayfield, AUS'!Q:Q,$A144,'Morayfield, AUS'!$I:$I,TRUE),TRUE,FALSE)</f>
        <v>0</v>
      </c>
      <c r="V144" s="11" t="b">
        <f>if(countifs('Arnhem, NL'!Q:Q,$A144,'Arnhem, NL'!$I:$I,TRUE),TRUE,FALSE)</f>
        <v>0</v>
      </c>
      <c r="W144" s="47" t="b">
        <f>if(countifs('Gotenborg, SW'!Q:Q,$A144,'Gotenborg, SW'!$I:$I,TRUE),TRUE,FALSE)</f>
        <v>0</v>
      </c>
      <c r="X144" s="47" t="b">
        <f>if(countifs('Shepparton, AUS'!Q:Q,$A144,'Shepparton, AUS'!$I:$I,TRUE),TRUE,FALSE)</f>
        <v>0</v>
      </c>
      <c r="Y144" s="47" t="b">
        <f>if(countifs('Hoofddorp, NL'!Q:Q,$A144,'Hoofddorp, NL'!$I:$I,TRUE),TRUE,FALSE)</f>
        <v>0</v>
      </c>
      <c r="Z144" s="47" t="b">
        <f>if(countifs('Bedford, UK'!Q:Q,$A144,'Bedford, UK'!$I:$I,TRUE),TRUE,FALSE)</f>
        <v>0</v>
      </c>
      <c r="AA144" s="47" t="b">
        <f>IF(COUNTIFS('Desert Lodge, USA'!Q:Q,$A144,'Desert Lodge, USA'!I:I,TRUE),TRUE,FALSE)</f>
        <v>0</v>
      </c>
      <c r="AB144" s="47" t="b">
        <f>if(countifs('Dapto, AUS'!Q:Q,$A144,'Dapto, AUS'!$I:$I,TRUE),TRUE,FALSE)</f>
        <v>0</v>
      </c>
      <c r="AC144" s="47" t="b">
        <f>if(countifs('New Westminster, CAN'!Q:Q,$A144,'New Westminster, CAN'!$I:$I,TRUE),TRUE,FALSE)</f>
        <v>0</v>
      </c>
      <c r="AD144" s="47" t="b">
        <f>if(countifs('Georgetown, CAN'!Q:Q,$A144,'Georgetown, CAN'!$I:$I,TRUE),TRUE,FALSE)</f>
        <v>0</v>
      </c>
      <c r="AE144" s="47" t="b">
        <f>if(countifs('Kingswood, UK'!Q:Q,$A144,'Kingswood, UK'!$I:$I,TRUE),TRUE,FALSE)</f>
        <v>0</v>
      </c>
      <c r="AF144" s="47" t="b">
        <f>if(countifs('Hagerstown, USA'!Q:Q,$A144,'Hagerstown, USA'!$I:$I,TRUE),TRUE,FALSE)</f>
        <v>0</v>
      </c>
      <c r="AG144" s="47" t="b">
        <f>if(countifs('Felsogalla, HU'!Q:Q,$A144,'Felsogalla, HU'!$I:$I,TRUE),TRUE,FALSE)</f>
        <v>0</v>
      </c>
      <c r="AH144" s="47" t="b">
        <f>if(countifs('Norlane, AUS'!Q:Q,$A144,'Norlane, AUS'!$I:$I,TRUE),TRUE,FALSE)</f>
        <v>0</v>
      </c>
      <c r="AI144" s="47" t="b">
        <f>if(countifs('Meitingen, GER'!Q:Q,$A144,'Meitingen, GER'!$I:$I,TRUE),TRUE,FALSE)</f>
        <v>0</v>
      </c>
      <c r="AJ144" s="47" t="b">
        <f>if(countifs('Groningen, NL'!Q:Q,$A144,'Groningen, NL'!$I:$I,TRUE),TRUE,FALSE)</f>
        <v>1</v>
      </c>
      <c r="AK144" s="47" t="b">
        <f>if(countifs('Linköping, SW'!Q:Q,$A144,'Linköping, SW'!$I:$I,TRUE),TRUE,FALSE)</f>
        <v>0</v>
      </c>
      <c r="AL144" s="47" t="b">
        <f>if(countifs('Austin, USA'!Q:Q,$A144,'Austin, USA'!$I:$I,TRUE),TRUE,FALSE)</f>
        <v>0</v>
      </c>
      <c r="AM144" s="47" t="b">
        <f>if(countifs('Thringstone, UK'!Q:Q,$A144,'Thringstone, UK'!$I:$I,TRUE),TRUE,FALSE)</f>
        <v>0</v>
      </c>
      <c r="AN144" s="47" t="b">
        <f>if(countifs('Andover, UK'!Q:Q,$A144,'Andover, UK'!$I:$I,TRUE),TRUE,FALSE)</f>
        <v>0</v>
      </c>
      <c r="AO144" s="47" t="b">
        <f>if(countifs('Ospel, NL'!Q:Q,$A144,'Ospel, NL'!$I:$I,TRUE),TRUE,FALSE)</f>
        <v>0</v>
      </c>
      <c r="AP144" s="47" t="b">
        <f>if(countifs('Wonthaggi, AUS'!Q:Q,$A144,'Wonthaggi, AUS'!$I:$I,TRUE),TRUE,FALSE)</f>
        <v>0</v>
      </c>
      <c r="AQ144" s="47" t="b">
        <f>if(countifs('Falling_Waters, USA'!$Q:$Q,$A144,'Falling_Waters, USA'!$I:$I,TRUE),TRUE,FALSE)</f>
        <v>0</v>
      </c>
      <c r="AR144" s="47" t="b">
        <f>if(countifs('Kelmscott, AUS'!Q:Q,$A144,'Kelmscott, AUS'!$I:$I,TRUE),TRUE,FALSE)</f>
        <v>0</v>
      </c>
    </row>
    <row r="145">
      <c r="A145" s="47" t="str">
        <f>IFERROR(__xludf.DUMMYFUNCTION("""COMPUTED_VALUE"""),"Outlander21")</f>
        <v>Outlander21</v>
      </c>
      <c r="B145" s="47">
        <f t="shared" si="1"/>
        <v>1</v>
      </c>
      <c r="C145" s="47" t="b">
        <v>0</v>
      </c>
      <c r="D145" s="47" t="b">
        <v>0</v>
      </c>
      <c r="E145" s="47" t="b">
        <v>0</v>
      </c>
      <c r="F145" s="47" t="b">
        <v>0</v>
      </c>
      <c r="G145" s="96"/>
      <c r="H145" s="96" t="b">
        <f>if(countifs('Berlin, GER'!Q:Q,A145,'Berlin, GER'!I:I,TRUE),TRUE,FALSE)</f>
        <v>0</v>
      </c>
      <c r="I145" s="96" t="b">
        <f>if(countifs('Escondido, USA'!Q:Q,A145,'Escondido, USA'!I:I,TRUE),TRUE,FALSE)</f>
        <v>0</v>
      </c>
      <c r="J145" s="96" t="b">
        <f>if(countifs('Onkaparinga_Hills, AUS'!Q:Q,A145,'Onkaparinga_Hills, AUS'!I:I,TRUE),TRUE,FALSE)</f>
        <v>0</v>
      </c>
      <c r="K145" s="96" t="b">
        <f>if(countifs('Perth, AUS'!Q:Q,A145,'Perth, AUS'!I:I,TRUE),TRUE,FALSE)</f>
        <v>0</v>
      </c>
      <c r="L145" s="96" t="b">
        <f>if(countifs('Raleigh, USA'!Q:Q,A145,'Raleigh, USA'!I:I,TRUE),TRUE,FALSE)</f>
        <v>0</v>
      </c>
      <c r="M145" s="96" t="b">
        <f>if(countifs('Browns Plains, AUS'!Q:Q,A145,'Browns Plains, AUS'!I:I,TRUE),TRUE,FALSE)</f>
        <v>0</v>
      </c>
      <c r="N145" s="96" t="b">
        <f>if(countifs('Brossard, CAN'!Q:Q,A145,'Brossard, CAN'!I:I,TRUE),TRUE,FALSE)</f>
        <v>0</v>
      </c>
      <c r="O145" s="96" t="b">
        <f>if(countifs('Gouda, NL'!Q:Q,$A145,'Gouda, NL'!$I:$I,TRUE),TRUE,FALSE)</f>
        <v>0</v>
      </c>
      <c r="P145" s="47" t="b">
        <f>if(countifs('Plympton, UK'!Q:Q,$A145,'Plympton, UK'!$I:$I,TRUE),TRUE,FALSE)</f>
        <v>0</v>
      </c>
      <c r="Q145" s="47" t="b">
        <f>if(countifs('Glen Oaks, USA'!Q:Q,$A145,'Glen Oaks, USA'!$I:$I,TRUE),TRUE,FALSE)</f>
        <v>0</v>
      </c>
      <c r="R145" s="47" t="b">
        <f>if(countifs('Chemnitz, GER'!Q:Q,$A145,'Chemnitz, GER'!I:I,TRUE),TRUE,FALSE)</f>
        <v>0</v>
      </c>
      <c r="S145" s="47" t="b">
        <f>if(countifs('Vosselaar, BE'!Q:Q,$A145,'Vosselaar, BE'!$I:$I,TRUE),TRUE,FALSE)</f>
        <v>0</v>
      </c>
      <c r="T145" s="47" t="b">
        <f>if(countifs('MHQ, USA'!Q:Q,$A145,'MHQ, USA'!$I:$I,TRUE),TRUE,FALSE)</f>
        <v>0</v>
      </c>
      <c r="U145" s="47" t="b">
        <f>if(countifs('Morayfield, AUS'!Q:Q,$A145,'Morayfield, AUS'!$I:$I,TRUE),TRUE,FALSE)</f>
        <v>0</v>
      </c>
      <c r="V145" s="11" t="b">
        <f>if(countifs('Arnhem, NL'!Q:Q,$A145,'Arnhem, NL'!$I:$I,TRUE),TRUE,FALSE)</f>
        <v>0</v>
      </c>
      <c r="W145" s="47" t="b">
        <f>if(countifs('Gotenborg, SW'!Q:Q,$A145,'Gotenborg, SW'!$I:$I,TRUE),TRUE,FALSE)</f>
        <v>0</v>
      </c>
      <c r="X145" s="47" t="b">
        <f>if(countifs('Shepparton, AUS'!Q:Q,$A145,'Shepparton, AUS'!$I:$I,TRUE),TRUE,FALSE)</f>
        <v>0</v>
      </c>
      <c r="Y145" s="47" t="b">
        <f>if(countifs('Hoofddorp, NL'!Q:Q,$A145,'Hoofddorp, NL'!$I:$I,TRUE),TRUE,FALSE)</f>
        <v>0</v>
      </c>
      <c r="Z145" s="47" t="b">
        <f>if(countifs('Bedford, UK'!Q:Q,$A145,'Bedford, UK'!$I:$I,TRUE),TRUE,FALSE)</f>
        <v>0</v>
      </c>
      <c r="AA145" s="47" t="b">
        <f>IF(COUNTIFS('Desert Lodge, USA'!Q:Q,$A145,'Desert Lodge, USA'!I:I,TRUE),TRUE,FALSE)</f>
        <v>0</v>
      </c>
      <c r="AB145" s="47" t="b">
        <f>if(countifs('Dapto, AUS'!Q:Q,$A145,'Dapto, AUS'!$I:$I,TRUE),TRUE,FALSE)</f>
        <v>0</v>
      </c>
      <c r="AC145" s="47" t="b">
        <f>if(countifs('New Westminster, CAN'!Q:Q,$A145,'New Westminster, CAN'!$I:$I,TRUE),TRUE,FALSE)</f>
        <v>0</v>
      </c>
      <c r="AD145" s="47" t="b">
        <f>if(countifs('Georgetown, CAN'!Q:Q,$A145,'Georgetown, CAN'!$I:$I,TRUE),TRUE,FALSE)</f>
        <v>0</v>
      </c>
      <c r="AE145" s="47" t="b">
        <f>if(countifs('Kingswood, UK'!Q:Q,$A145,'Kingswood, UK'!$I:$I,TRUE),TRUE,FALSE)</f>
        <v>0</v>
      </c>
      <c r="AF145" s="47" t="b">
        <f>if(countifs('Hagerstown, USA'!Q:Q,$A145,'Hagerstown, USA'!$I:$I,TRUE),TRUE,FALSE)</f>
        <v>0</v>
      </c>
      <c r="AG145" s="47" t="b">
        <f>if(countifs('Felsogalla, HU'!Q:Q,$A145,'Felsogalla, HU'!$I:$I,TRUE),TRUE,FALSE)</f>
        <v>0</v>
      </c>
      <c r="AH145" s="47" t="b">
        <f>if(countifs('Norlane, AUS'!Q:Q,$A145,'Norlane, AUS'!$I:$I,TRUE),TRUE,FALSE)</f>
        <v>0</v>
      </c>
      <c r="AI145" s="47" t="b">
        <f>if(countifs('Meitingen, GER'!Q:Q,$A145,'Meitingen, GER'!$I:$I,TRUE),TRUE,FALSE)</f>
        <v>0</v>
      </c>
      <c r="AJ145" s="47" t="b">
        <f>if(countifs('Groningen, NL'!Q:Q,$A145,'Groningen, NL'!$I:$I,TRUE),TRUE,FALSE)</f>
        <v>0</v>
      </c>
      <c r="AK145" s="47" t="b">
        <f>if(countifs('Linköping, SW'!Q:Q,$A145,'Linköping, SW'!$I:$I,TRUE),TRUE,FALSE)</f>
        <v>0</v>
      </c>
      <c r="AL145" s="47" t="b">
        <f>if(countifs('Austin, USA'!Q:Q,$A145,'Austin, USA'!$I:$I,TRUE),TRUE,FALSE)</f>
        <v>0</v>
      </c>
      <c r="AM145" s="47" t="b">
        <f>if(countifs('Thringstone, UK'!Q:Q,$A145,'Thringstone, UK'!$I:$I,TRUE),TRUE,FALSE)</f>
        <v>0</v>
      </c>
      <c r="AN145" s="47" t="b">
        <f>if(countifs('Andover, UK'!Q:Q,$A145,'Andover, UK'!$I:$I,TRUE),TRUE,FALSE)</f>
        <v>0</v>
      </c>
      <c r="AO145" s="47" t="b">
        <f>if(countifs('Ospel, NL'!Q:Q,$A145,'Ospel, NL'!$I:$I,TRUE),TRUE,FALSE)</f>
        <v>1</v>
      </c>
      <c r="AP145" s="47" t="b">
        <f>if(countifs('Wonthaggi, AUS'!Q:Q,$A145,'Wonthaggi, AUS'!$I:$I,TRUE),TRUE,FALSE)</f>
        <v>0</v>
      </c>
      <c r="AQ145" s="47" t="b">
        <f>if(countifs('Falling_Waters, USA'!$Q:$Q,$A145,'Falling_Waters, USA'!$I:$I,TRUE),TRUE,FALSE)</f>
        <v>0</v>
      </c>
      <c r="AR145" s="47" t="b">
        <f>if(countifs('Kelmscott, AUS'!Q:Q,$A145,'Kelmscott, AUS'!$I:$I,TRUE),TRUE,FALSE)</f>
        <v>0</v>
      </c>
    </row>
    <row r="146">
      <c r="A146" s="47" t="str">
        <f>IFERROR(__xludf.DUMMYFUNCTION("""COMPUTED_VALUE"""),"Kastella")</f>
        <v>Kastella</v>
      </c>
      <c r="B146" s="47">
        <f t="shared" si="1"/>
        <v>1</v>
      </c>
      <c r="C146" s="47" t="b">
        <v>0</v>
      </c>
      <c r="D146" s="47" t="b">
        <v>0</v>
      </c>
      <c r="E146" s="47" t="b">
        <v>0</v>
      </c>
      <c r="F146" s="47" t="b">
        <v>0</v>
      </c>
      <c r="G146" s="96"/>
      <c r="H146" s="96" t="b">
        <f>if(countifs('Berlin, GER'!Q:Q,A146,'Berlin, GER'!I:I,TRUE),TRUE,FALSE)</f>
        <v>0</v>
      </c>
      <c r="I146" s="96" t="b">
        <f>if(countifs('Escondido, USA'!Q:Q,A146,'Escondido, USA'!I:I,TRUE),TRUE,FALSE)</f>
        <v>0</v>
      </c>
      <c r="J146" s="96" t="b">
        <f>if(countifs('Onkaparinga_Hills, AUS'!Q:Q,A146,'Onkaparinga_Hills, AUS'!I:I,TRUE),TRUE,FALSE)</f>
        <v>0</v>
      </c>
      <c r="K146" s="96" t="b">
        <f>if(countifs('Perth, AUS'!Q:Q,A146,'Perth, AUS'!I:I,TRUE),TRUE,FALSE)</f>
        <v>0</v>
      </c>
      <c r="L146" s="96" t="b">
        <f>if(countifs('Raleigh, USA'!Q:Q,A146,'Raleigh, USA'!I:I,TRUE),TRUE,FALSE)</f>
        <v>0</v>
      </c>
      <c r="M146" s="96" t="b">
        <f>if(countifs('Browns Plains, AUS'!Q:Q,A146,'Browns Plains, AUS'!I:I,TRUE),TRUE,FALSE)</f>
        <v>0</v>
      </c>
      <c r="N146" s="96" t="b">
        <f>if(countifs('Brossard, CAN'!Q:Q,A146,'Brossard, CAN'!I:I,TRUE),TRUE,FALSE)</f>
        <v>0</v>
      </c>
      <c r="O146" s="96" t="b">
        <f>if(countifs('Gouda, NL'!Q:Q,$A146,'Gouda, NL'!$I:$I,TRUE),TRUE,FALSE)</f>
        <v>0</v>
      </c>
      <c r="P146" s="47" t="b">
        <f>if(countifs('Plympton, UK'!Q:Q,$A146,'Plympton, UK'!$I:$I,TRUE),TRUE,FALSE)</f>
        <v>0</v>
      </c>
      <c r="Q146" s="47" t="b">
        <f>if(countifs('Glen Oaks, USA'!Q:Q,$A146,'Glen Oaks, USA'!$I:$I,TRUE),TRUE,FALSE)</f>
        <v>0</v>
      </c>
      <c r="R146" s="47" t="b">
        <f>if(countifs('Chemnitz, GER'!Q:Q,$A146,'Chemnitz, GER'!I:I,TRUE),TRUE,FALSE)</f>
        <v>0</v>
      </c>
      <c r="S146" s="47" t="b">
        <f>if(countifs('Vosselaar, BE'!Q:Q,$A146,'Vosselaar, BE'!$I:$I,TRUE),TRUE,FALSE)</f>
        <v>0</v>
      </c>
      <c r="T146" s="47" t="b">
        <f>if(countifs('MHQ, USA'!Q:Q,$A146,'MHQ, USA'!$I:$I,TRUE),TRUE,FALSE)</f>
        <v>0</v>
      </c>
      <c r="U146" s="47" t="b">
        <f>if(countifs('Morayfield, AUS'!Q:Q,$A146,'Morayfield, AUS'!$I:$I,TRUE),TRUE,FALSE)</f>
        <v>0</v>
      </c>
      <c r="V146" s="11" t="b">
        <f>if(countifs('Arnhem, NL'!Q:Q,$A146,'Arnhem, NL'!$I:$I,TRUE),TRUE,FALSE)</f>
        <v>0</v>
      </c>
      <c r="W146" s="47" t="b">
        <f>if(countifs('Gotenborg, SW'!Q:Q,$A146,'Gotenborg, SW'!$I:$I,TRUE),TRUE,FALSE)</f>
        <v>0</v>
      </c>
      <c r="X146" s="47" t="b">
        <f>if(countifs('Shepparton, AUS'!Q:Q,$A146,'Shepparton, AUS'!$I:$I,TRUE),TRUE,FALSE)</f>
        <v>0</v>
      </c>
      <c r="Y146" s="47" t="b">
        <f>if(countifs('Hoofddorp, NL'!Q:Q,$A146,'Hoofddorp, NL'!$I:$I,TRUE),TRUE,FALSE)</f>
        <v>0</v>
      </c>
      <c r="Z146" s="47" t="b">
        <f>if(countifs('Bedford, UK'!Q:Q,$A146,'Bedford, UK'!$I:$I,TRUE),TRUE,FALSE)</f>
        <v>0</v>
      </c>
      <c r="AA146" s="47" t="b">
        <f>IF(COUNTIFS('Desert Lodge, USA'!Q:Q,$A146,'Desert Lodge, USA'!I:I,TRUE),TRUE,FALSE)</f>
        <v>0</v>
      </c>
      <c r="AB146" s="47" t="b">
        <f>if(countifs('Dapto, AUS'!Q:Q,$A146,'Dapto, AUS'!$I:$I,TRUE),TRUE,FALSE)</f>
        <v>0</v>
      </c>
      <c r="AC146" s="47" t="b">
        <f>if(countifs('New Westminster, CAN'!Q:Q,$A146,'New Westminster, CAN'!$I:$I,TRUE),TRUE,FALSE)</f>
        <v>0</v>
      </c>
      <c r="AD146" s="47" t="b">
        <f>if(countifs('Georgetown, CAN'!Q:Q,$A146,'Georgetown, CAN'!$I:$I,TRUE),TRUE,FALSE)</f>
        <v>0</v>
      </c>
      <c r="AE146" s="47" t="b">
        <f>if(countifs('Kingswood, UK'!Q:Q,$A146,'Kingswood, UK'!$I:$I,TRUE),TRUE,FALSE)</f>
        <v>0</v>
      </c>
      <c r="AF146" s="47" t="b">
        <f>if(countifs('Hagerstown, USA'!Q:Q,$A146,'Hagerstown, USA'!$I:$I,TRUE),TRUE,FALSE)</f>
        <v>0</v>
      </c>
      <c r="AG146" s="47" t="b">
        <f>if(countifs('Felsogalla, HU'!Q:Q,$A146,'Felsogalla, HU'!$I:$I,TRUE),TRUE,FALSE)</f>
        <v>0</v>
      </c>
      <c r="AH146" s="47" t="b">
        <f>if(countifs('Norlane, AUS'!Q:Q,$A146,'Norlane, AUS'!$I:$I,TRUE),TRUE,FALSE)</f>
        <v>0</v>
      </c>
      <c r="AI146" s="47" t="b">
        <f>if(countifs('Meitingen, GER'!Q:Q,$A146,'Meitingen, GER'!$I:$I,TRUE),TRUE,FALSE)</f>
        <v>0</v>
      </c>
      <c r="AJ146" s="47" t="b">
        <f>if(countifs('Groningen, NL'!Q:Q,$A146,'Groningen, NL'!$I:$I,TRUE),TRUE,FALSE)</f>
        <v>0</v>
      </c>
      <c r="AK146" s="47" t="b">
        <f>if(countifs('Linköping, SW'!Q:Q,$A146,'Linköping, SW'!$I:$I,TRUE),TRUE,FALSE)</f>
        <v>0</v>
      </c>
      <c r="AL146" s="47" t="b">
        <f>if(countifs('Austin, USA'!Q:Q,$A146,'Austin, USA'!$I:$I,TRUE),TRUE,FALSE)</f>
        <v>0</v>
      </c>
      <c r="AM146" s="47" t="b">
        <f>if(countifs('Thringstone, UK'!Q:Q,$A146,'Thringstone, UK'!$I:$I,TRUE),TRUE,FALSE)</f>
        <v>0</v>
      </c>
      <c r="AN146" s="47" t="b">
        <f>if(countifs('Andover, UK'!Q:Q,$A146,'Andover, UK'!$I:$I,TRUE),TRUE,FALSE)</f>
        <v>0</v>
      </c>
      <c r="AO146" s="47" t="b">
        <f>if(countifs('Ospel, NL'!Q:Q,$A146,'Ospel, NL'!$I:$I,TRUE),TRUE,FALSE)</f>
        <v>1</v>
      </c>
      <c r="AP146" s="47" t="b">
        <f>if(countifs('Wonthaggi, AUS'!Q:Q,$A146,'Wonthaggi, AUS'!$I:$I,TRUE),TRUE,FALSE)</f>
        <v>0</v>
      </c>
      <c r="AQ146" s="47" t="b">
        <f>if(countifs('Falling_Waters, USA'!$Q:$Q,$A146,'Falling_Waters, USA'!$I:$I,TRUE),TRUE,FALSE)</f>
        <v>0</v>
      </c>
      <c r="AR146" s="47" t="b">
        <f>if(countifs('Kelmscott, AUS'!Q:Q,$A146,'Kelmscott, AUS'!$I:$I,TRUE),TRUE,FALSE)</f>
        <v>0</v>
      </c>
    </row>
    <row r="147">
      <c r="A147" s="47" t="str">
        <f>IFERROR(__xludf.DUMMYFUNCTION("""COMPUTED_VALUE"""),"Reart")</f>
        <v>Reart</v>
      </c>
      <c r="B147" s="47">
        <f t="shared" si="1"/>
        <v>1</v>
      </c>
      <c r="C147" s="47" t="b">
        <v>0</v>
      </c>
      <c r="D147" s="47" t="b">
        <v>0</v>
      </c>
      <c r="E147" s="47" t="b">
        <v>0</v>
      </c>
      <c r="F147" s="47" t="b">
        <v>0</v>
      </c>
      <c r="G147" s="96"/>
      <c r="H147" s="96" t="b">
        <f>if(countifs('Berlin, GER'!Q:Q,A147,'Berlin, GER'!I:I,TRUE),TRUE,FALSE)</f>
        <v>0</v>
      </c>
      <c r="I147" s="96" t="b">
        <f>if(countifs('Escondido, USA'!Q:Q,A147,'Escondido, USA'!I:I,TRUE),TRUE,FALSE)</f>
        <v>0</v>
      </c>
      <c r="J147" s="96" t="b">
        <f>if(countifs('Onkaparinga_Hills, AUS'!Q:Q,A147,'Onkaparinga_Hills, AUS'!I:I,TRUE),TRUE,FALSE)</f>
        <v>0</v>
      </c>
      <c r="K147" s="96" t="b">
        <f>if(countifs('Perth, AUS'!Q:Q,A147,'Perth, AUS'!I:I,TRUE),TRUE,FALSE)</f>
        <v>0</v>
      </c>
      <c r="L147" s="96" t="b">
        <f>if(countifs('Raleigh, USA'!Q:Q,A147,'Raleigh, USA'!I:I,TRUE),TRUE,FALSE)</f>
        <v>0</v>
      </c>
      <c r="M147" s="96" t="b">
        <f>if(countifs('Browns Plains, AUS'!Q:Q,A147,'Browns Plains, AUS'!I:I,TRUE),TRUE,FALSE)</f>
        <v>0</v>
      </c>
      <c r="N147" s="96" t="b">
        <f>if(countifs('Brossard, CAN'!Q:Q,A147,'Brossard, CAN'!I:I,TRUE),TRUE,FALSE)</f>
        <v>0</v>
      </c>
      <c r="O147" s="96" t="b">
        <f>if(countifs('Gouda, NL'!Q:Q,$A147,'Gouda, NL'!$I:$I,TRUE),TRUE,FALSE)</f>
        <v>0</v>
      </c>
      <c r="P147" s="47" t="b">
        <f>if(countifs('Plympton, UK'!Q:Q,$A147,'Plympton, UK'!$I:$I,TRUE),TRUE,FALSE)</f>
        <v>0</v>
      </c>
      <c r="Q147" s="47" t="b">
        <f>if(countifs('Glen Oaks, USA'!Q:Q,$A147,'Glen Oaks, USA'!$I:$I,TRUE),TRUE,FALSE)</f>
        <v>0</v>
      </c>
      <c r="R147" s="47" t="b">
        <f>if(countifs('Chemnitz, GER'!Q:Q,$A147,'Chemnitz, GER'!I:I,TRUE),TRUE,FALSE)</f>
        <v>0</v>
      </c>
      <c r="S147" s="47" t="b">
        <f>if(countifs('Vosselaar, BE'!Q:Q,$A147,'Vosselaar, BE'!$I:$I,TRUE),TRUE,FALSE)</f>
        <v>0</v>
      </c>
      <c r="T147" s="47" t="b">
        <f>if(countifs('MHQ, USA'!Q:Q,$A147,'MHQ, USA'!$I:$I,TRUE),TRUE,FALSE)</f>
        <v>0</v>
      </c>
      <c r="U147" s="47" t="b">
        <f>if(countifs('Morayfield, AUS'!Q:Q,$A147,'Morayfield, AUS'!$I:$I,TRUE),TRUE,FALSE)</f>
        <v>0</v>
      </c>
      <c r="V147" s="11" t="b">
        <f>if(countifs('Arnhem, NL'!Q:Q,$A147,'Arnhem, NL'!$I:$I,TRUE),TRUE,FALSE)</f>
        <v>0</v>
      </c>
      <c r="W147" s="47" t="b">
        <f>if(countifs('Gotenborg, SW'!Q:Q,$A147,'Gotenborg, SW'!$I:$I,TRUE),TRUE,FALSE)</f>
        <v>0</v>
      </c>
      <c r="X147" s="47" t="b">
        <f>if(countifs('Shepparton, AUS'!Q:Q,$A147,'Shepparton, AUS'!$I:$I,TRUE),TRUE,FALSE)</f>
        <v>0</v>
      </c>
      <c r="Y147" s="47" t="b">
        <f>if(countifs('Hoofddorp, NL'!Q:Q,$A147,'Hoofddorp, NL'!$I:$I,TRUE),TRUE,FALSE)</f>
        <v>0</v>
      </c>
      <c r="Z147" s="47" t="b">
        <f>if(countifs('Bedford, UK'!Q:Q,$A147,'Bedford, UK'!$I:$I,TRUE),TRUE,FALSE)</f>
        <v>0</v>
      </c>
      <c r="AA147" s="47" t="b">
        <f>IF(COUNTIFS('Desert Lodge, USA'!Q:Q,$A147,'Desert Lodge, USA'!I:I,TRUE),TRUE,FALSE)</f>
        <v>0</v>
      </c>
      <c r="AB147" s="47" t="b">
        <f>if(countifs('Dapto, AUS'!Q:Q,$A147,'Dapto, AUS'!$I:$I,TRUE),TRUE,FALSE)</f>
        <v>0</v>
      </c>
      <c r="AC147" s="47" t="b">
        <f>if(countifs('New Westminster, CAN'!Q:Q,$A147,'New Westminster, CAN'!$I:$I,TRUE),TRUE,FALSE)</f>
        <v>0</v>
      </c>
      <c r="AD147" s="47" t="b">
        <f>if(countifs('Georgetown, CAN'!Q:Q,$A147,'Georgetown, CAN'!$I:$I,TRUE),TRUE,FALSE)</f>
        <v>1</v>
      </c>
      <c r="AE147" s="47" t="b">
        <f>if(countifs('Kingswood, UK'!Q:Q,$A147,'Kingswood, UK'!$I:$I,TRUE),TRUE,FALSE)</f>
        <v>0</v>
      </c>
      <c r="AF147" s="47" t="b">
        <f>if(countifs('Hagerstown, USA'!Q:Q,$A147,'Hagerstown, USA'!$I:$I,TRUE),TRUE,FALSE)</f>
        <v>0</v>
      </c>
      <c r="AG147" s="47" t="b">
        <f>if(countifs('Felsogalla, HU'!Q:Q,$A147,'Felsogalla, HU'!$I:$I,TRUE),TRUE,FALSE)</f>
        <v>0</v>
      </c>
      <c r="AH147" s="47" t="b">
        <f>if(countifs('Norlane, AUS'!Q:Q,$A147,'Norlane, AUS'!$I:$I,TRUE),TRUE,FALSE)</f>
        <v>0</v>
      </c>
      <c r="AI147" s="47" t="b">
        <f>if(countifs('Meitingen, GER'!Q:Q,$A147,'Meitingen, GER'!$I:$I,TRUE),TRUE,FALSE)</f>
        <v>0</v>
      </c>
      <c r="AJ147" s="47" t="b">
        <f>if(countifs('Groningen, NL'!Q:Q,$A147,'Groningen, NL'!$I:$I,TRUE),TRUE,FALSE)</f>
        <v>0</v>
      </c>
      <c r="AK147" s="47" t="b">
        <f>if(countifs('Linköping, SW'!Q:Q,$A147,'Linköping, SW'!$I:$I,TRUE),TRUE,FALSE)</f>
        <v>0</v>
      </c>
      <c r="AL147" s="47" t="b">
        <f>if(countifs('Austin, USA'!Q:Q,$A147,'Austin, USA'!$I:$I,TRUE),TRUE,FALSE)</f>
        <v>0</v>
      </c>
      <c r="AM147" s="47" t="b">
        <f>if(countifs('Thringstone, UK'!Q:Q,$A147,'Thringstone, UK'!$I:$I,TRUE),TRUE,FALSE)</f>
        <v>0</v>
      </c>
      <c r="AN147" s="47" t="b">
        <f>if(countifs('Andover, UK'!Q:Q,$A147,'Andover, UK'!$I:$I,TRUE),TRUE,FALSE)</f>
        <v>0</v>
      </c>
      <c r="AO147" s="47" t="b">
        <f>if(countifs('Ospel, NL'!Q:Q,$A147,'Ospel, NL'!$I:$I,TRUE),TRUE,FALSE)</f>
        <v>0</v>
      </c>
      <c r="AP147" s="47" t="b">
        <f>if(countifs('Wonthaggi, AUS'!Q:Q,$A147,'Wonthaggi, AUS'!$I:$I,TRUE),TRUE,FALSE)</f>
        <v>0</v>
      </c>
      <c r="AQ147" s="47" t="b">
        <f>if(countifs('Falling_Waters, USA'!$Q:$Q,$A147,'Falling_Waters, USA'!$I:$I,TRUE),TRUE,FALSE)</f>
        <v>0</v>
      </c>
      <c r="AR147" s="47" t="b">
        <f>if(countifs('Kelmscott, AUS'!Q:Q,$A147,'Kelmscott, AUS'!$I:$I,TRUE),TRUE,FALSE)</f>
        <v>0</v>
      </c>
    </row>
    <row r="148">
      <c r="A148" s="47" t="str">
        <f>IFERROR(__xludf.DUMMYFUNCTION("""COMPUTED_VALUE"""),"TK2100")</f>
        <v>TK2100</v>
      </c>
      <c r="B148" s="47">
        <f t="shared" si="1"/>
        <v>1</v>
      </c>
      <c r="C148" s="47" t="b">
        <v>0</v>
      </c>
      <c r="D148" s="47" t="b">
        <v>0</v>
      </c>
      <c r="E148" s="47" t="b">
        <v>0</v>
      </c>
      <c r="F148" s="47" t="b">
        <v>0</v>
      </c>
      <c r="G148" s="96"/>
      <c r="H148" s="96" t="b">
        <f>if(countifs('Berlin, GER'!Q:Q,A148,'Berlin, GER'!I:I,TRUE),TRUE,FALSE)</f>
        <v>0</v>
      </c>
      <c r="I148" s="96" t="b">
        <f>if(countifs('Escondido, USA'!Q:Q,A148,'Escondido, USA'!I:I,TRUE),TRUE,FALSE)</f>
        <v>0</v>
      </c>
      <c r="J148" s="96" t="b">
        <f>if(countifs('Onkaparinga_Hills, AUS'!Q:Q,A148,'Onkaparinga_Hills, AUS'!I:I,TRUE),TRUE,FALSE)</f>
        <v>0</v>
      </c>
      <c r="K148" s="96" t="b">
        <f>if(countifs('Perth, AUS'!Q:Q,A148,'Perth, AUS'!I:I,TRUE),TRUE,FALSE)</f>
        <v>0</v>
      </c>
      <c r="L148" s="96" t="b">
        <f>if(countifs('Raleigh, USA'!Q:Q,A148,'Raleigh, USA'!I:I,TRUE),TRUE,FALSE)</f>
        <v>0</v>
      </c>
      <c r="M148" s="96" t="b">
        <f>if(countifs('Browns Plains, AUS'!Q:Q,A148,'Browns Plains, AUS'!I:I,TRUE),TRUE,FALSE)</f>
        <v>0</v>
      </c>
      <c r="N148" s="96" t="b">
        <f>if(countifs('Brossard, CAN'!Q:Q,A148,'Brossard, CAN'!I:I,TRUE),TRUE,FALSE)</f>
        <v>0</v>
      </c>
      <c r="O148" s="96" t="b">
        <f>if(countifs('Gouda, NL'!Q:Q,$A148,'Gouda, NL'!$I:$I,TRUE),TRUE,FALSE)</f>
        <v>0</v>
      </c>
      <c r="P148" s="47" t="b">
        <f>if(countifs('Plympton, UK'!Q:Q,$A148,'Plympton, UK'!$I:$I,TRUE),TRUE,FALSE)</f>
        <v>0</v>
      </c>
      <c r="Q148" s="47" t="b">
        <f>if(countifs('Glen Oaks, USA'!Q:Q,$A148,'Glen Oaks, USA'!$I:$I,TRUE),TRUE,FALSE)</f>
        <v>0</v>
      </c>
      <c r="R148" s="47" t="b">
        <f>if(countifs('Chemnitz, GER'!Q:Q,$A148,'Chemnitz, GER'!I:I,TRUE),TRUE,FALSE)</f>
        <v>0</v>
      </c>
      <c r="S148" s="47" t="b">
        <f>if(countifs('Vosselaar, BE'!Q:Q,$A148,'Vosselaar, BE'!$I:$I,TRUE),TRUE,FALSE)</f>
        <v>0</v>
      </c>
      <c r="T148" s="47" t="b">
        <f>if(countifs('MHQ, USA'!Q:Q,$A148,'MHQ, USA'!$I:$I,TRUE),TRUE,FALSE)</f>
        <v>0</v>
      </c>
      <c r="U148" s="47" t="b">
        <f>if(countifs('Morayfield, AUS'!Q:Q,$A148,'Morayfield, AUS'!$I:$I,TRUE),TRUE,FALSE)</f>
        <v>0</v>
      </c>
      <c r="V148" s="11" t="b">
        <f>if(countifs('Arnhem, NL'!Q:Q,$A148,'Arnhem, NL'!$I:$I,TRUE),TRUE,FALSE)</f>
        <v>0</v>
      </c>
      <c r="W148" s="47" t="b">
        <f>if(countifs('Gotenborg, SW'!Q:Q,$A148,'Gotenborg, SW'!$I:$I,TRUE),TRUE,FALSE)</f>
        <v>0</v>
      </c>
      <c r="X148" s="47" t="b">
        <f>if(countifs('Shepparton, AUS'!Q:Q,$A148,'Shepparton, AUS'!$I:$I,TRUE),TRUE,FALSE)</f>
        <v>0</v>
      </c>
      <c r="Y148" s="47" t="b">
        <f>if(countifs('Hoofddorp, NL'!Q:Q,$A148,'Hoofddorp, NL'!$I:$I,TRUE),TRUE,FALSE)</f>
        <v>0</v>
      </c>
      <c r="Z148" s="47" t="b">
        <f>if(countifs('Bedford, UK'!Q:Q,$A148,'Bedford, UK'!$I:$I,TRUE),TRUE,FALSE)</f>
        <v>0</v>
      </c>
      <c r="AA148" s="47" t="b">
        <f>IF(COUNTIFS('Desert Lodge, USA'!Q:Q,$A148,'Desert Lodge, USA'!I:I,TRUE),TRUE,FALSE)</f>
        <v>0</v>
      </c>
      <c r="AB148" s="47" t="b">
        <f>if(countifs('Dapto, AUS'!Q:Q,$A148,'Dapto, AUS'!$I:$I,TRUE),TRUE,FALSE)</f>
        <v>0</v>
      </c>
      <c r="AC148" s="47" t="b">
        <f>if(countifs('New Westminster, CAN'!Q:Q,$A148,'New Westminster, CAN'!$I:$I,TRUE),TRUE,FALSE)</f>
        <v>0</v>
      </c>
      <c r="AD148" s="47" t="b">
        <f>if(countifs('Georgetown, CAN'!Q:Q,$A148,'Georgetown, CAN'!$I:$I,TRUE),TRUE,FALSE)</f>
        <v>1</v>
      </c>
      <c r="AE148" s="47" t="b">
        <f>if(countifs('Kingswood, UK'!Q:Q,$A148,'Kingswood, UK'!$I:$I,TRUE),TRUE,FALSE)</f>
        <v>0</v>
      </c>
      <c r="AF148" s="47" t="b">
        <f>if(countifs('Hagerstown, USA'!Q:Q,$A148,'Hagerstown, USA'!$I:$I,TRUE),TRUE,FALSE)</f>
        <v>0</v>
      </c>
      <c r="AG148" s="47" t="b">
        <f>if(countifs('Felsogalla, HU'!Q:Q,$A148,'Felsogalla, HU'!$I:$I,TRUE),TRUE,FALSE)</f>
        <v>0</v>
      </c>
      <c r="AH148" s="47" t="b">
        <f>if(countifs('Norlane, AUS'!Q:Q,$A148,'Norlane, AUS'!$I:$I,TRUE),TRUE,FALSE)</f>
        <v>0</v>
      </c>
      <c r="AI148" s="47" t="b">
        <f>if(countifs('Meitingen, GER'!Q:Q,$A148,'Meitingen, GER'!$I:$I,TRUE),TRUE,FALSE)</f>
        <v>0</v>
      </c>
      <c r="AJ148" s="47" t="b">
        <f>if(countifs('Groningen, NL'!Q:Q,$A148,'Groningen, NL'!$I:$I,TRUE),TRUE,FALSE)</f>
        <v>0</v>
      </c>
      <c r="AK148" s="47" t="b">
        <f>if(countifs('Linköping, SW'!Q:Q,$A148,'Linköping, SW'!$I:$I,TRUE),TRUE,FALSE)</f>
        <v>0</v>
      </c>
      <c r="AL148" s="47" t="b">
        <f>if(countifs('Austin, USA'!Q:Q,$A148,'Austin, USA'!$I:$I,TRUE),TRUE,FALSE)</f>
        <v>0</v>
      </c>
      <c r="AM148" s="47" t="b">
        <f>if(countifs('Thringstone, UK'!Q:Q,$A148,'Thringstone, UK'!$I:$I,TRUE),TRUE,FALSE)</f>
        <v>0</v>
      </c>
      <c r="AN148" s="47" t="b">
        <f>if(countifs('Andover, UK'!Q:Q,$A148,'Andover, UK'!$I:$I,TRUE),TRUE,FALSE)</f>
        <v>0</v>
      </c>
      <c r="AO148" s="47" t="b">
        <f>if(countifs('Ospel, NL'!Q:Q,$A148,'Ospel, NL'!$I:$I,TRUE),TRUE,FALSE)</f>
        <v>0</v>
      </c>
      <c r="AP148" s="47" t="b">
        <f>if(countifs('Wonthaggi, AUS'!Q:Q,$A148,'Wonthaggi, AUS'!$I:$I,TRUE),TRUE,FALSE)</f>
        <v>0</v>
      </c>
      <c r="AQ148" s="47" t="b">
        <f>if(countifs('Falling_Waters, USA'!$Q:$Q,$A148,'Falling_Waters, USA'!$I:$I,TRUE),TRUE,FALSE)</f>
        <v>0</v>
      </c>
      <c r="AR148" s="47" t="b">
        <f>if(countifs('Kelmscott, AUS'!Q:Q,$A148,'Kelmscott, AUS'!$I:$I,TRUE),TRUE,FALSE)</f>
        <v>0</v>
      </c>
    </row>
    <row r="149">
      <c r="A149" s="47" t="str">
        <f>IFERROR(__xludf.DUMMYFUNCTION("""COMPUTED_VALUE"""),"Orky99")</f>
        <v>Orky99</v>
      </c>
      <c r="B149" s="47">
        <f t="shared" si="1"/>
        <v>1</v>
      </c>
      <c r="C149" s="47" t="b">
        <v>0</v>
      </c>
      <c r="D149" s="47" t="b">
        <v>0</v>
      </c>
      <c r="E149" s="47" t="b">
        <v>0</v>
      </c>
      <c r="F149" s="47" t="b">
        <v>0</v>
      </c>
      <c r="G149" s="96"/>
      <c r="H149" s="96" t="b">
        <f>if(countifs('Berlin, GER'!Q:Q,A149,'Berlin, GER'!I:I,TRUE),TRUE,FALSE)</f>
        <v>0</v>
      </c>
      <c r="I149" s="96" t="b">
        <f>if(countifs('Escondido, USA'!Q:Q,A149,'Escondido, USA'!I:I,TRUE),TRUE,FALSE)</f>
        <v>0</v>
      </c>
      <c r="J149" s="96" t="b">
        <f>if(countifs('Onkaparinga_Hills, AUS'!Q:Q,A149,'Onkaparinga_Hills, AUS'!I:I,TRUE),TRUE,FALSE)</f>
        <v>0</v>
      </c>
      <c r="K149" s="96" t="b">
        <f>if(countifs('Perth, AUS'!Q:Q,A149,'Perth, AUS'!I:I,TRUE),TRUE,FALSE)</f>
        <v>0</v>
      </c>
      <c r="L149" s="96" t="b">
        <f>if(countifs('Raleigh, USA'!Q:Q,A149,'Raleigh, USA'!I:I,TRUE),TRUE,FALSE)</f>
        <v>0</v>
      </c>
      <c r="M149" s="96" t="b">
        <f>if(countifs('Browns Plains, AUS'!Q:Q,A149,'Browns Plains, AUS'!I:I,TRUE),TRUE,FALSE)</f>
        <v>0</v>
      </c>
      <c r="N149" s="96" t="b">
        <f>if(countifs('Brossard, CAN'!Q:Q,A149,'Brossard, CAN'!I:I,TRUE),TRUE,FALSE)</f>
        <v>0</v>
      </c>
      <c r="O149" s="96" t="b">
        <f>if(countifs('Gouda, NL'!Q:Q,$A149,'Gouda, NL'!$I:$I,TRUE),TRUE,FALSE)</f>
        <v>0</v>
      </c>
      <c r="P149" s="47" t="b">
        <f>if(countifs('Plympton, UK'!Q:Q,$A149,'Plympton, UK'!$I:$I,TRUE),TRUE,FALSE)</f>
        <v>0</v>
      </c>
      <c r="Q149" s="47" t="b">
        <f>if(countifs('Glen Oaks, USA'!Q:Q,$A149,'Glen Oaks, USA'!$I:$I,TRUE),TRUE,FALSE)</f>
        <v>0</v>
      </c>
      <c r="R149" s="47" t="b">
        <f>if(countifs('Chemnitz, GER'!Q:Q,$A149,'Chemnitz, GER'!I:I,TRUE),TRUE,FALSE)</f>
        <v>0</v>
      </c>
      <c r="S149" s="47" t="b">
        <f>if(countifs('Vosselaar, BE'!Q:Q,$A149,'Vosselaar, BE'!$I:$I,TRUE),TRUE,FALSE)</f>
        <v>0</v>
      </c>
      <c r="T149" s="47" t="b">
        <f>if(countifs('MHQ, USA'!Q:Q,$A149,'MHQ, USA'!$I:$I,TRUE),TRUE,FALSE)</f>
        <v>0</v>
      </c>
      <c r="U149" s="47" t="b">
        <f>if(countifs('Morayfield, AUS'!Q:Q,$A149,'Morayfield, AUS'!$I:$I,TRUE),TRUE,FALSE)</f>
        <v>0</v>
      </c>
      <c r="V149" s="11" t="b">
        <f>if(countifs('Arnhem, NL'!Q:Q,$A149,'Arnhem, NL'!$I:$I,TRUE),TRUE,FALSE)</f>
        <v>0</v>
      </c>
      <c r="W149" s="47" t="b">
        <f>if(countifs('Gotenborg, SW'!Q:Q,$A149,'Gotenborg, SW'!$I:$I,TRUE),TRUE,FALSE)</f>
        <v>0</v>
      </c>
      <c r="X149" s="47" t="b">
        <f>if(countifs('Shepparton, AUS'!Q:Q,$A149,'Shepparton, AUS'!$I:$I,TRUE),TRUE,FALSE)</f>
        <v>0</v>
      </c>
      <c r="Y149" s="47" t="b">
        <f>if(countifs('Hoofddorp, NL'!Q:Q,$A149,'Hoofddorp, NL'!$I:$I,TRUE),TRUE,FALSE)</f>
        <v>0</v>
      </c>
      <c r="Z149" s="47" t="b">
        <f>if(countifs('Bedford, UK'!Q:Q,$A149,'Bedford, UK'!$I:$I,TRUE),TRUE,FALSE)</f>
        <v>0</v>
      </c>
      <c r="AA149" s="47" t="b">
        <f>IF(COUNTIFS('Desert Lodge, USA'!Q:Q,$A149,'Desert Lodge, USA'!I:I,TRUE),TRUE,FALSE)</f>
        <v>0</v>
      </c>
      <c r="AB149" s="47" t="b">
        <f>if(countifs('Dapto, AUS'!Q:Q,$A149,'Dapto, AUS'!$I:$I,TRUE),TRUE,FALSE)</f>
        <v>0</v>
      </c>
      <c r="AC149" s="47" t="b">
        <f>if(countifs('New Westminster, CAN'!Q:Q,$A149,'New Westminster, CAN'!$I:$I,TRUE),TRUE,FALSE)</f>
        <v>0</v>
      </c>
      <c r="AD149" s="47" t="b">
        <f>if(countifs('Georgetown, CAN'!Q:Q,$A149,'Georgetown, CAN'!$I:$I,TRUE),TRUE,FALSE)</f>
        <v>1</v>
      </c>
      <c r="AE149" s="47" t="b">
        <f>if(countifs('Kingswood, UK'!Q:Q,$A149,'Kingswood, UK'!$I:$I,TRUE),TRUE,FALSE)</f>
        <v>0</v>
      </c>
      <c r="AF149" s="47" t="b">
        <f>if(countifs('Hagerstown, USA'!Q:Q,$A149,'Hagerstown, USA'!$I:$I,TRUE),TRUE,FALSE)</f>
        <v>0</v>
      </c>
      <c r="AG149" s="47" t="b">
        <f>if(countifs('Felsogalla, HU'!Q:Q,$A149,'Felsogalla, HU'!$I:$I,TRUE),TRUE,FALSE)</f>
        <v>0</v>
      </c>
      <c r="AH149" s="47" t="b">
        <f>if(countifs('Norlane, AUS'!Q:Q,$A149,'Norlane, AUS'!$I:$I,TRUE),TRUE,FALSE)</f>
        <v>0</v>
      </c>
      <c r="AI149" s="47" t="b">
        <f>if(countifs('Meitingen, GER'!Q:Q,$A149,'Meitingen, GER'!$I:$I,TRUE),TRUE,FALSE)</f>
        <v>0</v>
      </c>
      <c r="AJ149" s="47" t="b">
        <f>if(countifs('Groningen, NL'!Q:Q,$A149,'Groningen, NL'!$I:$I,TRUE),TRUE,FALSE)</f>
        <v>0</v>
      </c>
      <c r="AK149" s="47" t="b">
        <f>if(countifs('Linköping, SW'!Q:Q,$A149,'Linköping, SW'!$I:$I,TRUE),TRUE,FALSE)</f>
        <v>0</v>
      </c>
      <c r="AL149" s="47" t="b">
        <f>if(countifs('Austin, USA'!Q:Q,$A149,'Austin, USA'!$I:$I,TRUE),TRUE,FALSE)</f>
        <v>0</v>
      </c>
      <c r="AM149" s="47" t="b">
        <f>if(countifs('Thringstone, UK'!Q:Q,$A149,'Thringstone, UK'!$I:$I,TRUE),TRUE,FALSE)</f>
        <v>0</v>
      </c>
      <c r="AN149" s="47" t="b">
        <f>if(countifs('Andover, UK'!Q:Q,$A149,'Andover, UK'!$I:$I,TRUE),TRUE,FALSE)</f>
        <v>0</v>
      </c>
      <c r="AO149" s="47" t="b">
        <f>if(countifs('Ospel, NL'!Q:Q,$A149,'Ospel, NL'!$I:$I,TRUE),TRUE,FALSE)</f>
        <v>0</v>
      </c>
      <c r="AP149" s="47" t="b">
        <f>if(countifs('Wonthaggi, AUS'!Q:Q,$A149,'Wonthaggi, AUS'!$I:$I,TRUE),TRUE,FALSE)</f>
        <v>0</v>
      </c>
      <c r="AQ149" s="47" t="b">
        <f>if(countifs('Falling_Waters, USA'!$Q:$Q,$A149,'Falling_Waters, USA'!$I:$I,TRUE),TRUE,FALSE)</f>
        <v>0</v>
      </c>
      <c r="AR149" s="47" t="b">
        <f>if(countifs('Kelmscott, AUS'!Q:Q,$A149,'Kelmscott, AUS'!$I:$I,TRUE),TRUE,FALSE)</f>
        <v>0</v>
      </c>
    </row>
    <row r="150">
      <c r="A150" s="47" t="str">
        <f>IFERROR(__xludf.DUMMYFUNCTION("""COMPUTED_VALUE"""),"iScreamBIue")</f>
        <v>iScreamBIue</v>
      </c>
      <c r="B150" s="47">
        <f t="shared" si="1"/>
        <v>1</v>
      </c>
      <c r="C150" s="47" t="b">
        <v>0</v>
      </c>
      <c r="D150" s="47" t="b">
        <v>0</v>
      </c>
      <c r="E150" s="47" t="b">
        <v>0</v>
      </c>
      <c r="F150" s="47" t="b">
        <v>0</v>
      </c>
      <c r="G150" s="96"/>
      <c r="H150" s="96" t="b">
        <f>if(countifs('Berlin, GER'!Q:Q,A150,'Berlin, GER'!I:I,TRUE),TRUE,FALSE)</f>
        <v>0</v>
      </c>
      <c r="I150" s="96" t="b">
        <f>if(countifs('Escondido, USA'!Q:Q,A150,'Escondido, USA'!I:I,TRUE),TRUE,FALSE)</f>
        <v>0</v>
      </c>
      <c r="J150" s="96" t="b">
        <f>if(countifs('Onkaparinga_Hills, AUS'!Q:Q,A150,'Onkaparinga_Hills, AUS'!I:I,TRUE),TRUE,FALSE)</f>
        <v>0</v>
      </c>
      <c r="K150" s="96" t="b">
        <f>if(countifs('Perth, AUS'!Q:Q,A150,'Perth, AUS'!I:I,TRUE),TRUE,FALSE)</f>
        <v>0</v>
      </c>
      <c r="L150" s="96" t="b">
        <f>if(countifs('Raleigh, USA'!Q:Q,A150,'Raleigh, USA'!I:I,TRUE),TRUE,FALSE)</f>
        <v>0</v>
      </c>
      <c r="M150" s="96" t="b">
        <f>if(countifs('Browns Plains, AUS'!Q:Q,A150,'Browns Plains, AUS'!I:I,TRUE),TRUE,FALSE)</f>
        <v>0</v>
      </c>
      <c r="N150" s="96" t="b">
        <f>if(countifs('Brossard, CAN'!Q:Q,A150,'Brossard, CAN'!I:I,TRUE),TRUE,FALSE)</f>
        <v>0</v>
      </c>
      <c r="O150" s="96" t="b">
        <f>if(countifs('Gouda, NL'!Q:Q,$A150,'Gouda, NL'!$I:$I,TRUE),TRUE,FALSE)</f>
        <v>0</v>
      </c>
      <c r="P150" s="47" t="b">
        <f>if(countifs('Plympton, UK'!Q:Q,$A150,'Plympton, UK'!$I:$I,TRUE),TRUE,FALSE)</f>
        <v>0</v>
      </c>
      <c r="Q150" s="47" t="b">
        <f>if(countifs('Glen Oaks, USA'!Q:Q,$A150,'Glen Oaks, USA'!$I:$I,TRUE),TRUE,FALSE)</f>
        <v>0</v>
      </c>
      <c r="R150" s="47" t="b">
        <f>if(countifs('Chemnitz, GER'!Q:Q,$A150,'Chemnitz, GER'!I:I,TRUE),TRUE,FALSE)</f>
        <v>0</v>
      </c>
      <c r="S150" s="47" t="b">
        <f>if(countifs('Vosselaar, BE'!Q:Q,$A150,'Vosselaar, BE'!$I:$I,TRUE),TRUE,FALSE)</f>
        <v>0</v>
      </c>
      <c r="T150" s="47" t="b">
        <f>if(countifs('MHQ, USA'!Q:Q,$A150,'MHQ, USA'!$I:$I,TRUE),TRUE,FALSE)</f>
        <v>0</v>
      </c>
      <c r="U150" s="47" t="b">
        <f>if(countifs('Morayfield, AUS'!Q:Q,$A150,'Morayfield, AUS'!$I:$I,TRUE),TRUE,FALSE)</f>
        <v>0</v>
      </c>
      <c r="V150" s="11" t="b">
        <f>if(countifs('Arnhem, NL'!Q:Q,$A150,'Arnhem, NL'!$I:$I,TRUE),TRUE,FALSE)</f>
        <v>0</v>
      </c>
      <c r="W150" s="47" t="b">
        <f>if(countifs('Gotenborg, SW'!Q:Q,$A150,'Gotenborg, SW'!$I:$I,TRUE),TRUE,FALSE)</f>
        <v>0</v>
      </c>
      <c r="X150" s="47" t="b">
        <f>if(countifs('Shepparton, AUS'!Q:Q,$A150,'Shepparton, AUS'!$I:$I,TRUE),TRUE,FALSE)</f>
        <v>0</v>
      </c>
      <c r="Y150" s="47" t="b">
        <f>if(countifs('Hoofddorp, NL'!Q:Q,$A150,'Hoofddorp, NL'!$I:$I,TRUE),TRUE,FALSE)</f>
        <v>0</v>
      </c>
      <c r="Z150" s="47" t="b">
        <f>if(countifs('Bedford, UK'!Q:Q,$A150,'Bedford, UK'!$I:$I,TRUE),TRUE,FALSE)</f>
        <v>0</v>
      </c>
      <c r="AA150" s="47" t="b">
        <f>IF(COUNTIFS('Desert Lodge, USA'!Q:Q,$A150,'Desert Lodge, USA'!I:I,TRUE),TRUE,FALSE)</f>
        <v>0</v>
      </c>
      <c r="AB150" s="47" t="b">
        <f>if(countifs('Dapto, AUS'!Q:Q,$A150,'Dapto, AUS'!$I:$I,TRUE),TRUE,FALSE)</f>
        <v>0</v>
      </c>
      <c r="AC150" s="47" t="b">
        <f>if(countifs('New Westminster, CAN'!Q:Q,$A150,'New Westminster, CAN'!$I:$I,TRUE),TRUE,FALSE)</f>
        <v>0</v>
      </c>
      <c r="AD150" s="47" t="b">
        <f>if(countifs('Georgetown, CAN'!Q:Q,$A150,'Georgetown, CAN'!$I:$I,TRUE),TRUE,FALSE)</f>
        <v>1</v>
      </c>
      <c r="AE150" s="47" t="b">
        <f>if(countifs('Kingswood, UK'!Q:Q,$A150,'Kingswood, UK'!$I:$I,TRUE),TRUE,FALSE)</f>
        <v>0</v>
      </c>
      <c r="AF150" s="47" t="b">
        <f>if(countifs('Hagerstown, USA'!Q:Q,$A150,'Hagerstown, USA'!$I:$I,TRUE),TRUE,FALSE)</f>
        <v>0</v>
      </c>
      <c r="AG150" s="47" t="b">
        <f>if(countifs('Felsogalla, HU'!Q:Q,$A150,'Felsogalla, HU'!$I:$I,TRUE),TRUE,FALSE)</f>
        <v>0</v>
      </c>
      <c r="AH150" s="47" t="b">
        <f>if(countifs('Norlane, AUS'!Q:Q,$A150,'Norlane, AUS'!$I:$I,TRUE),TRUE,FALSE)</f>
        <v>0</v>
      </c>
      <c r="AI150" s="47" t="b">
        <f>if(countifs('Meitingen, GER'!Q:Q,$A150,'Meitingen, GER'!$I:$I,TRUE),TRUE,FALSE)</f>
        <v>0</v>
      </c>
      <c r="AJ150" s="47" t="b">
        <f>if(countifs('Groningen, NL'!Q:Q,$A150,'Groningen, NL'!$I:$I,TRUE),TRUE,FALSE)</f>
        <v>0</v>
      </c>
      <c r="AK150" s="47" t="b">
        <f>if(countifs('Linköping, SW'!Q:Q,$A150,'Linköping, SW'!$I:$I,TRUE),TRUE,FALSE)</f>
        <v>0</v>
      </c>
      <c r="AL150" s="47" t="b">
        <f>if(countifs('Austin, USA'!Q:Q,$A150,'Austin, USA'!$I:$I,TRUE),TRUE,FALSE)</f>
        <v>0</v>
      </c>
      <c r="AM150" s="47" t="b">
        <f>if(countifs('Thringstone, UK'!Q:Q,$A150,'Thringstone, UK'!$I:$I,TRUE),TRUE,FALSE)</f>
        <v>0</v>
      </c>
      <c r="AN150" s="47" t="b">
        <f>if(countifs('Andover, UK'!Q:Q,$A150,'Andover, UK'!$I:$I,TRUE),TRUE,FALSE)</f>
        <v>0</v>
      </c>
      <c r="AO150" s="47" t="b">
        <f>if(countifs('Ospel, NL'!Q:Q,$A150,'Ospel, NL'!$I:$I,TRUE),TRUE,FALSE)</f>
        <v>0</v>
      </c>
      <c r="AP150" s="47" t="b">
        <f>if(countifs('Wonthaggi, AUS'!Q:Q,$A150,'Wonthaggi, AUS'!$I:$I,TRUE),TRUE,FALSE)</f>
        <v>0</v>
      </c>
      <c r="AQ150" s="47" t="b">
        <f>if(countifs('Falling_Waters, USA'!$Q:$Q,$A150,'Falling_Waters, USA'!$I:$I,TRUE),TRUE,FALSE)</f>
        <v>0</v>
      </c>
      <c r="AR150" s="47" t="b">
        <f>if(countifs('Kelmscott, AUS'!Q:Q,$A150,'Kelmscott, AUS'!$I:$I,TRUE),TRUE,FALSE)</f>
        <v>0</v>
      </c>
    </row>
    <row r="151">
      <c r="A151" s="47" t="str">
        <f>IFERROR(__xludf.DUMMYFUNCTION("""COMPUTED_VALUE"""),"kwd")</f>
        <v>kwd</v>
      </c>
      <c r="B151" s="47">
        <f t="shared" si="1"/>
        <v>1</v>
      </c>
      <c r="C151" s="47" t="b">
        <v>0</v>
      </c>
      <c r="D151" s="47" t="b">
        <v>0</v>
      </c>
      <c r="E151" s="47" t="b">
        <v>0</v>
      </c>
      <c r="F151" s="47" t="b">
        <v>0</v>
      </c>
      <c r="G151" s="96"/>
      <c r="H151" s="96" t="b">
        <f>if(countifs('Berlin, GER'!Q:Q,A151,'Berlin, GER'!I:I,TRUE),TRUE,FALSE)</f>
        <v>0</v>
      </c>
      <c r="I151" s="96" t="b">
        <f>if(countifs('Escondido, USA'!Q:Q,A151,'Escondido, USA'!I:I,TRUE),TRUE,FALSE)</f>
        <v>0</v>
      </c>
      <c r="J151" s="96" t="b">
        <f>if(countifs('Onkaparinga_Hills, AUS'!Q:Q,A151,'Onkaparinga_Hills, AUS'!I:I,TRUE),TRUE,FALSE)</f>
        <v>0</v>
      </c>
      <c r="K151" s="96" t="b">
        <f>if(countifs('Perth, AUS'!Q:Q,A151,'Perth, AUS'!I:I,TRUE),TRUE,FALSE)</f>
        <v>0</v>
      </c>
      <c r="L151" s="96" t="b">
        <f>if(countifs('Raleigh, USA'!Q:Q,A151,'Raleigh, USA'!I:I,TRUE),TRUE,FALSE)</f>
        <v>0</v>
      </c>
      <c r="M151" s="96" t="b">
        <f>if(countifs('Browns Plains, AUS'!Q:Q,A151,'Browns Plains, AUS'!I:I,TRUE),TRUE,FALSE)</f>
        <v>0</v>
      </c>
      <c r="N151" s="96" t="b">
        <f>if(countifs('Brossard, CAN'!Q:Q,A151,'Brossard, CAN'!I:I,TRUE),TRUE,FALSE)</f>
        <v>0</v>
      </c>
      <c r="O151" s="96" t="b">
        <f>if(countifs('Gouda, NL'!Q:Q,$A151,'Gouda, NL'!$I:$I,TRUE),TRUE,FALSE)</f>
        <v>0</v>
      </c>
      <c r="P151" s="47" t="b">
        <f>if(countifs('Plympton, UK'!Q:Q,$A151,'Plympton, UK'!$I:$I,TRUE),TRUE,FALSE)</f>
        <v>0</v>
      </c>
      <c r="Q151" s="47" t="b">
        <f>if(countifs('Glen Oaks, USA'!Q:Q,$A151,'Glen Oaks, USA'!$I:$I,TRUE),TRUE,FALSE)</f>
        <v>0</v>
      </c>
      <c r="R151" s="47" t="b">
        <f>if(countifs('Chemnitz, GER'!Q:Q,$A151,'Chemnitz, GER'!I:I,TRUE),TRUE,FALSE)</f>
        <v>0</v>
      </c>
      <c r="S151" s="47" t="b">
        <f>if(countifs('Vosselaar, BE'!Q:Q,$A151,'Vosselaar, BE'!$I:$I,TRUE),TRUE,FALSE)</f>
        <v>0</v>
      </c>
      <c r="T151" s="47" t="b">
        <f>if(countifs('MHQ, USA'!Q:Q,$A151,'MHQ, USA'!$I:$I,TRUE),TRUE,FALSE)</f>
        <v>0</v>
      </c>
      <c r="U151" s="47" t="b">
        <f>if(countifs('Morayfield, AUS'!Q:Q,$A151,'Morayfield, AUS'!$I:$I,TRUE),TRUE,FALSE)</f>
        <v>0</v>
      </c>
      <c r="V151" s="11" t="b">
        <f>if(countifs('Arnhem, NL'!Q:Q,$A151,'Arnhem, NL'!$I:$I,TRUE),TRUE,FALSE)</f>
        <v>0</v>
      </c>
      <c r="W151" s="47" t="b">
        <f>if(countifs('Gotenborg, SW'!Q:Q,$A151,'Gotenborg, SW'!$I:$I,TRUE),TRUE,FALSE)</f>
        <v>0</v>
      </c>
      <c r="X151" s="47" t="b">
        <f>if(countifs('Shepparton, AUS'!Q:Q,$A151,'Shepparton, AUS'!$I:$I,TRUE),TRUE,FALSE)</f>
        <v>0</v>
      </c>
      <c r="Y151" s="47" t="b">
        <f>if(countifs('Hoofddorp, NL'!Q:Q,$A151,'Hoofddorp, NL'!$I:$I,TRUE),TRUE,FALSE)</f>
        <v>0</v>
      </c>
      <c r="Z151" s="47" t="b">
        <f>if(countifs('Bedford, UK'!Q:Q,$A151,'Bedford, UK'!$I:$I,TRUE),TRUE,FALSE)</f>
        <v>0</v>
      </c>
      <c r="AA151" s="47" t="b">
        <f>IF(COUNTIFS('Desert Lodge, USA'!Q:Q,$A151,'Desert Lodge, USA'!I:I,TRUE),TRUE,FALSE)</f>
        <v>0</v>
      </c>
      <c r="AB151" s="47" t="b">
        <f>if(countifs('Dapto, AUS'!Q:Q,$A151,'Dapto, AUS'!$I:$I,TRUE),TRUE,FALSE)</f>
        <v>0</v>
      </c>
      <c r="AC151" s="47" t="b">
        <f>if(countifs('New Westminster, CAN'!Q:Q,$A151,'New Westminster, CAN'!$I:$I,TRUE),TRUE,FALSE)</f>
        <v>0</v>
      </c>
      <c r="AD151" s="47" t="b">
        <f>if(countifs('Georgetown, CAN'!Q:Q,$A151,'Georgetown, CAN'!$I:$I,TRUE),TRUE,FALSE)</f>
        <v>1</v>
      </c>
      <c r="AE151" s="47" t="b">
        <f>if(countifs('Kingswood, UK'!Q:Q,$A151,'Kingswood, UK'!$I:$I,TRUE),TRUE,FALSE)</f>
        <v>0</v>
      </c>
      <c r="AF151" s="47" t="b">
        <f>if(countifs('Hagerstown, USA'!Q:Q,$A151,'Hagerstown, USA'!$I:$I,TRUE),TRUE,FALSE)</f>
        <v>0</v>
      </c>
      <c r="AG151" s="47" t="b">
        <f>if(countifs('Felsogalla, HU'!Q:Q,$A151,'Felsogalla, HU'!$I:$I,TRUE),TRUE,FALSE)</f>
        <v>0</v>
      </c>
      <c r="AH151" s="47" t="b">
        <f>if(countifs('Norlane, AUS'!Q:Q,$A151,'Norlane, AUS'!$I:$I,TRUE),TRUE,FALSE)</f>
        <v>0</v>
      </c>
      <c r="AI151" s="47" t="b">
        <f>if(countifs('Meitingen, GER'!Q:Q,$A151,'Meitingen, GER'!$I:$I,TRUE),TRUE,FALSE)</f>
        <v>0</v>
      </c>
      <c r="AJ151" s="47" t="b">
        <f>if(countifs('Groningen, NL'!Q:Q,$A151,'Groningen, NL'!$I:$I,TRUE),TRUE,FALSE)</f>
        <v>0</v>
      </c>
      <c r="AK151" s="47" t="b">
        <f>if(countifs('Linköping, SW'!Q:Q,$A151,'Linköping, SW'!$I:$I,TRUE),TRUE,FALSE)</f>
        <v>0</v>
      </c>
      <c r="AL151" s="47" t="b">
        <f>if(countifs('Austin, USA'!Q:Q,$A151,'Austin, USA'!$I:$I,TRUE),TRUE,FALSE)</f>
        <v>0</v>
      </c>
      <c r="AM151" s="47" t="b">
        <f>if(countifs('Thringstone, UK'!Q:Q,$A151,'Thringstone, UK'!$I:$I,TRUE),TRUE,FALSE)</f>
        <v>0</v>
      </c>
      <c r="AN151" s="47" t="b">
        <f>if(countifs('Andover, UK'!Q:Q,$A151,'Andover, UK'!$I:$I,TRUE),TRUE,FALSE)</f>
        <v>0</v>
      </c>
      <c r="AO151" s="47" t="b">
        <f>if(countifs('Ospel, NL'!Q:Q,$A151,'Ospel, NL'!$I:$I,TRUE),TRUE,FALSE)</f>
        <v>0</v>
      </c>
      <c r="AP151" s="47" t="b">
        <f>if(countifs('Wonthaggi, AUS'!Q:Q,$A151,'Wonthaggi, AUS'!$I:$I,TRUE),TRUE,FALSE)</f>
        <v>0</v>
      </c>
      <c r="AQ151" s="47" t="b">
        <f>if(countifs('Falling_Waters, USA'!$Q:$Q,$A151,'Falling_Waters, USA'!$I:$I,TRUE),TRUE,FALSE)</f>
        <v>0</v>
      </c>
      <c r="AR151" s="47" t="b">
        <f>if(countifs('Kelmscott, AUS'!Q:Q,$A151,'Kelmscott, AUS'!$I:$I,TRUE),TRUE,FALSE)</f>
        <v>0</v>
      </c>
    </row>
    <row r="152">
      <c r="A152" s="47" t="str">
        <f>IFERROR(__xludf.DUMMYFUNCTION("""COMPUTED_VALUE"""),"richardg01")</f>
        <v>richardg01</v>
      </c>
      <c r="B152" s="47">
        <f t="shared" si="1"/>
        <v>1</v>
      </c>
      <c r="C152" s="47" t="b">
        <v>0</v>
      </c>
      <c r="D152" s="47" t="b">
        <v>0</v>
      </c>
      <c r="E152" s="47" t="b">
        <v>0</v>
      </c>
      <c r="F152" s="47" t="b">
        <v>0</v>
      </c>
      <c r="G152" s="96"/>
      <c r="H152" s="96" t="b">
        <f>if(countifs('Berlin, GER'!Q:Q,A152,'Berlin, GER'!I:I,TRUE),TRUE,FALSE)</f>
        <v>0</v>
      </c>
      <c r="I152" s="96" t="b">
        <f>if(countifs('Escondido, USA'!Q:Q,A152,'Escondido, USA'!I:I,TRUE),TRUE,FALSE)</f>
        <v>0</v>
      </c>
      <c r="J152" s="96" t="b">
        <f>if(countifs('Onkaparinga_Hills, AUS'!Q:Q,A152,'Onkaparinga_Hills, AUS'!I:I,TRUE),TRUE,FALSE)</f>
        <v>0</v>
      </c>
      <c r="K152" s="96" t="b">
        <f>if(countifs('Perth, AUS'!Q:Q,A152,'Perth, AUS'!I:I,TRUE),TRUE,FALSE)</f>
        <v>0</v>
      </c>
      <c r="L152" s="96" t="b">
        <f>if(countifs('Raleigh, USA'!Q:Q,A152,'Raleigh, USA'!I:I,TRUE),TRUE,FALSE)</f>
        <v>0</v>
      </c>
      <c r="M152" s="96" t="b">
        <f>if(countifs('Browns Plains, AUS'!Q:Q,A152,'Browns Plains, AUS'!I:I,TRUE),TRUE,FALSE)</f>
        <v>0</v>
      </c>
      <c r="N152" s="96" t="b">
        <f>if(countifs('Brossard, CAN'!Q:Q,A152,'Brossard, CAN'!I:I,TRUE),TRUE,FALSE)</f>
        <v>0</v>
      </c>
      <c r="O152" s="96" t="b">
        <f>if(countifs('Gouda, NL'!Q:Q,$A152,'Gouda, NL'!$I:$I,TRUE),TRUE,FALSE)</f>
        <v>0</v>
      </c>
      <c r="P152" s="47" t="b">
        <f>if(countifs('Plympton, UK'!Q:Q,$A152,'Plympton, UK'!$I:$I,TRUE),TRUE,FALSE)</f>
        <v>0</v>
      </c>
      <c r="Q152" s="47" t="b">
        <f>if(countifs('Glen Oaks, USA'!Q:Q,$A152,'Glen Oaks, USA'!$I:$I,TRUE),TRUE,FALSE)</f>
        <v>0</v>
      </c>
      <c r="R152" s="47" t="b">
        <f>if(countifs('Chemnitz, GER'!Q:Q,$A152,'Chemnitz, GER'!I:I,TRUE),TRUE,FALSE)</f>
        <v>0</v>
      </c>
      <c r="S152" s="47" t="b">
        <f>if(countifs('Vosselaar, BE'!Q:Q,$A152,'Vosselaar, BE'!$I:$I,TRUE),TRUE,FALSE)</f>
        <v>0</v>
      </c>
      <c r="T152" s="47" t="b">
        <f>if(countifs('MHQ, USA'!Q:Q,$A152,'MHQ, USA'!$I:$I,TRUE),TRUE,FALSE)</f>
        <v>0</v>
      </c>
      <c r="U152" s="47" t="b">
        <f>if(countifs('Morayfield, AUS'!Q:Q,$A152,'Morayfield, AUS'!$I:$I,TRUE),TRUE,FALSE)</f>
        <v>0</v>
      </c>
      <c r="V152" s="11" t="b">
        <f>if(countifs('Arnhem, NL'!Q:Q,$A152,'Arnhem, NL'!$I:$I,TRUE),TRUE,FALSE)</f>
        <v>0</v>
      </c>
      <c r="W152" s="47" t="b">
        <f>if(countifs('Gotenborg, SW'!Q:Q,$A152,'Gotenborg, SW'!$I:$I,TRUE),TRUE,FALSE)</f>
        <v>0</v>
      </c>
      <c r="X152" s="47" t="b">
        <f>if(countifs('Shepparton, AUS'!Q:Q,$A152,'Shepparton, AUS'!$I:$I,TRUE),TRUE,FALSE)</f>
        <v>0</v>
      </c>
      <c r="Y152" s="47" t="b">
        <f>if(countifs('Hoofddorp, NL'!Q:Q,$A152,'Hoofddorp, NL'!$I:$I,TRUE),TRUE,FALSE)</f>
        <v>0</v>
      </c>
      <c r="Z152" s="47" t="b">
        <f>if(countifs('Bedford, UK'!Q:Q,$A152,'Bedford, UK'!$I:$I,TRUE),TRUE,FALSE)</f>
        <v>0</v>
      </c>
      <c r="AA152" s="47" t="b">
        <f>IF(COUNTIFS('Desert Lodge, USA'!Q:Q,$A152,'Desert Lodge, USA'!I:I,TRUE),TRUE,FALSE)</f>
        <v>0</v>
      </c>
      <c r="AB152" s="47" t="b">
        <f>if(countifs('Dapto, AUS'!Q:Q,$A152,'Dapto, AUS'!$I:$I,TRUE),TRUE,FALSE)</f>
        <v>0</v>
      </c>
      <c r="AC152" s="47" t="b">
        <f>if(countifs('New Westminster, CAN'!Q:Q,$A152,'New Westminster, CAN'!$I:$I,TRUE),TRUE,FALSE)</f>
        <v>0</v>
      </c>
      <c r="AD152" s="47" t="b">
        <f>if(countifs('Georgetown, CAN'!Q:Q,$A152,'Georgetown, CAN'!$I:$I,TRUE),TRUE,FALSE)</f>
        <v>1</v>
      </c>
      <c r="AE152" s="47" t="b">
        <f>if(countifs('Kingswood, UK'!Q:Q,$A152,'Kingswood, UK'!$I:$I,TRUE),TRUE,FALSE)</f>
        <v>0</v>
      </c>
      <c r="AF152" s="47" t="b">
        <f>if(countifs('Hagerstown, USA'!Q:Q,$A152,'Hagerstown, USA'!$I:$I,TRUE),TRUE,FALSE)</f>
        <v>0</v>
      </c>
      <c r="AG152" s="47" t="b">
        <f>if(countifs('Felsogalla, HU'!Q:Q,$A152,'Felsogalla, HU'!$I:$I,TRUE),TRUE,FALSE)</f>
        <v>0</v>
      </c>
      <c r="AH152" s="47" t="b">
        <f>if(countifs('Norlane, AUS'!Q:Q,$A152,'Norlane, AUS'!$I:$I,TRUE),TRUE,FALSE)</f>
        <v>0</v>
      </c>
      <c r="AI152" s="47" t="b">
        <f>if(countifs('Meitingen, GER'!Q:Q,$A152,'Meitingen, GER'!$I:$I,TRUE),TRUE,FALSE)</f>
        <v>0</v>
      </c>
      <c r="AJ152" s="47" t="b">
        <f>if(countifs('Groningen, NL'!Q:Q,$A152,'Groningen, NL'!$I:$I,TRUE),TRUE,FALSE)</f>
        <v>0</v>
      </c>
      <c r="AK152" s="47" t="b">
        <f>if(countifs('Linköping, SW'!Q:Q,$A152,'Linköping, SW'!$I:$I,TRUE),TRUE,FALSE)</f>
        <v>0</v>
      </c>
      <c r="AL152" s="47" t="b">
        <f>if(countifs('Austin, USA'!Q:Q,$A152,'Austin, USA'!$I:$I,TRUE),TRUE,FALSE)</f>
        <v>0</v>
      </c>
      <c r="AM152" s="47" t="b">
        <f>if(countifs('Thringstone, UK'!Q:Q,$A152,'Thringstone, UK'!$I:$I,TRUE),TRUE,FALSE)</f>
        <v>0</v>
      </c>
      <c r="AN152" s="47" t="b">
        <f>if(countifs('Andover, UK'!Q:Q,$A152,'Andover, UK'!$I:$I,TRUE),TRUE,FALSE)</f>
        <v>0</v>
      </c>
      <c r="AO152" s="47" t="b">
        <f>if(countifs('Ospel, NL'!Q:Q,$A152,'Ospel, NL'!$I:$I,TRUE),TRUE,FALSE)</f>
        <v>0</v>
      </c>
      <c r="AP152" s="47" t="b">
        <f>if(countifs('Wonthaggi, AUS'!Q:Q,$A152,'Wonthaggi, AUS'!$I:$I,TRUE),TRUE,FALSE)</f>
        <v>0</v>
      </c>
      <c r="AQ152" s="47" t="b">
        <f>if(countifs('Falling_Waters, USA'!$Q:$Q,$A152,'Falling_Waters, USA'!$I:$I,TRUE),TRUE,FALSE)</f>
        <v>0</v>
      </c>
      <c r="AR152" s="47" t="b">
        <f>if(countifs('Kelmscott, AUS'!Q:Q,$A152,'Kelmscott, AUS'!$I:$I,TRUE),TRUE,FALSE)</f>
        <v>0</v>
      </c>
    </row>
    <row r="153">
      <c r="A153" s="47" t="str">
        <f>IFERROR(__xludf.DUMMYFUNCTION("""COMPUTED_VALUE"""),"StridentUK")</f>
        <v>StridentUK</v>
      </c>
      <c r="B153" s="47">
        <f t="shared" si="1"/>
        <v>1</v>
      </c>
      <c r="C153" s="47" t="b">
        <v>0</v>
      </c>
      <c r="D153" s="47" t="b">
        <v>0</v>
      </c>
      <c r="E153" s="47" t="b">
        <v>0</v>
      </c>
      <c r="F153" s="47" t="b">
        <v>0</v>
      </c>
      <c r="G153" s="96"/>
      <c r="H153" s="96" t="b">
        <f>if(countifs('Berlin, GER'!Q:Q,A153,'Berlin, GER'!I:I,TRUE),TRUE,FALSE)</f>
        <v>0</v>
      </c>
      <c r="I153" s="96" t="b">
        <f>if(countifs('Escondido, USA'!Q:Q,A153,'Escondido, USA'!I:I,TRUE),TRUE,FALSE)</f>
        <v>0</v>
      </c>
      <c r="J153" s="96" t="b">
        <f>if(countifs('Onkaparinga_Hills, AUS'!Q:Q,A153,'Onkaparinga_Hills, AUS'!I:I,TRUE),TRUE,FALSE)</f>
        <v>0</v>
      </c>
      <c r="K153" s="96" t="b">
        <f>if(countifs('Perth, AUS'!Q:Q,A153,'Perth, AUS'!I:I,TRUE),TRUE,FALSE)</f>
        <v>0</v>
      </c>
      <c r="L153" s="96" t="b">
        <f>if(countifs('Raleigh, USA'!Q:Q,A153,'Raleigh, USA'!I:I,TRUE),TRUE,FALSE)</f>
        <v>0</v>
      </c>
      <c r="M153" s="96" t="b">
        <f>if(countifs('Browns Plains, AUS'!Q:Q,A153,'Browns Plains, AUS'!I:I,TRUE),TRUE,FALSE)</f>
        <v>0</v>
      </c>
      <c r="N153" s="96" t="b">
        <f>if(countifs('Brossard, CAN'!Q:Q,A153,'Brossard, CAN'!I:I,TRUE),TRUE,FALSE)</f>
        <v>0</v>
      </c>
      <c r="O153" s="96" t="b">
        <f>if(countifs('Gouda, NL'!Q:Q,$A153,'Gouda, NL'!$I:$I,TRUE),TRUE,FALSE)</f>
        <v>0</v>
      </c>
      <c r="P153" s="47" t="b">
        <f>if(countifs('Plympton, UK'!Q:Q,$A153,'Plympton, UK'!$I:$I,TRUE),TRUE,FALSE)</f>
        <v>0</v>
      </c>
      <c r="Q153" s="47" t="b">
        <f>if(countifs('Glen Oaks, USA'!Q:Q,$A153,'Glen Oaks, USA'!$I:$I,TRUE),TRUE,FALSE)</f>
        <v>0</v>
      </c>
      <c r="R153" s="47" t="b">
        <f>if(countifs('Chemnitz, GER'!Q:Q,$A153,'Chemnitz, GER'!I:I,TRUE),TRUE,FALSE)</f>
        <v>0</v>
      </c>
      <c r="S153" s="47" t="b">
        <f>if(countifs('Vosselaar, BE'!Q:Q,$A153,'Vosselaar, BE'!$I:$I,TRUE),TRUE,FALSE)</f>
        <v>0</v>
      </c>
      <c r="T153" s="47" t="b">
        <f>if(countifs('MHQ, USA'!Q:Q,$A153,'MHQ, USA'!$I:$I,TRUE),TRUE,FALSE)</f>
        <v>0</v>
      </c>
      <c r="U153" s="47" t="b">
        <f>if(countifs('Morayfield, AUS'!Q:Q,$A153,'Morayfield, AUS'!$I:$I,TRUE),TRUE,FALSE)</f>
        <v>0</v>
      </c>
      <c r="V153" s="11" t="b">
        <f>if(countifs('Arnhem, NL'!Q:Q,$A153,'Arnhem, NL'!$I:$I,TRUE),TRUE,FALSE)</f>
        <v>0</v>
      </c>
      <c r="W153" s="47" t="b">
        <f>if(countifs('Gotenborg, SW'!Q:Q,$A153,'Gotenborg, SW'!$I:$I,TRUE),TRUE,FALSE)</f>
        <v>0</v>
      </c>
      <c r="X153" s="47" t="b">
        <f>if(countifs('Shepparton, AUS'!Q:Q,$A153,'Shepparton, AUS'!$I:$I,TRUE),TRUE,FALSE)</f>
        <v>0</v>
      </c>
      <c r="Y153" s="47" t="b">
        <f>if(countifs('Hoofddorp, NL'!Q:Q,$A153,'Hoofddorp, NL'!$I:$I,TRUE),TRUE,FALSE)</f>
        <v>0</v>
      </c>
      <c r="Z153" s="47" t="b">
        <f>if(countifs('Bedford, UK'!Q:Q,$A153,'Bedford, UK'!$I:$I,TRUE),TRUE,FALSE)</f>
        <v>0</v>
      </c>
      <c r="AA153" s="47" t="b">
        <f>IF(COUNTIFS('Desert Lodge, USA'!Q:Q,$A153,'Desert Lodge, USA'!I:I,TRUE),TRUE,FALSE)</f>
        <v>0</v>
      </c>
      <c r="AB153" s="47" t="b">
        <f>if(countifs('Dapto, AUS'!Q:Q,$A153,'Dapto, AUS'!$I:$I,TRUE),TRUE,FALSE)</f>
        <v>0</v>
      </c>
      <c r="AC153" s="47" t="b">
        <f>if(countifs('New Westminster, CAN'!Q:Q,$A153,'New Westminster, CAN'!$I:$I,TRUE),TRUE,FALSE)</f>
        <v>0</v>
      </c>
      <c r="AD153" s="47" t="b">
        <f>if(countifs('Georgetown, CAN'!Q:Q,$A153,'Georgetown, CAN'!$I:$I,TRUE),TRUE,FALSE)</f>
        <v>1</v>
      </c>
      <c r="AE153" s="47" t="b">
        <f>if(countifs('Kingswood, UK'!Q:Q,$A153,'Kingswood, UK'!$I:$I,TRUE),TRUE,FALSE)</f>
        <v>0</v>
      </c>
      <c r="AF153" s="47" t="b">
        <f>if(countifs('Hagerstown, USA'!Q:Q,$A153,'Hagerstown, USA'!$I:$I,TRUE),TRUE,FALSE)</f>
        <v>0</v>
      </c>
      <c r="AG153" s="47" t="b">
        <f>if(countifs('Felsogalla, HU'!Q:Q,$A153,'Felsogalla, HU'!$I:$I,TRUE),TRUE,FALSE)</f>
        <v>0</v>
      </c>
      <c r="AH153" s="47" t="b">
        <f>if(countifs('Norlane, AUS'!Q:Q,$A153,'Norlane, AUS'!$I:$I,TRUE),TRUE,FALSE)</f>
        <v>0</v>
      </c>
      <c r="AI153" s="47" t="b">
        <f>if(countifs('Meitingen, GER'!Q:Q,$A153,'Meitingen, GER'!$I:$I,TRUE),TRUE,FALSE)</f>
        <v>0</v>
      </c>
      <c r="AJ153" s="47" t="b">
        <f>if(countifs('Groningen, NL'!Q:Q,$A153,'Groningen, NL'!$I:$I,TRUE),TRUE,FALSE)</f>
        <v>0</v>
      </c>
      <c r="AK153" s="47" t="b">
        <f>if(countifs('Linköping, SW'!Q:Q,$A153,'Linköping, SW'!$I:$I,TRUE),TRUE,FALSE)</f>
        <v>0</v>
      </c>
      <c r="AL153" s="47" t="b">
        <f>if(countifs('Austin, USA'!Q:Q,$A153,'Austin, USA'!$I:$I,TRUE),TRUE,FALSE)</f>
        <v>0</v>
      </c>
      <c r="AM153" s="47" t="b">
        <f>if(countifs('Thringstone, UK'!Q:Q,$A153,'Thringstone, UK'!$I:$I,TRUE),TRUE,FALSE)</f>
        <v>0</v>
      </c>
      <c r="AN153" s="47" t="b">
        <f>if(countifs('Andover, UK'!Q:Q,$A153,'Andover, UK'!$I:$I,TRUE),TRUE,FALSE)</f>
        <v>0</v>
      </c>
      <c r="AO153" s="47" t="b">
        <f>if(countifs('Ospel, NL'!Q:Q,$A153,'Ospel, NL'!$I:$I,TRUE),TRUE,FALSE)</f>
        <v>0</v>
      </c>
      <c r="AP153" s="47" t="b">
        <f>if(countifs('Wonthaggi, AUS'!Q:Q,$A153,'Wonthaggi, AUS'!$I:$I,TRUE),TRUE,FALSE)</f>
        <v>0</v>
      </c>
      <c r="AQ153" s="47" t="b">
        <f>if(countifs('Falling_Waters, USA'!$Q:$Q,$A153,'Falling_Waters, USA'!$I:$I,TRUE),TRUE,FALSE)</f>
        <v>0</v>
      </c>
      <c r="AR153" s="47" t="b">
        <f>if(countifs('Kelmscott, AUS'!Q:Q,$A153,'Kelmscott, AUS'!$I:$I,TRUE),TRUE,FALSE)</f>
        <v>0</v>
      </c>
    </row>
    <row r="154">
      <c r="A154" s="47" t="str">
        <f>IFERROR(__xludf.DUMMYFUNCTION("""COMPUTED_VALUE"""),"TheaG")</f>
        <v>TheaG</v>
      </c>
      <c r="B154" s="47">
        <f t="shared" si="1"/>
        <v>1</v>
      </c>
      <c r="C154" s="47" t="b">
        <v>0</v>
      </c>
      <c r="D154" s="47" t="b">
        <v>0</v>
      </c>
      <c r="E154" s="47" t="b">
        <v>0</v>
      </c>
      <c r="F154" s="47" t="b">
        <v>0</v>
      </c>
      <c r="G154" s="96"/>
      <c r="H154" s="96" t="b">
        <f>if(countifs('Berlin, GER'!Q:Q,A154,'Berlin, GER'!I:I,TRUE),TRUE,FALSE)</f>
        <v>0</v>
      </c>
      <c r="I154" s="96" t="b">
        <f>if(countifs('Escondido, USA'!Q:Q,A154,'Escondido, USA'!I:I,TRUE),TRUE,FALSE)</f>
        <v>0</v>
      </c>
      <c r="J154" s="96" t="b">
        <f>if(countifs('Onkaparinga_Hills, AUS'!Q:Q,A154,'Onkaparinga_Hills, AUS'!I:I,TRUE),TRUE,FALSE)</f>
        <v>0</v>
      </c>
      <c r="K154" s="96" t="b">
        <f>if(countifs('Perth, AUS'!Q:Q,A154,'Perth, AUS'!I:I,TRUE),TRUE,FALSE)</f>
        <v>0</v>
      </c>
      <c r="L154" s="96" t="b">
        <f>if(countifs('Raleigh, USA'!Q:Q,A154,'Raleigh, USA'!I:I,TRUE),TRUE,FALSE)</f>
        <v>0</v>
      </c>
      <c r="M154" s="96" t="b">
        <f>if(countifs('Browns Plains, AUS'!Q:Q,A154,'Browns Plains, AUS'!I:I,TRUE),TRUE,FALSE)</f>
        <v>0</v>
      </c>
      <c r="N154" s="96" t="b">
        <f>if(countifs('Brossard, CAN'!Q:Q,A154,'Brossard, CAN'!I:I,TRUE),TRUE,FALSE)</f>
        <v>0</v>
      </c>
      <c r="O154" s="96" t="b">
        <f>if(countifs('Gouda, NL'!Q:Q,$A154,'Gouda, NL'!$I:$I,TRUE),TRUE,FALSE)</f>
        <v>0</v>
      </c>
      <c r="P154" s="47" t="b">
        <f>if(countifs('Plympton, UK'!Q:Q,$A154,'Plympton, UK'!$I:$I,TRUE),TRUE,FALSE)</f>
        <v>0</v>
      </c>
      <c r="Q154" s="47" t="b">
        <f>if(countifs('Glen Oaks, USA'!Q:Q,$A154,'Glen Oaks, USA'!$I:$I,TRUE),TRUE,FALSE)</f>
        <v>0</v>
      </c>
      <c r="R154" s="47" t="b">
        <f>if(countifs('Chemnitz, GER'!Q:Q,$A154,'Chemnitz, GER'!I:I,TRUE),TRUE,FALSE)</f>
        <v>0</v>
      </c>
      <c r="S154" s="47" t="b">
        <f>if(countifs('Vosselaar, BE'!Q:Q,$A154,'Vosselaar, BE'!$I:$I,TRUE),TRUE,FALSE)</f>
        <v>0</v>
      </c>
      <c r="T154" s="47" t="b">
        <f>if(countifs('MHQ, USA'!Q:Q,$A154,'MHQ, USA'!$I:$I,TRUE),TRUE,FALSE)</f>
        <v>0</v>
      </c>
      <c r="U154" s="47" t="b">
        <f>if(countifs('Morayfield, AUS'!Q:Q,$A154,'Morayfield, AUS'!$I:$I,TRUE),TRUE,FALSE)</f>
        <v>0</v>
      </c>
      <c r="V154" s="11" t="b">
        <f>if(countifs('Arnhem, NL'!Q:Q,$A154,'Arnhem, NL'!$I:$I,TRUE),TRUE,FALSE)</f>
        <v>0</v>
      </c>
      <c r="W154" s="47" t="b">
        <f>if(countifs('Gotenborg, SW'!Q:Q,$A154,'Gotenborg, SW'!$I:$I,TRUE),TRUE,FALSE)</f>
        <v>0</v>
      </c>
      <c r="X154" s="47" t="b">
        <f>if(countifs('Shepparton, AUS'!Q:Q,$A154,'Shepparton, AUS'!$I:$I,TRUE),TRUE,FALSE)</f>
        <v>0</v>
      </c>
      <c r="Y154" s="47" t="b">
        <f>if(countifs('Hoofddorp, NL'!Q:Q,$A154,'Hoofddorp, NL'!$I:$I,TRUE),TRUE,FALSE)</f>
        <v>0</v>
      </c>
      <c r="Z154" s="47" t="b">
        <f>if(countifs('Bedford, UK'!Q:Q,$A154,'Bedford, UK'!$I:$I,TRUE),TRUE,FALSE)</f>
        <v>0</v>
      </c>
      <c r="AA154" s="47" t="b">
        <f>IF(COUNTIFS('Desert Lodge, USA'!Q:Q,$A154,'Desert Lodge, USA'!I:I,TRUE),TRUE,FALSE)</f>
        <v>0</v>
      </c>
      <c r="AB154" s="47" t="b">
        <f>if(countifs('Dapto, AUS'!Q:Q,$A154,'Dapto, AUS'!$I:$I,TRUE),TRUE,FALSE)</f>
        <v>0</v>
      </c>
      <c r="AC154" s="47" t="b">
        <f>if(countifs('New Westminster, CAN'!Q:Q,$A154,'New Westminster, CAN'!$I:$I,TRUE),TRUE,FALSE)</f>
        <v>0</v>
      </c>
      <c r="AD154" s="47" t="b">
        <f>if(countifs('Georgetown, CAN'!Q:Q,$A154,'Georgetown, CAN'!$I:$I,TRUE),TRUE,FALSE)</f>
        <v>1</v>
      </c>
      <c r="AE154" s="47" t="b">
        <f>if(countifs('Kingswood, UK'!Q:Q,$A154,'Kingswood, UK'!$I:$I,TRUE),TRUE,FALSE)</f>
        <v>0</v>
      </c>
      <c r="AF154" s="47" t="b">
        <f>if(countifs('Hagerstown, USA'!Q:Q,$A154,'Hagerstown, USA'!$I:$I,TRUE),TRUE,FALSE)</f>
        <v>0</v>
      </c>
      <c r="AG154" s="47" t="b">
        <f>if(countifs('Felsogalla, HU'!Q:Q,$A154,'Felsogalla, HU'!$I:$I,TRUE),TRUE,FALSE)</f>
        <v>0</v>
      </c>
      <c r="AH154" s="47" t="b">
        <f>if(countifs('Norlane, AUS'!Q:Q,$A154,'Norlane, AUS'!$I:$I,TRUE),TRUE,FALSE)</f>
        <v>0</v>
      </c>
      <c r="AI154" s="47" t="b">
        <f>if(countifs('Meitingen, GER'!Q:Q,$A154,'Meitingen, GER'!$I:$I,TRUE),TRUE,FALSE)</f>
        <v>0</v>
      </c>
      <c r="AJ154" s="47" t="b">
        <f>if(countifs('Groningen, NL'!Q:Q,$A154,'Groningen, NL'!$I:$I,TRUE),TRUE,FALSE)</f>
        <v>0</v>
      </c>
      <c r="AK154" s="47" t="b">
        <f>if(countifs('Linköping, SW'!Q:Q,$A154,'Linköping, SW'!$I:$I,TRUE),TRUE,FALSE)</f>
        <v>0</v>
      </c>
      <c r="AL154" s="47" t="b">
        <f>if(countifs('Austin, USA'!Q:Q,$A154,'Austin, USA'!$I:$I,TRUE),TRUE,FALSE)</f>
        <v>0</v>
      </c>
      <c r="AM154" s="47" t="b">
        <f>if(countifs('Thringstone, UK'!Q:Q,$A154,'Thringstone, UK'!$I:$I,TRUE),TRUE,FALSE)</f>
        <v>0</v>
      </c>
      <c r="AN154" s="47" t="b">
        <f>if(countifs('Andover, UK'!Q:Q,$A154,'Andover, UK'!$I:$I,TRUE),TRUE,FALSE)</f>
        <v>0</v>
      </c>
      <c r="AO154" s="47" t="b">
        <f>if(countifs('Ospel, NL'!Q:Q,$A154,'Ospel, NL'!$I:$I,TRUE),TRUE,FALSE)</f>
        <v>0</v>
      </c>
      <c r="AP154" s="47" t="b">
        <f>if(countifs('Wonthaggi, AUS'!Q:Q,$A154,'Wonthaggi, AUS'!$I:$I,TRUE),TRUE,FALSE)</f>
        <v>0</v>
      </c>
      <c r="AQ154" s="47" t="b">
        <f>if(countifs('Falling_Waters, USA'!$Q:$Q,$A154,'Falling_Waters, USA'!$I:$I,TRUE),TRUE,FALSE)</f>
        <v>0</v>
      </c>
      <c r="AR154" s="47" t="b">
        <f>if(countifs('Kelmscott, AUS'!Q:Q,$A154,'Kelmscott, AUS'!$I:$I,TRUE),TRUE,FALSE)</f>
        <v>0</v>
      </c>
    </row>
    <row r="155">
      <c r="A155" s="47" t="str">
        <f>IFERROR(__xludf.DUMMYFUNCTION("""COMPUTED_VALUE"""),"struwel")</f>
        <v>struwel</v>
      </c>
      <c r="B155" s="47">
        <f t="shared" si="1"/>
        <v>1</v>
      </c>
      <c r="C155" s="47" t="b">
        <v>0</v>
      </c>
      <c r="D155" s="47" t="b">
        <v>0</v>
      </c>
      <c r="E155" s="47" t="b">
        <v>0</v>
      </c>
      <c r="F155" s="47" t="b">
        <v>0</v>
      </c>
      <c r="G155" s="96"/>
      <c r="H155" s="96" t="b">
        <f>if(countifs('Berlin, GER'!Q:Q,A155,'Berlin, GER'!I:I,TRUE),TRUE,FALSE)</f>
        <v>0</v>
      </c>
      <c r="I155" s="96" t="b">
        <f>if(countifs('Escondido, USA'!Q:Q,A155,'Escondido, USA'!I:I,TRUE),TRUE,FALSE)</f>
        <v>0</v>
      </c>
      <c r="J155" s="96" t="b">
        <f>if(countifs('Onkaparinga_Hills, AUS'!Q:Q,A155,'Onkaparinga_Hills, AUS'!I:I,TRUE),TRUE,FALSE)</f>
        <v>0</v>
      </c>
      <c r="K155" s="96" t="b">
        <f>if(countifs('Perth, AUS'!Q:Q,A155,'Perth, AUS'!I:I,TRUE),TRUE,FALSE)</f>
        <v>0</v>
      </c>
      <c r="L155" s="96" t="b">
        <f>if(countifs('Raleigh, USA'!Q:Q,A155,'Raleigh, USA'!I:I,TRUE),TRUE,FALSE)</f>
        <v>0</v>
      </c>
      <c r="M155" s="96" t="b">
        <f>if(countifs('Browns Plains, AUS'!Q:Q,A155,'Browns Plains, AUS'!I:I,TRUE),TRUE,FALSE)</f>
        <v>0</v>
      </c>
      <c r="N155" s="96" t="b">
        <f>if(countifs('Brossard, CAN'!Q:Q,A155,'Brossard, CAN'!I:I,TRUE),TRUE,FALSE)</f>
        <v>0</v>
      </c>
      <c r="O155" s="96" t="b">
        <f>if(countifs('Gouda, NL'!Q:Q,$A155,'Gouda, NL'!$I:$I,TRUE),TRUE,FALSE)</f>
        <v>0</v>
      </c>
      <c r="P155" s="47" t="b">
        <f>if(countifs('Plympton, UK'!Q:Q,$A155,'Plympton, UK'!$I:$I,TRUE),TRUE,FALSE)</f>
        <v>0</v>
      </c>
      <c r="Q155" s="47" t="b">
        <f>if(countifs('Glen Oaks, USA'!Q:Q,$A155,'Glen Oaks, USA'!$I:$I,TRUE),TRUE,FALSE)</f>
        <v>0</v>
      </c>
      <c r="R155" s="47" t="b">
        <f>if(countifs('Chemnitz, GER'!Q:Q,$A155,'Chemnitz, GER'!I:I,TRUE),TRUE,FALSE)</f>
        <v>0</v>
      </c>
      <c r="S155" s="47" t="b">
        <f>if(countifs('Vosselaar, BE'!Q:Q,$A155,'Vosselaar, BE'!$I:$I,TRUE),TRUE,FALSE)</f>
        <v>0</v>
      </c>
      <c r="T155" s="47" t="b">
        <f>if(countifs('MHQ, USA'!Q:Q,$A155,'MHQ, USA'!$I:$I,TRUE),TRUE,FALSE)</f>
        <v>0</v>
      </c>
      <c r="U155" s="47" t="b">
        <f>if(countifs('Morayfield, AUS'!Q:Q,$A155,'Morayfield, AUS'!$I:$I,TRUE),TRUE,FALSE)</f>
        <v>0</v>
      </c>
      <c r="V155" s="11" t="b">
        <f>if(countifs('Arnhem, NL'!Q:Q,$A155,'Arnhem, NL'!$I:$I,TRUE),TRUE,FALSE)</f>
        <v>0</v>
      </c>
      <c r="W155" s="47" t="b">
        <f>if(countifs('Gotenborg, SW'!Q:Q,$A155,'Gotenborg, SW'!$I:$I,TRUE),TRUE,FALSE)</f>
        <v>0</v>
      </c>
      <c r="X155" s="47" t="b">
        <f>if(countifs('Shepparton, AUS'!Q:Q,$A155,'Shepparton, AUS'!$I:$I,TRUE),TRUE,FALSE)</f>
        <v>0</v>
      </c>
      <c r="Y155" s="47" t="b">
        <f>if(countifs('Hoofddorp, NL'!Q:Q,$A155,'Hoofddorp, NL'!$I:$I,TRUE),TRUE,FALSE)</f>
        <v>0</v>
      </c>
      <c r="Z155" s="47" t="b">
        <f>if(countifs('Bedford, UK'!Q:Q,$A155,'Bedford, UK'!$I:$I,TRUE),TRUE,FALSE)</f>
        <v>0</v>
      </c>
      <c r="AA155" s="47" t="b">
        <f>IF(COUNTIFS('Desert Lodge, USA'!Q:Q,$A155,'Desert Lodge, USA'!I:I,TRUE),TRUE,FALSE)</f>
        <v>0</v>
      </c>
      <c r="AB155" s="47" t="b">
        <f>if(countifs('Dapto, AUS'!Q:Q,$A155,'Dapto, AUS'!$I:$I,TRUE),TRUE,FALSE)</f>
        <v>0</v>
      </c>
      <c r="AC155" s="47" t="b">
        <f>if(countifs('New Westminster, CAN'!Q:Q,$A155,'New Westminster, CAN'!$I:$I,TRUE),TRUE,FALSE)</f>
        <v>0</v>
      </c>
      <c r="AD155" s="47" t="b">
        <f>if(countifs('Georgetown, CAN'!Q:Q,$A155,'Georgetown, CAN'!$I:$I,TRUE),TRUE,FALSE)</f>
        <v>1</v>
      </c>
      <c r="AE155" s="47" t="b">
        <f>if(countifs('Kingswood, UK'!Q:Q,$A155,'Kingswood, UK'!$I:$I,TRUE),TRUE,FALSE)</f>
        <v>0</v>
      </c>
      <c r="AF155" s="47" t="b">
        <f>if(countifs('Hagerstown, USA'!Q:Q,$A155,'Hagerstown, USA'!$I:$I,TRUE),TRUE,FALSE)</f>
        <v>0</v>
      </c>
      <c r="AG155" s="47" t="b">
        <f>if(countifs('Felsogalla, HU'!Q:Q,$A155,'Felsogalla, HU'!$I:$I,TRUE),TRUE,FALSE)</f>
        <v>0</v>
      </c>
      <c r="AH155" s="47" t="b">
        <f>if(countifs('Norlane, AUS'!Q:Q,$A155,'Norlane, AUS'!$I:$I,TRUE),TRUE,FALSE)</f>
        <v>0</v>
      </c>
      <c r="AI155" s="47" t="b">
        <f>if(countifs('Meitingen, GER'!Q:Q,$A155,'Meitingen, GER'!$I:$I,TRUE),TRUE,FALSE)</f>
        <v>0</v>
      </c>
      <c r="AJ155" s="47" t="b">
        <f>if(countifs('Groningen, NL'!Q:Q,$A155,'Groningen, NL'!$I:$I,TRUE),TRUE,FALSE)</f>
        <v>0</v>
      </c>
      <c r="AK155" s="47" t="b">
        <f>if(countifs('Linköping, SW'!Q:Q,$A155,'Linköping, SW'!$I:$I,TRUE),TRUE,FALSE)</f>
        <v>0</v>
      </c>
      <c r="AL155" s="47" t="b">
        <f>if(countifs('Austin, USA'!Q:Q,$A155,'Austin, USA'!$I:$I,TRUE),TRUE,FALSE)</f>
        <v>0</v>
      </c>
      <c r="AM155" s="47" t="b">
        <f>if(countifs('Thringstone, UK'!Q:Q,$A155,'Thringstone, UK'!$I:$I,TRUE),TRUE,FALSE)</f>
        <v>0</v>
      </c>
      <c r="AN155" s="47" t="b">
        <f>if(countifs('Andover, UK'!Q:Q,$A155,'Andover, UK'!$I:$I,TRUE),TRUE,FALSE)</f>
        <v>0</v>
      </c>
      <c r="AO155" s="47" t="b">
        <f>if(countifs('Ospel, NL'!Q:Q,$A155,'Ospel, NL'!$I:$I,TRUE),TRUE,FALSE)</f>
        <v>0</v>
      </c>
      <c r="AP155" s="47" t="b">
        <f>if(countifs('Wonthaggi, AUS'!Q:Q,$A155,'Wonthaggi, AUS'!$I:$I,TRUE),TRUE,FALSE)</f>
        <v>0</v>
      </c>
      <c r="AQ155" s="47" t="b">
        <f>if(countifs('Falling_Waters, USA'!$Q:$Q,$A155,'Falling_Waters, USA'!$I:$I,TRUE),TRUE,FALSE)</f>
        <v>0</v>
      </c>
      <c r="AR155" s="47" t="b">
        <f>if(countifs('Kelmscott, AUS'!Q:Q,$A155,'Kelmscott, AUS'!$I:$I,TRUE),TRUE,FALSE)</f>
        <v>0</v>
      </c>
    </row>
    <row r="156">
      <c r="A156" s="47" t="str">
        <f>IFERROR(__xludf.DUMMYFUNCTION("""COMPUTED_VALUE"""),"Bouffe")</f>
        <v>Bouffe</v>
      </c>
      <c r="B156" s="47">
        <f t="shared" si="1"/>
        <v>1</v>
      </c>
      <c r="C156" s="47" t="b">
        <v>0</v>
      </c>
      <c r="D156" s="47" t="b">
        <v>0</v>
      </c>
      <c r="E156" s="47" t="b">
        <v>0</v>
      </c>
      <c r="F156" s="47" t="b">
        <v>0</v>
      </c>
      <c r="G156" s="96"/>
      <c r="H156" s="96" t="b">
        <f>if(countifs('Berlin, GER'!Q:Q,A156,'Berlin, GER'!I:I,TRUE),TRUE,FALSE)</f>
        <v>0</v>
      </c>
      <c r="I156" s="96" t="b">
        <f>if(countifs('Escondido, USA'!Q:Q,A156,'Escondido, USA'!I:I,TRUE),TRUE,FALSE)</f>
        <v>0</v>
      </c>
      <c r="J156" s="96" t="b">
        <f>if(countifs('Onkaparinga_Hills, AUS'!Q:Q,A156,'Onkaparinga_Hills, AUS'!I:I,TRUE),TRUE,FALSE)</f>
        <v>0</v>
      </c>
      <c r="K156" s="96" t="b">
        <f>if(countifs('Perth, AUS'!Q:Q,A156,'Perth, AUS'!I:I,TRUE),TRUE,FALSE)</f>
        <v>0</v>
      </c>
      <c r="L156" s="96" t="b">
        <f>if(countifs('Raleigh, USA'!Q:Q,A156,'Raleigh, USA'!I:I,TRUE),TRUE,FALSE)</f>
        <v>0</v>
      </c>
      <c r="M156" s="96" t="b">
        <f>if(countifs('Browns Plains, AUS'!Q:Q,A156,'Browns Plains, AUS'!I:I,TRUE),TRUE,FALSE)</f>
        <v>0</v>
      </c>
      <c r="N156" s="96" t="b">
        <f>if(countifs('Brossard, CAN'!Q:Q,A156,'Brossard, CAN'!I:I,TRUE),TRUE,FALSE)</f>
        <v>0</v>
      </c>
      <c r="O156" s="96" t="b">
        <f>if(countifs('Gouda, NL'!Q:Q,$A156,'Gouda, NL'!$I:$I,TRUE),TRUE,FALSE)</f>
        <v>0</v>
      </c>
      <c r="P156" s="47" t="b">
        <f>if(countifs('Plympton, UK'!Q:Q,$A156,'Plympton, UK'!$I:$I,TRUE),TRUE,FALSE)</f>
        <v>0</v>
      </c>
      <c r="Q156" s="47" t="b">
        <f>if(countifs('Glen Oaks, USA'!Q:Q,$A156,'Glen Oaks, USA'!$I:$I,TRUE),TRUE,FALSE)</f>
        <v>0</v>
      </c>
      <c r="R156" s="47" t="b">
        <f>if(countifs('Chemnitz, GER'!Q:Q,$A156,'Chemnitz, GER'!I:I,TRUE),TRUE,FALSE)</f>
        <v>0</v>
      </c>
      <c r="S156" s="47" t="b">
        <f>if(countifs('Vosselaar, BE'!Q:Q,$A156,'Vosselaar, BE'!$I:$I,TRUE),TRUE,FALSE)</f>
        <v>0</v>
      </c>
      <c r="T156" s="47" t="b">
        <f>if(countifs('MHQ, USA'!Q:Q,$A156,'MHQ, USA'!$I:$I,TRUE),TRUE,FALSE)</f>
        <v>0</v>
      </c>
      <c r="U156" s="47" t="b">
        <f>if(countifs('Morayfield, AUS'!Q:Q,$A156,'Morayfield, AUS'!$I:$I,TRUE),TRUE,FALSE)</f>
        <v>0</v>
      </c>
      <c r="V156" s="11" t="b">
        <f>if(countifs('Arnhem, NL'!Q:Q,$A156,'Arnhem, NL'!$I:$I,TRUE),TRUE,FALSE)</f>
        <v>0</v>
      </c>
      <c r="W156" s="47" t="b">
        <f>if(countifs('Gotenborg, SW'!Q:Q,$A156,'Gotenborg, SW'!$I:$I,TRUE),TRUE,FALSE)</f>
        <v>0</v>
      </c>
      <c r="X156" s="47" t="b">
        <f>if(countifs('Shepparton, AUS'!Q:Q,$A156,'Shepparton, AUS'!$I:$I,TRUE),TRUE,FALSE)</f>
        <v>0</v>
      </c>
      <c r="Y156" s="47" t="b">
        <f>if(countifs('Hoofddorp, NL'!Q:Q,$A156,'Hoofddorp, NL'!$I:$I,TRUE),TRUE,FALSE)</f>
        <v>0</v>
      </c>
      <c r="Z156" s="47" t="b">
        <f>if(countifs('Bedford, UK'!Q:Q,$A156,'Bedford, UK'!$I:$I,TRUE),TRUE,FALSE)</f>
        <v>0</v>
      </c>
      <c r="AA156" s="47" t="b">
        <f>IF(COUNTIFS('Desert Lodge, USA'!Q:Q,$A156,'Desert Lodge, USA'!I:I,TRUE),TRUE,FALSE)</f>
        <v>0</v>
      </c>
      <c r="AB156" s="47" t="b">
        <f>if(countifs('Dapto, AUS'!Q:Q,$A156,'Dapto, AUS'!$I:$I,TRUE),TRUE,FALSE)</f>
        <v>0</v>
      </c>
      <c r="AC156" s="47" t="b">
        <f>if(countifs('New Westminster, CAN'!Q:Q,$A156,'New Westminster, CAN'!$I:$I,TRUE),TRUE,FALSE)</f>
        <v>0</v>
      </c>
      <c r="AD156" s="47" t="b">
        <f>if(countifs('Georgetown, CAN'!Q:Q,$A156,'Georgetown, CAN'!$I:$I,TRUE),TRUE,FALSE)</f>
        <v>1</v>
      </c>
      <c r="AE156" s="47" t="b">
        <f>if(countifs('Kingswood, UK'!Q:Q,$A156,'Kingswood, UK'!$I:$I,TRUE),TRUE,FALSE)</f>
        <v>0</v>
      </c>
      <c r="AF156" s="47" t="b">
        <f>if(countifs('Hagerstown, USA'!Q:Q,$A156,'Hagerstown, USA'!$I:$I,TRUE),TRUE,FALSE)</f>
        <v>0</v>
      </c>
      <c r="AG156" s="47" t="b">
        <f>if(countifs('Felsogalla, HU'!Q:Q,$A156,'Felsogalla, HU'!$I:$I,TRUE),TRUE,FALSE)</f>
        <v>0</v>
      </c>
      <c r="AH156" s="47" t="b">
        <f>if(countifs('Norlane, AUS'!Q:Q,$A156,'Norlane, AUS'!$I:$I,TRUE),TRUE,FALSE)</f>
        <v>0</v>
      </c>
      <c r="AI156" s="47" t="b">
        <f>if(countifs('Meitingen, GER'!Q:Q,$A156,'Meitingen, GER'!$I:$I,TRUE),TRUE,FALSE)</f>
        <v>0</v>
      </c>
      <c r="AJ156" s="47" t="b">
        <f>if(countifs('Groningen, NL'!Q:Q,$A156,'Groningen, NL'!$I:$I,TRUE),TRUE,FALSE)</f>
        <v>0</v>
      </c>
      <c r="AK156" s="47" t="b">
        <f>if(countifs('Linköping, SW'!Q:Q,$A156,'Linköping, SW'!$I:$I,TRUE),TRUE,FALSE)</f>
        <v>0</v>
      </c>
      <c r="AL156" s="47" t="b">
        <f>if(countifs('Austin, USA'!Q:Q,$A156,'Austin, USA'!$I:$I,TRUE),TRUE,FALSE)</f>
        <v>0</v>
      </c>
      <c r="AM156" s="47" t="b">
        <f>if(countifs('Thringstone, UK'!Q:Q,$A156,'Thringstone, UK'!$I:$I,TRUE),TRUE,FALSE)</f>
        <v>0</v>
      </c>
      <c r="AN156" s="47" t="b">
        <f>if(countifs('Andover, UK'!Q:Q,$A156,'Andover, UK'!$I:$I,TRUE),TRUE,FALSE)</f>
        <v>0</v>
      </c>
      <c r="AO156" s="47" t="b">
        <f>if(countifs('Ospel, NL'!Q:Q,$A156,'Ospel, NL'!$I:$I,TRUE),TRUE,FALSE)</f>
        <v>0</v>
      </c>
      <c r="AP156" s="47" t="b">
        <f>if(countifs('Wonthaggi, AUS'!Q:Q,$A156,'Wonthaggi, AUS'!$I:$I,TRUE),TRUE,FALSE)</f>
        <v>0</v>
      </c>
      <c r="AQ156" s="47" t="b">
        <f>if(countifs('Falling_Waters, USA'!$Q:$Q,$A156,'Falling_Waters, USA'!$I:$I,TRUE),TRUE,FALSE)</f>
        <v>0</v>
      </c>
      <c r="AR156" s="47" t="b">
        <f>if(countifs('Kelmscott, AUS'!Q:Q,$A156,'Kelmscott, AUS'!$I:$I,TRUE),TRUE,FALSE)</f>
        <v>0</v>
      </c>
    </row>
    <row r="157">
      <c r="A157" s="47" t="str">
        <f>IFERROR(__xludf.DUMMYFUNCTION("""COMPUTED_VALUE"""),"Laura02")</f>
        <v>Laura02</v>
      </c>
      <c r="B157" s="47">
        <f t="shared" si="1"/>
        <v>1</v>
      </c>
      <c r="C157" s="47" t="b">
        <v>0</v>
      </c>
      <c r="D157" s="47" t="b">
        <v>0</v>
      </c>
      <c r="E157" s="47" t="b">
        <v>0</v>
      </c>
      <c r="F157" s="47" t="b">
        <v>0</v>
      </c>
      <c r="G157" s="96"/>
      <c r="H157" s="96" t="b">
        <f>if(countifs('Berlin, GER'!Q:Q,A157,'Berlin, GER'!I:I,TRUE),TRUE,FALSE)</f>
        <v>0</v>
      </c>
      <c r="I157" s="96" t="b">
        <f>if(countifs('Escondido, USA'!Q:Q,A157,'Escondido, USA'!I:I,TRUE),TRUE,FALSE)</f>
        <v>0</v>
      </c>
      <c r="J157" s="96" t="b">
        <f>if(countifs('Onkaparinga_Hills, AUS'!Q:Q,A157,'Onkaparinga_Hills, AUS'!I:I,TRUE),TRUE,FALSE)</f>
        <v>0</v>
      </c>
      <c r="K157" s="96" t="b">
        <f>if(countifs('Perth, AUS'!Q:Q,A157,'Perth, AUS'!I:I,TRUE),TRUE,FALSE)</f>
        <v>0</v>
      </c>
      <c r="L157" s="96" t="b">
        <f>if(countifs('Raleigh, USA'!Q:Q,A157,'Raleigh, USA'!I:I,TRUE),TRUE,FALSE)</f>
        <v>0</v>
      </c>
      <c r="M157" s="96" t="b">
        <f>if(countifs('Browns Plains, AUS'!Q:Q,A157,'Browns Plains, AUS'!I:I,TRUE),TRUE,FALSE)</f>
        <v>0</v>
      </c>
      <c r="N157" s="96" t="b">
        <f>if(countifs('Brossard, CAN'!Q:Q,A157,'Brossard, CAN'!I:I,TRUE),TRUE,FALSE)</f>
        <v>0</v>
      </c>
      <c r="O157" s="96" t="b">
        <f>if(countifs('Gouda, NL'!Q:Q,$A157,'Gouda, NL'!$I:$I,TRUE),TRUE,FALSE)</f>
        <v>0</v>
      </c>
      <c r="P157" s="47" t="b">
        <f>if(countifs('Plympton, UK'!Q:Q,$A157,'Plympton, UK'!$I:$I,TRUE),TRUE,FALSE)</f>
        <v>0</v>
      </c>
      <c r="Q157" s="47" t="b">
        <f>if(countifs('Glen Oaks, USA'!Q:Q,$A157,'Glen Oaks, USA'!$I:$I,TRUE),TRUE,FALSE)</f>
        <v>0</v>
      </c>
      <c r="R157" s="47" t="b">
        <f>if(countifs('Chemnitz, GER'!Q:Q,$A157,'Chemnitz, GER'!I:I,TRUE),TRUE,FALSE)</f>
        <v>0</v>
      </c>
      <c r="S157" s="47" t="b">
        <f>if(countifs('Vosselaar, BE'!Q:Q,$A157,'Vosselaar, BE'!$I:$I,TRUE),TRUE,FALSE)</f>
        <v>0</v>
      </c>
      <c r="T157" s="47" t="b">
        <f>if(countifs('MHQ, USA'!Q:Q,$A157,'MHQ, USA'!$I:$I,TRUE),TRUE,FALSE)</f>
        <v>0</v>
      </c>
      <c r="U157" s="47" t="b">
        <f>if(countifs('Morayfield, AUS'!Q:Q,$A157,'Morayfield, AUS'!$I:$I,TRUE),TRUE,FALSE)</f>
        <v>0</v>
      </c>
      <c r="V157" s="11" t="b">
        <f>if(countifs('Arnhem, NL'!Q:Q,$A157,'Arnhem, NL'!$I:$I,TRUE),TRUE,FALSE)</f>
        <v>0</v>
      </c>
      <c r="W157" s="47" t="b">
        <f>if(countifs('Gotenborg, SW'!Q:Q,$A157,'Gotenborg, SW'!$I:$I,TRUE),TRUE,FALSE)</f>
        <v>0</v>
      </c>
      <c r="X157" s="47" t="b">
        <f>if(countifs('Shepparton, AUS'!Q:Q,$A157,'Shepparton, AUS'!$I:$I,TRUE),TRUE,FALSE)</f>
        <v>0</v>
      </c>
      <c r="Y157" s="47" t="b">
        <f>if(countifs('Hoofddorp, NL'!Q:Q,$A157,'Hoofddorp, NL'!$I:$I,TRUE),TRUE,FALSE)</f>
        <v>0</v>
      </c>
      <c r="Z157" s="47" t="b">
        <f>if(countifs('Bedford, UK'!Q:Q,$A157,'Bedford, UK'!$I:$I,TRUE),TRUE,FALSE)</f>
        <v>0</v>
      </c>
      <c r="AA157" s="47" t="b">
        <f>IF(COUNTIFS('Desert Lodge, USA'!Q:Q,$A157,'Desert Lodge, USA'!I:I,TRUE),TRUE,FALSE)</f>
        <v>0</v>
      </c>
      <c r="AB157" s="47" t="b">
        <f>if(countifs('Dapto, AUS'!Q:Q,$A157,'Dapto, AUS'!$I:$I,TRUE),TRUE,FALSE)</f>
        <v>0</v>
      </c>
      <c r="AC157" s="47" t="b">
        <f>if(countifs('New Westminster, CAN'!Q:Q,$A157,'New Westminster, CAN'!$I:$I,TRUE),TRUE,FALSE)</f>
        <v>0</v>
      </c>
      <c r="AD157" s="47" t="b">
        <f>if(countifs('Georgetown, CAN'!Q:Q,$A157,'Georgetown, CAN'!$I:$I,TRUE),TRUE,FALSE)</f>
        <v>1</v>
      </c>
      <c r="AE157" s="47" t="b">
        <f>if(countifs('Kingswood, UK'!Q:Q,$A157,'Kingswood, UK'!$I:$I,TRUE),TRUE,FALSE)</f>
        <v>0</v>
      </c>
      <c r="AF157" s="47" t="b">
        <f>if(countifs('Hagerstown, USA'!Q:Q,$A157,'Hagerstown, USA'!$I:$I,TRUE),TRUE,FALSE)</f>
        <v>0</v>
      </c>
      <c r="AG157" s="47" t="b">
        <f>if(countifs('Felsogalla, HU'!Q:Q,$A157,'Felsogalla, HU'!$I:$I,TRUE),TRUE,FALSE)</f>
        <v>0</v>
      </c>
      <c r="AH157" s="47" t="b">
        <f>if(countifs('Norlane, AUS'!Q:Q,$A157,'Norlane, AUS'!$I:$I,TRUE),TRUE,FALSE)</f>
        <v>0</v>
      </c>
      <c r="AI157" s="47" t="b">
        <f>if(countifs('Meitingen, GER'!Q:Q,$A157,'Meitingen, GER'!$I:$I,TRUE),TRUE,FALSE)</f>
        <v>0</v>
      </c>
      <c r="AJ157" s="47" t="b">
        <f>if(countifs('Groningen, NL'!Q:Q,$A157,'Groningen, NL'!$I:$I,TRUE),TRUE,FALSE)</f>
        <v>0</v>
      </c>
      <c r="AK157" s="47" t="b">
        <f>if(countifs('Linköping, SW'!Q:Q,$A157,'Linköping, SW'!$I:$I,TRUE),TRUE,FALSE)</f>
        <v>0</v>
      </c>
      <c r="AL157" s="47" t="b">
        <f>if(countifs('Austin, USA'!Q:Q,$A157,'Austin, USA'!$I:$I,TRUE),TRUE,FALSE)</f>
        <v>0</v>
      </c>
      <c r="AM157" s="47" t="b">
        <f>if(countifs('Thringstone, UK'!Q:Q,$A157,'Thringstone, UK'!$I:$I,TRUE),TRUE,FALSE)</f>
        <v>0</v>
      </c>
      <c r="AN157" s="47" t="b">
        <f>if(countifs('Andover, UK'!Q:Q,$A157,'Andover, UK'!$I:$I,TRUE),TRUE,FALSE)</f>
        <v>0</v>
      </c>
      <c r="AO157" s="47" t="b">
        <f>if(countifs('Ospel, NL'!Q:Q,$A157,'Ospel, NL'!$I:$I,TRUE),TRUE,FALSE)</f>
        <v>0</v>
      </c>
      <c r="AP157" s="47" t="b">
        <f>if(countifs('Wonthaggi, AUS'!Q:Q,$A157,'Wonthaggi, AUS'!$I:$I,TRUE),TRUE,FALSE)</f>
        <v>0</v>
      </c>
      <c r="AQ157" s="47" t="b">
        <f>if(countifs('Falling_Waters, USA'!$Q:$Q,$A157,'Falling_Waters, USA'!$I:$I,TRUE),TRUE,FALSE)</f>
        <v>0</v>
      </c>
      <c r="AR157" s="47" t="b">
        <f>if(countifs('Kelmscott, AUS'!Q:Q,$A157,'Kelmscott, AUS'!$I:$I,TRUE),TRUE,FALSE)</f>
        <v>0</v>
      </c>
    </row>
    <row r="158">
      <c r="A158" s="47" t="str">
        <f>IFERROR(__xludf.DUMMYFUNCTION("""COMPUTED_VALUE"""),"shaynemarks")</f>
        <v>shaynemarks</v>
      </c>
      <c r="B158" s="47">
        <f t="shared" si="1"/>
        <v>1</v>
      </c>
      <c r="C158" s="47" t="b">
        <v>0</v>
      </c>
      <c r="D158" s="47" t="b">
        <v>0</v>
      </c>
      <c r="E158" s="47" t="b">
        <v>0</v>
      </c>
      <c r="F158" s="47" t="b">
        <v>0</v>
      </c>
      <c r="G158" s="96"/>
      <c r="H158" s="96" t="b">
        <f>if(countifs('Berlin, GER'!Q:Q,A158,'Berlin, GER'!I:I,TRUE),TRUE,FALSE)</f>
        <v>0</v>
      </c>
      <c r="I158" s="96" t="b">
        <f>if(countifs('Escondido, USA'!Q:Q,A158,'Escondido, USA'!I:I,TRUE),TRUE,FALSE)</f>
        <v>0</v>
      </c>
      <c r="J158" s="96" t="b">
        <f>if(countifs('Onkaparinga_Hills, AUS'!Q:Q,A158,'Onkaparinga_Hills, AUS'!I:I,TRUE),TRUE,FALSE)</f>
        <v>0</v>
      </c>
      <c r="K158" s="96" t="b">
        <f>if(countifs('Perth, AUS'!Q:Q,A158,'Perth, AUS'!I:I,TRUE),TRUE,FALSE)</f>
        <v>0</v>
      </c>
      <c r="L158" s="96" t="b">
        <f>if(countifs('Raleigh, USA'!Q:Q,A158,'Raleigh, USA'!I:I,TRUE),TRUE,FALSE)</f>
        <v>0</v>
      </c>
      <c r="M158" s="96" t="b">
        <f>if(countifs('Browns Plains, AUS'!Q:Q,A158,'Browns Plains, AUS'!I:I,TRUE),TRUE,FALSE)</f>
        <v>0</v>
      </c>
      <c r="N158" s="96" t="b">
        <f>if(countifs('Brossard, CAN'!Q:Q,A158,'Brossard, CAN'!I:I,TRUE),TRUE,FALSE)</f>
        <v>0</v>
      </c>
      <c r="O158" s="96" t="b">
        <f>if(countifs('Gouda, NL'!Q:Q,$A158,'Gouda, NL'!$I:$I,TRUE),TRUE,FALSE)</f>
        <v>0</v>
      </c>
      <c r="P158" s="47" t="b">
        <f>if(countifs('Plympton, UK'!Q:Q,$A158,'Plympton, UK'!$I:$I,TRUE),TRUE,FALSE)</f>
        <v>0</v>
      </c>
      <c r="Q158" s="47" t="b">
        <f>if(countifs('Glen Oaks, USA'!Q:Q,$A158,'Glen Oaks, USA'!$I:$I,TRUE),TRUE,FALSE)</f>
        <v>0</v>
      </c>
      <c r="R158" s="47" t="b">
        <f>if(countifs('Chemnitz, GER'!Q:Q,$A158,'Chemnitz, GER'!I:I,TRUE),TRUE,FALSE)</f>
        <v>0</v>
      </c>
      <c r="S158" s="47" t="b">
        <f>if(countifs('Vosselaar, BE'!Q:Q,$A158,'Vosselaar, BE'!$I:$I,TRUE),TRUE,FALSE)</f>
        <v>0</v>
      </c>
      <c r="T158" s="47" t="b">
        <f>if(countifs('MHQ, USA'!Q:Q,$A158,'MHQ, USA'!$I:$I,TRUE),TRUE,FALSE)</f>
        <v>0</v>
      </c>
      <c r="U158" s="47" t="b">
        <f>if(countifs('Morayfield, AUS'!Q:Q,$A158,'Morayfield, AUS'!$I:$I,TRUE),TRUE,FALSE)</f>
        <v>0</v>
      </c>
      <c r="V158" s="11" t="b">
        <f>if(countifs('Arnhem, NL'!Q:Q,$A158,'Arnhem, NL'!$I:$I,TRUE),TRUE,FALSE)</f>
        <v>0</v>
      </c>
      <c r="W158" s="47" t="b">
        <f>if(countifs('Gotenborg, SW'!Q:Q,$A158,'Gotenborg, SW'!$I:$I,TRUE),TRUE,FALSE)</f>
        <v>0</v>
      </c>
      <c r="X158" s="47" t="b">
        <f>if(countifs('Shepparton, AUS'!Q:Q,$A158,'Shepparton, AUS'!$I:$I,TRUE),TRUE,FALSE)</f>
        <v>0</v>
      </c>
      <c r="Y158" s="47" t="b">
        <f>if(countifs('Hoofddorp, NL'!Q:Q,$A158,'Hoofddorp, NL'!$I:$I,TRUE),TRUE,FALSE)</f>
        <v>0</v>
      </c>
      <c r="Z158" s="47" t="b">
        <f>if(countifs('Bedford, UK'!Q:Q,$A158,'Bedford, UK'!$I:$I,TRUE),TRUE,FALSE)</f>
        <v>0</v>
      </c>
      <c r="AA158" s="47" t="b">
        <f>IF(COUNTIFS('Desert Lodge, USA'!Q:Q,$A158,'Desert Lodge, USA'!I:I,TRUE),TRUE,FALSE)</f>
        <v>0</v>
      </c>
      <c r="AB158" s="47" t="b">
        <f>if(countifs('Dapto, AUS'!Q:Q,$A158,'Dapto, AUS'!$I:$I,TRUE),TRUE,FALSE)</f>
        <v>0</v>
      </c>
      <c r="AC158" s="47" t="b">
        <f>if(countifs('New Westminster, CAN'!Q:Q,$A158,'New Westminster, CAN'!$I:$I,TRUE),TRUE,FALSE)</f>
        <v>0</v>
      </c>
      <c r="AD158" s="47" t="b">
        <f>if(countifs('Georgetown, CAN'!Q:Q,$A158,'Georgetown, CAN'!$I:$I,TRUE),TRUE,FALSE)</f>
        <v>0</v>
      </c>
      <c r="AE158" s="47" t="b">
        <f>if(countifs('Kingswood, UK'!Q:Q,$A158,'Kingswood, UK'!$I:$I,TRUE),TRUE,FALSE)</f>
        <v>0</v>
      </c>
      <c r="AF158" s="47" t="b">
        <f>if(countifs('Hagerstown, USA'!Q:Q,$A158,'Hagerstown, USA'!$I:$I,TRUE),TRUE,FALSE)</f>
        <v>0</v>
      </c>
      <c r="AG158" s="47" t="b">
        <f>if(countifs('Felsogalla, HU'!Q:Q,$A158,'Felsogalla, HU'!$I:$I,TRUE),TRUE,FALSE)</f>
        <v>0</v>
      </c>
      <c r="AH158" s="47" t="b">
        <f>if(countifs('Norlane, AUS'!Q:Q,$A158,'Norlane, AUS'!$I:$I,TRUE),TRUE,FALSE)</f>
        <v>0</v>
      </c>
      <c r="AI158" s="47" t="b">
        <f>if(countifs('Meitingen, GER'!Q:Q,$A158,'Meitingen, GER'!$I:$I,TRUE),TRUE,FALSE)</f>
        <v>0</v>
      </c>
      <c r="AJ158" s="47" t="b">
        <f>if(countifs('Groningen, NL'!Q:Q,$A158,'Groningen, NL'!$I:$I,TRUE),TRUE,FALSE)</f>
        <v>0</v>
      </c>
      <c r="AK158" s="47" t="b">
        <f>if(countifs('Linköping, SW'!Q:Q,$A158,'Linköping, SW'!$I:$I,TRUE),TRUE,FALSE)</f>
        <v>0</v>
      </c>
      <c r="AL158" s="47" t="b">
        <f>if(countifs('Austin, USA'!Q:Q,$A158,'Austin, USA'!$I:$I,TRUE),TRUE,FALSE)</f>
        <v>0</v>
      </c>
      <c r="AM158" s="47" t="b">
        <f>if(countifs('Thringstone, UK'!Q:Q,$A158,'Thringstone, UK'!$I:$I,TRUE),TRUE,FALSE)</f>
        <v>0</v>
      </c>
      <c r="AN158" s="47" t="b">
        <f>if(countifs('Andover, UK'!Q:Q,$A158,'Andover, UK'!$I:$I,TRUE),TRUE,FALSE)</f>
        <v>0</v>
      </c>
      <c r="AO158" s="47" t="b">
        <f>if(countifs('Ospel, NL'!Q:Q,$A158,'Ospel, NL'!$I:$I,TRUE),TRUE,FALSE)</f>
        <v>0</v>
      </c>
      <c r="AP158" s="47" t="b">
        <f>if(countifs('Wonthaggi, AUS'!Q:Q,$A158,'Wonthaggi, AUS'!$I:$I,TRUE),TRUE,FALSE)</f>
        <v>1</v>
      </c>
      <c r="AQ158" s="47" t="b">
        <f>if(countifs('Falling_Waters, USA'!$Q:$Q,$A158,'Falling_Waters, USA'!$I:$I,TRUE),TRUE,FALSE)</f>
        <v>0</v>
      </c>
      <c r="AR158" s="47" t="b">
        <f>if(countifs('Kelmscott, AUS'!Q:Q,$A158,'Kelmscott, AUS'!$I:$I,TRUE),TRUE,FALSE)</f>
        <v>0</v>
      </c>
    </row>
    <row r="159">
      <c r="A159" s="47" t="str">
        <f>IFERROR(__xludf.DUMMYFUNCTION("""COMPUTED_VALUE"""),"habu")</f>
        <v>habu</v>
      </c>
      <c r="B159" s="47">
        <f t="shared" si="1"/>
        <v>1</v>
      </c>
      <c r="C159" s="47" t="b">
        <v>0</v>
      </c>
      <c r="D159" s="47" t="b">
        <v>0</v>
      </c>
      <c r="E159" s="47" t="b">
        <v>0</v>
      </c>
      <c r="F159" s="47" t="b">
        <v>0</v>
      </c>
      <c r="G159" s="96"/>
      <c r="H159" s="96" t="b">
        <f>if(countifs('Berlin, GER'!Q:Q,A159,'Berlin, GER'!I:I,TRUE),TRUE,FALSE)</f>
        <v>0</v>
      </c>
      <c r="I159" s="96" t="b">
        <f>if(countifs('Escondido, USA'!Q:Q,A159,'Escondido, USA'!I:I,TRUE),TRUE,FALSE)</f>
        <v>0</v>
      </c>
      <c r="J159" s="96" t="b">
        <f>if(countifs('Onkaparinga_Hills, AUS'!Q:Q,A159,'Onkaparinga_Hills, AUS'!I:I,TRUE),TRUE,FALSE)</f>
        <v>0</v>
      </c>
      <c r="K159" s="96" t="b">
        <f>if(countifs('Perth, AUS'!Q:Q,A159,'Perth, AUS'!I:I,TRUE),TRUE,FALSE)</f>
        <v>0</v>
      </c>
      <c r="L159" s="96" t="b">
        <f>if(countifs('Raleigh, USA'!Q:Q,A159,'Raleigh, USA'!I:I,TRUE),TRUE,FALSE)</f>
        <v>0</v>
      </c>
      <c r="M159" s="96" t="b">
        <f>if(countifs('Browns Plains, AUS'!Q:Q,A159,'Browns Plains, AUS'!I:I,TRUE),TRUE,FALSE)</f>
        <v>0</v>
      </c>
      <c r="N159" s="96" t="b">
        <f>if(countifs('Brossard, CAN'!Q:Q,A159,'Brossard, CAN'!I:I,TRUE),TRUE,FALSE)</f>
        <v>0</v>
      </c>
      <c r="O159" s="96" t="b">
        <f>if(countifs('Gouda, NL'!Q:Q,$A159,'Gouda, NL'!$I:$I,TRUE),TRUE,FALSE)</f>
        <v>0</v>
      </c>
      <c r="P159" s="47" t="b">
        <f>if(countifs('Plympton, UK'!Q:Q,$A159,'Plympton, UK'!$I:$I,TRUE),TRUE,FALSE)</f>
        <v>0</v>
      </c>
      <c r="Q159" s="47" t="b">
        <f>if(countifs('Glen Oaks, USA'!Q:Q,$A159,'Glen Oaks, USA'!$I:$I,TRUE),TRUE,FALSE)</f>
        <v>0</v>
      </c>
      <c r="R159" s="47" t="b">
        <f>if(countifs('Chemnitz, GER'!Q:Q,$A159,'Chemnitz, GER'!I:I,TRUE),TRUE,FALSE)</f>
        <v>0</v>
      </c>
      <c r="S159" s="47" t="b">
        <f>if(countifs('Vosselaar, BE'!Q:Q,$A159,'Vosselaar, BE'!$I:$I,TRUE),TRUE,FALSE)</f>
        <v>0</v>
      </c>
      <c r="T159" s="47" t="b">
        <f>if(countifs('MHQ, USA'!Q:Q,$A159,'MHQ, USA'!$I:$I,TRUE),TRUE,FALSE)</f>
        <v>0</v>
      </c>
      <c r="U159" s="47" t="b">
        <f>if(countifs('Morayfield, AUS'!Q:Q,$A159,'Morayfield, AUS'!$I:$I,TRUE),TRUE,FALSE)</f>
        <v>0</v>
      </c>
      <c r="V159" s="11" t="b">
        <f>if(countifs('Arnhem, NL'!Q:Q,$A159,'Arnhem, NL'!$I:$I,TRUE),TRUE,FALSE)</f>
        <v>0</v>
      </c>
      <c r="W159" s="47" t="b">
        <f>if(countifs('Gotenborg, SW'!Q:Q,$A159,'Gotenborg, SW'!$I:$I,TRUE),TRUE,FALSE)</f>
        <v>0</v>
      </c>
      <c r="X159" s="47" t="b">
        <f>if(countifs('Shepparton, AUS'!Q:Q,$A159,'Shepparton, AUS'!$I:$I,TRUE),TRUE,FALSE)</f>
        <v>0</v>
      </c>
      <c r="Y159" s="47" t="b">
        <f>if(countifs('Hoofddorp, NL'!Q:Q,$A159,'Hoofddorp, NL'!$I:$I,TRUE),TRUE,FALSE)</f>
        <v>0</v>
      </c>
      <c r="Z159" s="47" t="b">
        <f>if(countifs('Bedford, UK'!Q:Q,$A159,'Bedford, UK'!$I:$I,TRUE),TRUE,FALSE)</f>
        <v>0</v>
      </c>
      <c r="AA159" s="47" t="b">
        <f>IF(COUNTIFS('Desert Lodge, USA'!Q:Q,$A159,'Desert Lodge, USA'!I:I,TRUE),TRUE,FALSE)</f>
        <v>1</v>
      </c>
      <c r="AB159" s="47" t="b">
        <f>if(countifs('Dapto, AUS'!Q:Q,$A159,'Dapto, AUS'!$I:$I,TRUE),TRUE,FALSE)</f>
        <v>0</v>
      </c>
      <c r="AC159" s="47" t="b">
        <f>if(countifs('New Westminster, CAN'!Q:Q,$A159,'New Westminster, CAN'!$I:$I,TRUE),TRUE,FALSE)</f>
        <v>0</v>
      </c>
      <c r="AD159" s="47" t="b">
        <f>if(countifs('Georgetown, CAN'!Q:Q,$A159,'Georgetown, CAN'!$I:$I,TRUE),TRUE,FALSE)</f>
        <v>0</v>
      </c>
      <c r="AE159" s="47" t="b">
        <f>if(countifs('Kingswood, UK'!Q:Q,$A159,'Kingswood, UK'!$I:$I,TRUE),TRUE,FALSE)</f>
        <v>0</v>
      </c>
      <c r="AF159" s="47" t="b">
        <f>if(countifs('Hagerstown, USA'!Q:Q,$A159,'Hagerstown, USA'!$I:$I,TRUE),TRUE,FALSE)</f>
        <v>0</v>
      </c>
      <c r="AG159" s="47" t="b">
        <f>if(countifs('Felsogalla, HU'!Q:Q,$A159,'Felsogalla, HU'!$I:$I,TRUE),TRUE,FALSE)</f>
        <v>0</v>
      </c>
      <c r="AH159" s="47" t="b">
        <f>if(countifs('Norlane, AUS'!Q:Q,$A159,'Norlane, AUS'!$I:$I,TRUE),TRUE,FALSE)</f>
        <v>0</v>
      </c>
      <c r="AI159" s="47" t="b">
        <f>if(countifs('Meitingen, GER'!Q:Q,$A159,'Meitingen, GER'!$I:$I,TRUE),TRUE,FALSE)</f>
        <v>0</v>
      </c>
      <c r="AJ159" s="47" t="b">
        <f>if(countifs('Groningen, NL'!Q:Q,$A159,'Groningen, NL'!$I:$I,TRUE),TRUE,FALSE)</f>
        <v>0</v>
      </c>
      <c r="AK159" s="47" t="b">
        <f>if(countifs('Linköping, SW'!Q:Q,$A159,'Linköping, SW'!$I:$I,TRUE),TRUE,FALSE)</f>
        <v>0</v>
      </c>
      <c r="AL159" s="47" t="b">
        <f>if(countifs('Austin, USA'!Q:Q,$A159,'Austin, USA'!$I:$I,TRUE),TRUE,FALSE)</f>
        <v>0</v>
      </c>
      <c r="AM159" s="47" t="b">
        <f>if(countifs('Thringstone, UK'!Q:Q,$A159,'Thringstone, UK'!$I:$I,TRUE),TRUE,FALSE)</f>
        <v>0</v>
      </c>
      <c r="AN159" s="47" t="b">
        <f>if(countifs('Andover, UK'!Q:Q,$A159,'Andover, UK'!$I:$I,TRUE),TRUE,FALSE)</f>
        <v>0</v>
      </c>
      <c r="AO159" s="47" t="b">
        <f>if(countifs('Ospel, NL'!Q:Q,$A159,'Ospel, NL'!$I:$I,TRUE),TRUE,FALSE)</f>
        <v>0</v>
      </c>
      <c r="AP159" s="47" t="b">
        <f>if(countifs('Wonthaggi, AUS'!Q:Q,$A159,'Wonthaggi, AUS'!$I:$I,TRUE),TRUE,FALSE)</f>
        <v>0</v>
      </c>
      <c r="AQ159" s="47" t="b">
        <f>if(countifs('Falling_Waters, USA'!$Q:$Q,$A159,'Falling_Waters, USA'!$I:$I,TRUE),TRUE,FALSE)</f>
        <v>0</v>
      </c>
      <c r="AR159" s="47" t="b">
        <f>if(countifs('Kelmscott, AUS'!Q:Q,$A159,'Kelmscott, AUS'!$I:$I,TRUE),TRUE,FALSE)</f>
        <v>0</v>
      </c>
    </row>
    <row r="160">
      <c r="A160" s="47" t="str">
        <f>IFERROR(__xludf.DUMMYFUNCTION("""COMPUTED_VALUE"""),"mrsg9064")</f>
        <v>mrsg9064</v>
      </c>
      <c r="B160" s="47">
        <f t="shared" si="1"/>
        <v>1</v>
      </c>
      <c r="C160" s="47" t="b">
        <v>0</v>
      </c>
      <c r="D160" s="47" t="b">
        <v>0</v>
      </c>
      <c r="E160" s="47" t="b">
        <v>0</v>
      </c>
      <c r="F160" s="47" t="b">
        <v>0</v>
      </c>
      <c r="G160" s="96"/>
      <c r="H160" s="96" t="b">
        <f>if(countifs('Berlin, GER'!Q:Q,A160,'Berlin, GER'!I:I,TRUE),TRUE,FALSE)</f>
        <v>0</v>
      </c>
      <c r="I160" s="96" t="b">
        <f>if(countifs('Escondido, USA'!Q:Q,A160,'Escondido, USA'!I:I,TRUE),TRUE,FALSE)</f>
        <v>0</v>
      </c>
      <c r="J160" s="96" t="b">
        <f>if(countifs('Onkaparinga_Hills, AUS'!Q:Q,A160,'Onkaparinga_Hills, AUS'!I:I,TRUE),TRUE,FALSE)</f>
        <v>0</v>
      </c>
      <c r="K160" s="96" t="b">
        <f>if(countifs('Perth, AUS'!Q:Q,A160,'Perth, AUS'!I:I,TRUE),TRUE,FALSE)</f>
        <v>0</v>
      </c>
      <c r="L160" s="96" t="b">
        <f>if(countifs('Raleigh, USA'!Q:Q,A160,'Raleigh, USA'!I:I,TRUE),TRUE,FALSE)</f>
        <v>0</v>
      </c>
      <c r="M160" s="96" t="b">
        <f>if(countifs('Browns Plains, AUS'!Q:Q,A160,'Browns Plains, AUS'!I:I,TRUE),TRUE,FALSE)</f>
        <v>0</v>
      </c>
      <c r="N160" s="96" t="b">
        <f>if(countifs('Brossard, CAN'!Q:Q,A160,'Brossard, CAN'!I:I,TRUE),TRUE,FALSE)</f>
        <v>0</v>
      </c>
      <c r="O160" s="96" t="b">
        <f>if(countifs('Gouda, NL'!Q:Q,$A160,'Gouda, NL'!$I:$I,TRUE),TRUE,FALSE)</f>
        <v>0</v>
      </c>
      <c r="P160" s="47" t="b">
        <f>if(countifs('Plympton, UK'!Q:Q,$A160,'Plympton, UK'!$I:$I,TRUE),TRUE,FALSE)</f>
        <v>0</v>
      </c>
      <c r="Q160" s="47" t="b">
        <f>if(countifs('Glen Oaks, USA'!Q:Q,$A160,'Glen Oaks, USA'!$I:$I,TRUE),TRUE,FALSE)</f>
        <v>0</v>
      </c>
      <c r="R160" s="47" t="b">
        <f>if(countifs('Chemnitz, GER'!Q:Q,$A160,'Chemnitz, GER'!I:I,TRUE),TRUE,FALSE)</f>
        <v>0</v>
      </c>
      <c r="S160" s="47" t="b">
        <f>if(countifs('Vosselaar, BE'!Q:Q,$A160,'Vosselaar, BE'!$I:$I,TRUE),TRUE,FALSE)</f>
        <v>0</v>
      </c>
      <c r="T160" s="47" t="b">
        <f>if(countifs('MHQ, USA'!Q:Q,$A160,'MHQ, USA'!$I:$I,TRUE),TRUE,FALSE)</f>
        <v>0</v>
      </c>
      <c r="U160" s="47" t="b">
        <f>if(countifs('Morayfield, AUS'!Q:Q,$A160,'Morayfield, AUS'!$I:$I,TRUE),TRUE,FALSE)</f>
        <v>0</v>
      </c>
      <c r="V160" s="11" t="b">
        <f>if(countifs('Arnhem, NL'!Q:Q,$A160,'Arnhem, NL'!$I:$I,TRUE),TRUE,FALSE)</f>
        <v>0</v>
      </c>
      <c r="W160" s="47" t="b">
        <f>if(countifs('Gotenborg, SW'!Q:Q,$A160,'Gotenborg, SW'!$I:$I,TRUE),TRUE,FALSE)</f>
        <v>0</v>
      </c>
      <c r="X160" s="47" t="b">
        <f>if(countifs('Shepparton, AUS'!Q:Q,$A160,'Shepparton, AUS'!$I:$I,TRUE),TRUE,FALSE)</f>
        <v>0</v>
      </c>
      <c r="Y160" s="47" t="b">
        <f>if(countifs('Hoofddorp, NL'!Q:Q,$A160,'Hoofddorp, NL'!$I:$I,TRUE),TRUE,FALSE)</f>
        <v>0</v>
      </c>
      <c r="Z160" s="47" t="b">
        <f>if(countifs('Bedford, UK'!Q:Q,$A160,'Bedford, UK'!$I:$I,TRUE),TRUE,FALSE)</f>
        <v>0</v>
      </c>
      <c r="AA160" s="47" t="b">
        <f>IF(COUNTIFS('Desert Lodge, USA'!Q:Q,$A160,'Desert Lodge, USA'!I:I,TRUE),TRUE,FALSE)</f>
        <v>1</v>
      </c>
      <c r="AB160" s="47" t="b">
        <f>if(countifs('Dapto, AUS'!Q:Q,$A160,'Dapto, AUS'!$I:$I,TRUE),TRUE,FALSE)</f>
        <v>0</v>
      </c>
      <c r="AC160" s="47" t="b">
        <f>if(countifs('New Westminster, CAN'!Q:Q,$A160,'New Westminster, CAN'!$I:$I,TRUE),TRUE,FALSE)</f>
        <v>0</v>
      </c>
      <c r="AD160" s="47" t="b">
        <f>if(countifs('Georgetown, CAN'!Q:Q,$A160,'Georgetown, CAN'!$I:$I,TRUE),TRUE,FALSE)</f>
        <v>0</v>
      </c>
      <c r="AE160" s="47" t="b">
        <f>if(countifs('Kingswood, UK'!Q:Q,$A160,'Kingswood, UK'!$I:$I,TRUE),TRUE,FALSE)</f>
        <v>0</v>
      </c>
      <c r="AF160" s="47" t="b">
        <f>if(countifs('Hagerstown, USA'!Q:Q,$A160,'Hagerstown, USA'!$I:$I,TRUE),TRUE,FALSE)</f>
        <v>0</v>
      </c>
      <c r="AG160" s="47" t="b">
        <f>if(countifs('Felsogalla, HU'!Q:Q,$A160,'Felsogalla, HU'!$I:$I,TRUE),TRUE,FALSE)</f>
        <v>0</v>
      </c>
      <c r="AH160" s="47" t="b">
        <f>if(countifs('Norlane, AUS'!Q:Q,$A160,'Norlane, AUS'!$I:$I,TRUE),TRUE,FALSE)</f>
        <v>0</v>
      </c>
      <c r="AI160" s="47" t="b">
        <f>if(countifs('Meitingen, GER'!Q:Q,$A160,'Meitingen, GER'!$I:$I,TRUE),TRUE,FALSE)</f>
        <v>0</v>
      </c>
      <c r="AJ160" s="47" t="b">
        <f>if(countifs('Groningen, NL'!Q:Q,$A160,'Groningen, NL'!$I:$I,TRUE),TRUE,FALSE)</f>
        <v>0</v>
      </c>
      <c r="AK160" s="47" t="b">
        <f>if(countifs('Linköping, SW'!Q:Q,$A160,'Linköping, SW'!$I:$I,TRUE),TRUE,FALSE)</f>
        <v>0</v>
      </c>
      <c r="AL160" s="47" t="b">
        <f>if(countifs('Austin, USA'!Q:Q,$A160,'Austin, USA'!$I:$I,TRUE),TRUE,FALSE)</f>
        <v>0</v>
      </c>
      <c r="AM160" s="47" t="b">
        <f>if(countifs('Thringstone, UK'!Q:Q,$A160,'Thringstone, UK'!$I:$I,TRUE),TRUE,FALSE)</f>
        <v>0</v>
      </c>
      <c r="AN160" s="47" t="b">
        <f>if(countifs('Andover, UK'!Q:Q,$A160,'Andover, UK'!$I:$I,TRUE),TRUE,FALSE)</f>
        <v>0</v>
      </c>
      <c r="AO160" s="47" t="b">
        <f>if(countifs('Ospel, NL'!Q:Q,$A160,'Ospel, NL'!$I:$I,TRUE),TRUE,FALSE)</f>
        <v>0</v>
      </c>
      <c r="AP160" s="47" t="b">
        <f>if(countifs('Wonthaggi, AUS'!Q:Q,$A160,'Wonthaggi, AUS'!$I:$I,TRUE),TRUE,FALSE)</f>
        <v>0</v>
      </c>
      <c r="AQ160" s="47" t="b">
        <f>if(countifs('Falling_Waters, USA'!$Q:$Q,$A160,'Falling_Waters, USA'!$I:$I,TRUE),TRUE,FALSE)</f>
        <v>0</v>
      </c>
      <c r="AR160" s="47" t="b">
        <f>if(countifs('Kelmscott, AUS'!Q:Q,$A160,'Kelmscott, AUS'!$I:$I,TRUE),TRUE,FALSE)</f>
        <v>0</v>
      </c>
    </row>
    <row r="161">
      <c r="A161" s="47" t="str">
        <f>IFERROR(__xludf.DUMMYFUNCTION("""COMPUTED_VALUE"""),"Mcpo")</f>
        <v>Mcpo</v>
      </c>
      <c r="B161" s="47">
        <f t="shared" si="1"/>
        <v>1</v>
      </c>
      <c r="C161" s="47" t="b">
        <v>0</v>
      </c>
      <c r="D161" s="47" t="b">
        <v>0</v>
      </c>
      <c r="E161" s="47" t="b">
        <v>0</v>
      </c>
      <c r="F161" s="47" t="b">
        <v>0</v>
      </c>
      <c r="G161" s="96"/>
      <c r="H161" s="96" t="b">
        <f>if(countifs('Berlin, GER'!Q:Q,A161,'Berlin, GER'!I:I,TRUE),TRUE,FALSE)</f>
        <v>0</v>
      </c>
      <c r="I161" s="96" t="b">
        <f>if(countifs('Escondido, USA'!Q:Q,A161,'Escondido, USA'!I:I,TRUE),TRUE,FALSE)</f>
        <v>0</v>
      </c>
      <c r="J161" s="96" t="b">
        <f>if(countifs('Onkaparinga_Hills, AUS'!Q:Q,A161,'Onkaparinga_Hills, AUS'!I:I,TRUE),TRUE,FALSE)</f>
        <v>0</v>
      </c>
      <c r="K161" s="96" t="b">
        <f>if(countifs('Perth, AUS'!Q:Q,A161,'Perth, AUS'!I:I,TRUE),TRUE,FALSE)</f>
        <v>0</v>
      </c>
      <c r="L161" s="96" t="b">
        <f>if(countifs('Raleigh, USA'!Q:Q,A161,'Raleigh, USA'!I:I,TRUE),TRUE,FALSE)</f>
        <v>0</v>
      </c>
      <c r="M161" s="96" t="b">
        <f>if(countifs('Browns Plains, AUS'!Q:Q,A161,'Browns Plains, AUS'!I:I,TRUE),TRUE,FALSE)</f>
        <v>0</v>
      </c>
      <c r="N161" s="96" t="b">
        <f>if(countifs('Brossard, CAN'!Q:Q,A161,'Brossard, CAN'!I:I,TRUE),TRUE,FALSE)</f>
        <v>0</v>
      </c>
      <c r="O161" s="96" t="b">
        <f>if(countifs('Gouda, NL'!Q:Q,$A161,'Gouda, NL'!$I:$I,TRUE),TRUE,FALSE)</f>
        <v>0</v>
      </c>
      <c r="P161" s="47" t="b">
        <f>if(countifs('Plympton, UK'!Q:Q,$A161,'Plympton, UK'!$I:$I,TRUE),TRUE,FALSE)</f>
        <v>0</v>
      </c>
      <c r="Q161" s="47" t="b">
        <f>if(countifs('Glen Oaks, USA'!Q:Q,$A161,'Glen Oaks, USA'!$I:$I,TRUE),TRUE,FALSE)</f>
        <v>0</v>
      </c>
      <c r="R161" s="47" t="b">
        <f>if(countifs('Chemnitz, GER'!Q:Q,$A161,'Chemnitz, GER'!I:I,TRUE),TRUE,FALSE)</f>
        <v>0</v>
      </c>
      <c r="S161" s="47" t="b">
        <f>if(countifs('Vosselaar, BE'!Q:Q,$A161,'Vosselaar, BE'!$I:$I,TRUE),TRUE,FALSE)</f>
        <v>0</v>
      </c>
      <c r="T161" s="47" t="b">
        <f>if(countifs('MHQ, USA'!Q:Q,$A161,'MHQ, USA'!$I:$I,TRUE),TRUE,FALSE)</f>
        <v>0</v>
      </c>
      <c r="U161" s="47" t="b">
        <f>if(countifs('Morayfield, AUS'!Q:Q,$A161,'Morayfield, AUS'!$I:$I,TRUE),TRUE,FALSE)</f>
        <v>0</v>
      </c>
      <c r="V161" s="11" t="b">
        <f>if(countifs('Arnhem, NL'!Q:Q,$A161,'Arnhem, NL'!$I:$I,TRUE),TRUE,FALSE)</f>
        <v>0</v>
      </c>
      <c r="W161" s="47" t="b">
        <f>if(countifs('Gotenborg, SW'!Q:Q,$A161,'Gotenborg, SW'!$I:$I,TRUE),TRUE,FALSE)</f>
        <v>0</v>
      </c>
      <c r="X161" s="47" t="b">
        <f>if(countifs('Shepparton, AUS'!Q:Q,$A161,'Shepparton, AUS'!$I:$I,TRUE),TRUE,FALSE)</f>
        <v>0</v>
      </c>
      <c r="Y161" s="47" t="b">
        <f>if(countifs('Hoofddorp, NL'!Q:Q,$A161,'Hoofddorp, NL'!$I:$I,TRUE),TRUE,FALSE)</f>
        <v>0</v>
      </c>
      <c r="Z161" s="47" t="b">
        <f>if(countifs('Bedford, UK'!Q:Q,$A161,'Bedford, UK'!$I:$I,TRUE),TRUE,FALSE)</f>
        <v>0</v>
      </c>
      <c r="AA161" s="47" t="b">
        <f>IF(COUNTIFS('Desert Lodge, USA'!Q:Q,$A161,'Desert Lodge, USA'!I:I,TRUE),TRUE,FALSE)</f>
        <v>1</v>
      </c>
      <c r="AB161" s="47" t="b">
        <f>if(countifs('Dapto, AUS'!Q:Q,$A161,'Dapto, AUS'!$I:$I,TRUE),TRUE,FALSE)</f>
        <v>0</v>
      </c>
      <c r="AC161" s="47" t="b">
        <f>if(countifs('New Westminster, CAN'!Q:Q,$A161,'New Westminster, CAN'!$I:$I,TRUE),TRUE,FALSE)</f>
        <v>0</v>
      </c>
      <c r="AD161" s="47" t="b">
        <f>if(countifs('Georgetown, CAN'!Q:Q,$A161,'Georgetown, CAN'!$I:$I,TRUE),TRUE,FALSE)</f>
        <v>0</v>
      </c>
      <c r="AE161" s="47" t="b">
        <f>if(countifs('Kingswood, UK'!Q:Q,$A161,'Kingswood, UK'!$I:$I,TRUE),TRUE,FALSE)</f>
        <v>0</v>
      </c>
      <c r="AF161" s="47" t="b">
        <f>if(countifs('Hagerstown, USA'!Q:Q,$A161,'Hagerstown, USA'!$I:$I,TRUE),TRUE,FALSE)</f>
        <v>0</v>
      </c>
      <c r="AG161" s="47" t="b">
        <f>if(countifs('Felsogalla, HU'!Q:Q,$A161,'Felsogalla, HU'!$I:$I,TRUE),TRUE,FALSE)</f>
        <v>0</v>
      </c>
      <c r="AH161" s="47" t="b">
        <f>if(countifs('Norlane, AUS'!Q:Q,$A161,'Norlane, AUS'!$I:$I,TRUE),TRUE,FALSE)</f>
        <v>0</v>
      </c>
      <c r="AI161" s="47" t="b">
        <f>if(countifs('Meitingen, GER'!Q:Q,$A161,'Meitingen, GER'!$I:$I,TRUE),TRUE,FALSE)</f>
        <v>0</v>
      </c>
      <c r="AJ161" s="47" t="b">
        <f>if(countifs('Groningen, NL'!Q:Q,$A161,'Groningen, NL'!$I:$I,TRUE),TRUE,FALSE)</f>
        <v>0</v>
      </c>
      <c r="AK161" s="47" t="b">
        <f>if(countifs('Linköping, SW'!Q:Q,$A161,'Linköping, SW'!$I:$I,TRUE),TRUE,FALSE)</f>
        <v>0</v>
      </c>
      <c r="AL161" s="47" t="b">
        <f>if(countifs('Austin, USA'!Q:Q,$A161,'Austin, USA'!$I:$I,TRUE),TRUE,FALSE)</f>
        <v>0</v>
      </c>
      <c r="AM161" s="47" t="b">
        <f>if(countifs('Thringstone, UK'!Q:Q,$A161,'Thringstone, UK'!$I:$I,TRUE),TRUE,FALSE)</f>
        <v>0</v>
      </c>
      <c r="AN161" s="47" t="b">
        <f>if(countifs('Andover, UK'!Q:Q,$A161,'Andover, UK'!$I:$I,TRUE),TRUE,FALSE)</f>
        <v>0</v>
      </c>
      <c r="AO161" s="47" t="b">
        <f>if(countifs('Ospel, NL'!Q:Q,$A161,'Ospel, NL'!$I:$I,TRUE),TRUE,FALSE)</f>
        <v>0</v>
      </c>
      <c r="AP161" s="47" t="b">
        <f>if(countifs('Wonthaggi, AUS'!Q:Q,$A161,'Wonthaggi, AUS'!$I:$I,TRUE),TRUE,FALSE)</f>
        <v>0</v>
      </c>
      <c r="AQ161" s="47" t="b">
        <f>if(countifs('Falling_Waters, USA'!$Q:$Q,$A161,'Falling_Waters, USA'!$I:$I,TRUE),TRUE,FALSE)</f>
        <v>0</v>
      </c>
      <c r="AR161" s="47" t="b">
        <f>if(countifs('Kelmscott, AUS'!Q:Q,$A161,'Kelmscott, AUS'!$I:$I,TRUE),TRUE,FALSE)</f>
        <v>0</v>
      </c>
    </row>
    <row r="162">
      <c r="A162" s="47" t="str">
        <f>IFERROR(__xludf.DUMMYFUNCTION("""COMPUTED_VALUE"""),"WriteAndMane")</f>
        <v>WriteAndMane</v>
      </c>
      <c r="B162" s="47">
        <f t="shared" si="1"/>
        <v>1</v>
      </c>
      <c r="C162" s="47" t="b">
        <v>0</v>
      </c>
      <c r="D162" s="47" t="b">
        <v>0</v>
      </c>
      <c r="E162" s="47" t="b">
        <v>0</v>
      </c>
      <c r="F162" s="47" t="b">
        <v>0</v>
      </c>
      <c r="G162" s="96"/>
      <c r="H162" s="96" t="b">
        <f>if(countifs('Berlin, GER'!Q:Q,A162,'Berlin, GER'!I:I,TRUE),TRUE,FALSE)</f>
        <v>0</v>
      </c>
      <c r="I162" s="96" t="b">
        <f>if(countifs('Escondido, USA'!Q:Q,A162,'Escondido, USA'!I:I,TRUE),TRUE,FALSE)</f>
        <v>0</v>
      </c>
      <c r="J162" s="96" t="b">
        <f>if(countifs('Onkaparinga_Hills, AUS'!Q:Q,A162,'Onkaparinga_Hills, AUS'!I:I,TRUE),TRUE,FALSE)</f>
        <v>0</v>
      </c>
      <c r="K162" s="96" t="b">
        <f>if(countifs('Perth, AUS'!Q:Q,A162,'Perth, AUS'!I:I,TRUE),TRUE,FALSE)</f>
        <v>0</v>
      </c>
      <c r="L162" s="96" t="b">
        <f>if(countifs('Raleigh, USA'!Q:Q,A162,'Raleigh, USA'!I:I,TRUE),TRUE,FALSE)</f>
        <v>0</v>
      </c>
      <c r="M162" s="96" t="b">
        <f>if(countifs('Browns Plains, AUS'!Q:Q,A162,'Browns Plains, AUS'!I:I,TRUE),TRUE,FALSE)</f>
        <v>0</v>
      </c>
      <c r="N162" s="96" t="b">
        <f>if(countifs('Brossard, CAN'!Q:Q,A162,'Brossard, CAN'!I:I,TRUE),TRUE,FALSE)</f>
        <v>0</v>
      </c>
      <c r="O162" s="96" t="b">
        <f>if(countifs('Gouda, NL'!Q:Q,$A162,'Gouda, NL'!$I:$I,TRUE),TRUE,FALSE)</f>
        <v>0</v>
      </c>
      <c r="P162" s="47" t="b">
        <f>if(countifs('Plympton, UK'!Q:Q,$A162,'Plympton, UK'!$I:$I,TRUE),TRUE,FALSE)</f>
        <v>0</v>
      </c>
      <c r="Q162" s="47" t="b">
        <f>if(countifs('Glen Oaks, USA'!Q:Q,$A162,'Glen Oaks, USA'!$I:$I,TRUE),TRUE,FALSE)</f>
        <v>0</v>
      </c>
      <c r="R162" s="47" t="b">
        <f>if(countifs('Chemnitz, GER'!Q:Q,$A162,'Chemnitz, GER'!I:I,TRUE),TRUE,FALSE)</f>
        <v>0</v>
      </c>
      <c r="S162" s="47" t="b">
        <f>if(countifs('Vosselaar, BE'!Q:Q,$A162,'Vosselaar, BE'!$I:$I,TRUE),TRUE,FALSE)</f>
        <v>0</v>
      </c>
      <c r="T162" s="47" t="b">
        <f>if(countifs('MHQ, USA'!Q:Q,$A162,'MHQ, USA'!$I:$I,TRUE),TRUE,FALSE)</f>
        <v>0</v>
      </c>
      <c r="U162" s="47" t="b">
        <f>if(countifs('Morayfield, AUS'!Q:Q,$A162,'Morayfield, AUS'!$I:$I,TRUE),TRUE,FALSE)</f>
        <v>0</v>
      </c>
      <c r="V162" s="11" t="b">
        <f>if(countifs('Arnhem, NL'!Q:Q,$A162,'Arnhem, NL'!$I:$I,TRUE),TRUE,FALSE)</f>
        <v>0</v>
      </c>
      <c r="W162" s="47" t="b">
        <f>if(countifs('Gotenborg, SW'!Q:Q,$A162,'Gotenborg, SW'!$I:$I,TRUE),TRUE,FALSE)</f>
        <v>0</v>
      </c>
      <c r="X162" s="47" t="b">
        <f>if(countifs('Shepparton, AUS'!Q:Q,$A162,'Shepparton, AUS'!$I:$I,TRUE),TRUE,FALSE)</f>
        <v>0</v>
      </c>
      <c r="Y162" s="47" t="b">
        <f>if(countifs('Hoofddorp, NL'!Q:Q,$A162,'Hoofddorp, NL'!$I:$I,TRUE),TRUE,FALSE)</f>
        <v>0</v>
      </c>
      <c r="Z162" s="47" t="b">
        <f>if(countifs('Bedford, UK'!Q:Q,$A162,'Bedford, UK'!$I:$I,TRUE),TRUE,FALSE)</f>
        <v>0</v>
      </c>
      <c r="AA162" s="47" t="b">
        <f>IF(COUNTIFS('Desert Lodge, USA'!Q:Q,$A162,'Desert Lodge, USA'!I:I,TRUE),TRUE,FALSE)</f>
        <v>1</v>
      </c>
      <c r="AB162" s="47" t="b">
        <f>if(countifs('Dapto, AUS'!Q:Q,$A162,'Dapto, AUS'!$I:$I,TRUE),TRUE,FALSE)</f>
        <v>0</v>
      </c>
      <c r="AC162" s="47" t="b">
        <f>if(countifs('New Westminster, CAN'!Q:Q,$A162,'New Westminster, CAN'!$I:$I,TRUE),TRUE,FALSE)</f>
        <v>0</v>
      </c>
      <c r="AD162" s="47" t="b">
        <f>if(countifs('Georgetown, CAN'!Q:Q,$A162,'Georgetown, CAN'!$I:$I,TRUE),TRUE,FALSE)</f>
        <v>0</v>
      </c>
      <c r="AE162" s="47" t="b">
        <f>if(countifs('Kingswood, UK'!Q:Q,$A162,'Kingswood, UK'!$I:$I,TRUE),TRUE,FALSE)</f>
        <v>0</v>
      </c>
      <c r="AF162" s="47" t="b">
        <f>if(countifs('Hagerstown, USA'!Q:Q,$A162,'Hagerstown, USA'!$I:$I,TRUE),TRUE,FALSE)</f>
        <v>0</v>
      </c>
      <c r="AG162" s="47" t="b">
        <f>if(countifs('Felsogalla, HU'!Q:Q,$A162,'Felsogalla, HU'!$I:$I,TRUE),TRUE,FALSE)</f>
        <v>0</v>
      </c>
      <c r="AH162" s="47" t="b">
        <f>if(countifs('Norlane, AUS'!Q:Q,$A162,'Norlane, AUS'!$I:$I,TRUE),TRUE,FALSE)</f>
        <v>0</v>
      </c>
      <c r="AI162" s="47" t="b">
        <f>if(countifs('Meitingen, GER'!Q:Q,$A162,'Meitingen, GER'!$I:$I,TRUE),TRUE,FALSE)</f>
        <v>0</v>
      </c>
      <c r="AJ162" s="47" t="b">
        <f>if(countifs('Groningen, NL'!Q:Q,$A162,'Groningen, NL'!$I:$I,TRUE),TRUE,FALSE)</f>
        <v>0</v>
      </c>
      <c r="AK162" s="47" t="b">
        <f>if(countifs('Linköping, SW'!Q:Q,$A162,'Linköping, SW'!$I:$I,TRUE),TRUE,FALSE)</f>
        <v>0</v>
      </c>
      <c r="AL162" s="47" t="b">
        <f>if(countifs('Austin, USA'!Q:Q,$A162,'Austin, USA'!$I:$I,TRUE),TRUE,FALSE)</f>
        <v>0</v>
      </c>
      <c r="AM162" s="47" t="b">
        <f>if(countifs('Thringstone, UK'!Q:Q,$A162,'Thringstone, UK'!$I:$I,TRUE),TRUE,FALSE)</f>
        <v>0</v>
      </c>
      <c r="AN162" s="47" t="b">
        <f>if(countifs('Andover, UK'!Q:Q,$A162,'Andover, UK'!$I:$I,TRUE),TRUE,FALSE)</f>
        <v>0</v>
      </c>
      <c r="AO162" s="47" t="b">
        <f>if(countifs('Ospel, NL'!Q:Q,$A162,'Ospel, NL'!$I:$I,TRUE),TRUE,FALSE)</f>
        <v>0</v>
      </c>
      <c r="AP162" s="47" t="b">
        <f>if(countifs('Wonthaggi, AUS'!Q:Q,$A162,'Wonthaggi, AUS'!$I:$I,TRUE),TRUE,FALSE)</f>
        <v>0</v>
      </c>
      <c r="AQ162" s="47" t="b">
        <f>if(countifs('Falling_Waters, USA'!$Q:$Q,$A162,'Falling_Waters, USA'!$I:$I,TRUE),TRUE,FALSE)</f>
        <v>0</v>
      </c>
      <c r="AR162" s="47" t="b">
        <f>if(countifs('Kelmscott, AUS'!Q:Q,$A162,'Kelmscott, AUS'!$I:$I,TRUE),TRUE,FALSE)</f>
        <v>0</v>
      </c>
    </row>
    <row r="163">
      <c r="A163" s="47" t="str">
        <f>IFERROR(__xludf.DUMMYFUNCTION("""COMPUTED_VALUE"""),"TeamTazmina")</f>
        <v>TeamTazmina</v>
      </c>
      <c r="B163" s="47">
        <f t="shared" si="1"/>
        <v>1</v>
      </c>
      <c r="C163" s="47" t="b">
        <v>0</v>
      </c>
      <c r="D163" s="47" t="b">
        <v>0</v>
      </c>
      <c r="E163" s="47" t="b">
        <v>0</v>
      </c>
      <c r="F163" s="47" t="b">
        <v>0</v>
      </c>
      <c r="G163" s="96"/>
      <c r="H163" s="96" t="b">
        <f>if(countifs('Berlin, GER'!Q:Q,A163,'Berlin, GER'!I:I,TRUE),TRUE,FALSE)</f>
        <v>0</v>
      </c>
      <c r="I163" s="96" t="b">
        <f>if(countifs('Escondido, USA'!Q:Q,A163,'Escondido, USA'!I:I,TRUE),TRUE,FALSE)</f>
        <v>0</v>
      </c>
      <c r="J163" s="96" t="b">
        <f>if(countifs('Onkaparinga_Hills, AUS'!Q:Q,A163,'Onkaparinga_Hills, AUS'!I:I,TRUE),TRUE,FALSE)</f>
        <v>0</v>
      </c>
      <c r="K163" s="96" t="b">
        <f>if(countifs('Perth, AUS'!Q:Q,A163,'Perth, AUS'!I:I,TRUE),TRUE,FALSE)</f>
        <v>0</v>
      </c>
      <c r="L163" s="96" t="b">
        <f>if(countifs('Raleigh, USA'!Q:Q,A163,'Raleigh, USA'!I:I,TRUE),TRUE,FALSE)</f>
        <v>0</v>
      </c>
      <c r="M163" s="96" t="b">
        <f>if(countifs('Browns Plains, AUS'!Q:Q,A163,'Browns Plains, AUS'!I:I,TRUE),TRUE,FALSE)</f>
        <v>0</v>
      </c>
      <c r="N163" s="96" t="b">
        <f>if(countifs('Brossard, CAN'!Q:Q,A163,'Brossard, CAN'!I:I,TRUE),TRUE,FALSE)</f>
        <v>0</v>
      </c>
      <c r="O163" s="96" t="b">
        <f>if(countifs('Gouda, NL'!Q:Q,$A163,'Gouda, NL'!$I:$I,TRUE),TRUE,FALSE)</f>
        <v>0</v>
      </c>
      <c r="P163" s="47" t="b">
        <f>if(countifs('Plympton, UK'!Q:Q,$A163,'Plympton, UK'!$I:$I,TRUE),TRUE,FALSE)</f>
        <v>0</v>
      </c>
      <c r="Q163" s="47" t="b">
        <f>if(countifs('Glen Oaks, USA'!Q:Q,$A163,'Glen Oaks, USA'!$I:$I,TRUE),TRUE,FALSE)</f>
        <v>0</v>
      </c>
      <c r="R163" s="47" t="b">
        <f>if(countifs('Chemnitz, GER'!Q:Q,$A163,'Chemnitz, GER'!I:I,TRUE),TRUE,FALSE)</f>
        <v>0</v>
      </c>
      <c r="S163" s="47" t="b">
        <f>if(countifs('Vosselaar, BE'!Q:Q,$A163,'Vosselaar, BE'!$I:$I,TRUE),TRUE,FALSE)</f>
        <v>0</v>
      </c>
      <c r="T163" s="47" t="b">
        <f>if(countifs('MHQ, USA'!Q:Q,$A163,'MHQ, USA'!$I:$I,TRUE),TRUE,FALSE)</f>
        <v>0</v>
      </c>
      <c r="U163" s="47" t="b">
        <f>if(countifs('Morayfield, AUS'!Q:Q,$A163,'Morayfield, AUS'!$I:$I,TRUE),TRUE,FALSE)</f>
        <v>0</v>
      </c>
      <c r="V163" s="11" t="b">
        <f>if(countifs('Arnhem, NL'!Q:Q,$A163,'Arnhem, NL'!$I:$I,TRUE),TRUE,FALSE)</f>
        <v>0</v>
      </c>
      <c r="W163" s="47" t="b">
        <f>if(countifs('Gotenborg, SW'!Q:Q,$A163,'Gotenborg, SW'!$I:$I,TRUE),TRUE,FALSE)</f>
        <v>0</v>
      </c>
      <c r="X163" s="47" t="b">
        <f>if(countifs('Shepparton, AUS'!Q:Q,$A163,'Shepparton, AUS'!$I:$I,TRUE),TRUE,FALSE)</f>
        <v>0</v>
      </c>
      <c r="Y163" s="47" t="b">
        <f>if(countifs('Hoofddorp, NL'!Q:Q,$A163,'Hoofddorp, NL'!$I:$I,TRUE),TRUE,FALSE)</f>
        <v>0</v>
      </c>
      <c r="Z163" s="47" t="b">
        <f>if(countifs('Bedford, UK'!Q:Q,$A163,'Bedford, UK'!$I:$I,TRUE),TRUE,FALSE)</f>
        <v>0</v>
      </c>
      <c r="AA163" s="47" t="b">
        <f>IF(COUNTIFS('Desert Lodge, USA'!Q:Q,$A163,'Desert Lodge, USA'!I:I,TRUE),TRUE,FALSE)</f>
        <v>1</v>
      </c>
      <c r="AB163" s="47" t="b">
        <f>if(countifs('Dapto, AUS'!Q:Q,$A163,'Dapto, AUS'!$I:$I,TRUE),TRUE,FALSE)</f>
        <v>0</v>
      </c>
      <c r="AC163" s="47" t="b">
        <f>if(countifs('New Westminster, CAN'!Q:Q,$A163,'New Westminster, CAN'!$I:$I,TRUE),TRUE,FALSE)</f>
        <v>0</v>
      </c>
      <c r="AD163" s="47" t="b">
        <f>if(countifs('Georgetown, CAN'!Q:Q,$A163,'Georgetown, CAN'!$I:$I,TRUE),TRUE,FALSE)</f>
        <v>0</v>
      </c>
      <c r="AE163" s="47" t="b">
        <f>if(countifs('Kingswood, UK'!Q:Q,$A163,'Kingswood, UK'!$I:$I,TRUE),TRUE,FALSE)</f>
        <v>0</v>
      </c>
      <c r="AF163" s="47" t="b">
        <f>if(countifs('Hagerstown, USA'!Q:Q,$A163,'Hagerstown, USA'!$I:$I,TRUE),TRUE,FALSE)</f>
        <v>0</v>
      </c>
      <c r="AG163" s="47" t="b">
        <f>if(countifs('Felsogalla, HU'!Q:Q,$A163,'Felsogalla, HU'!$I:$I,TRUE),TRUE,FALSE)</f>
        <v>0</v>
      </c>
      <c r="AH163" s="47" t="b">
        <f>if(countifs('Norlane, AUS'!Q:Q,$A163,'Norlane, AUS'!$I:$I,TRUE),TRUE,FALSE)</f>
        <v>0</v>
      </c>
      <c r="AI163" s="47" t="b">
        <f>if(countifs('Meitingen, GER'!Q:Q,$A163,'Meitingen, GER'!$I:$I,TRUE),TRUE,FALSE)</f>
        <v>0</v>
      </c>
      <c r="AJ163" s="47" t="b">
        <f>if(countifs('Groningen, NL'!Q:Q,$A163,'Groningen, NL'!$I:$I,TRUE),TRUE,FALSE)</f>
        <v>0</v>
      </c>
      <c r="AK163" s="47" t="b">
        <f>if(countifs('Linköping, SW'!Q:Q,$A163,'Linköping, SW'!$I:$I,TRUE),TRUE,FALSE)</f>
        <v>0</v>
      </c>
      <c r="AL163" s="47" t="b">
        <f>if(countifs('Austin, USA'!Q:Q,$A163,'Austin, USA'!$I:$I,TRUE),TRUE,FALSE)</f>
        <v>0</v>
      </c>
      <c r="AM163" s="47" t="b">
        <f>if(countifs('Thringstone, UK'!Q:Q,$A163,'Thringstone, UK'!$I:$I,TRUE),TRUE,FALSE)</f>
        <v>0</v>
      </c>
      <c r="AN163" s="47" t="b">
        <f>if(countifs('Andover, UK'!Q:Q,$A163,'Andover, UK'!$I:$I,TRUE),TRUE,FALSE)</f>
        <v>0</v>
      </c>
      <c r="AO163" s="47" t="b">
        <f>if(countifs('Ospel, NL'!Q:Q,$A163,'Ospel, NL'!$I:$I,TRUE),TRUE,FALSE)</f>
        <v>0</v>
      </c>
      <c r="AP163" s="47" t="b">
        <f>if(countifs('Wonthaggi, AUS'!Q:Q,$A163,'Wonthaggi, AUS'!$I:$I,TRUE),TRUE,FALSE)</f>
        <v>0</v>
      </c>
      <c r="AQ163" s="47" t="b">
        <f>if(countifs('Falling_Waters, USA'!$Q:$Q,$A163,'Falling_Waters, USA'!$I:$I,TRUE),TRUE,FALSE)</f>
        <v>0</v>
      </c>
      <c r="AR163" s="47" t="b">
        <f>if(countifs('Kelmscott, AUS'!Q:Q,$A163,'Kelmscott, AUS'!$I:$I,TRUE),TRUE,FALSE)</f>
        <v>0</v>
      </c>
    </row>
    <row r="164">
      <c r="A164" s="47" t="str">
        <f>IFERROR(__xludf.DUMMYFUNCTION("""COMPUTED_VALUE"""),"dwyers5")</f>
        <v>dwyers5</v>
      </c>
      <c r="B164" s="47">
        <f t="shared" si="1"/>
        <v>1</v>
      </c>
      <c r="C164" s="47" t="b">
        <v>0</v>
      </c>
      <c r="D164" s="47" t="b">
        <v>0</v>
      </c>
      <c r="E164" s="47" t="b">
        <v>0</v>
      </c>
      <c r="F164" s="47" t="b">
        <v>0</v>
      </c>
      <c r="G164" s="96"/>
      <c r="H164" s="96" t="b">
        <f>if(countifs('Berlin, GER'!Q:Q,A164,'Berlin, GER'!I:I,TRUE),TRUE,FALSE)</f>
        <v>0</v>
      </c>
      <c r="I164" s="96" t="b">
        <f>if(countifs('Escondido, USA'!Q:Q,A164,'Escondido, USA'!I:I,TRUE),TRUE,FALSE)</f>
        <v>0</v>
      </c>
      <c r="J164" s="96" t="b">
        <f>if(countifs('Onkaparinga_Hills, AUS'!Q:Q,A164,'Onkaparinga_Hills, AUS'!I:I,TRUE),TRUE,FALSE)</f>
        <v>0</v>
      </c>
      <c r="K164" s="96" t="b">
        <f>if(countifs('Perth, AUS'!Q:Q,A164,'Perth, AUS'!I:I,TRUE),TRUE,FALSE)</f>
        <v>0</v>
      </c>
      <c r="L164" s="96" t="b">
        <f>if(countifs('Raleigh, USA'!Q:Q,A164,'Raleigh, USA'!I:I,TRUE),TRUE,FALSE)</f>
        <v>0</v>
      </c>
      <c r="M164" s="96" t="b">
        <f>if(countifs('Browns Plains, AUS'!Q:Q,A164,'Browns Plains, AUS'!I:I,TRUE),TRUE,FALSE)</f>
        <v>0</v>
      </c>
      <c r="N164" s="96" t="b">
        <f>if(countifs('Brossard, CAN'!Q:Q,A164,'Brossard, CAN'!I:I,TRUE),TRUE,FALSE)</f>
        <v>0</v>
      </c>
      <c r="O164" s="96" t="b">
        <f>if(countifs('Gouda, NL'!Q:Q,$A164,'Gouda, NL'!$I:$I,TRUE),TRUE,FALSE)</f>
        <v>0</v>
      </c>
      <c r="P164" s="47" t="b">
        <f>if(countifs('Plympton, UK'!Q:Q,$A164,'Plympton, UK'!$I:$I,TRUE),TRUE,FALSE)</f>
        <v>0</v>
      </c>
      <c r="Q164" s="47" t="b">
        <f>if(countifs('Glen Oaks, USA'!Q:Q,$A164,'Glen Oaks, USA'!$I:$I,TRUE),TRUE,FALSE)</f>
        <v>0</v>
      </c>
      <c r="R164" s="47" t="b">
        <f>if(countifs('Chemnitz, GER'!Q:Q,$A164,'Chemnitz, GER'!I:I,TRUE),TRUE,FALSE)</f>
        <v>0</v>
      </c>
      <c r="S164" s="47" t="b">
        <f>if(countifs('Vosselaar, BE'!Q:Q,$A164,'Vosselaar, BE'!$I:$I,TRUE),TRUE,FALSE)</f>
        <v>0</v>
      </c>
      <c r="T164" s="47" t="b">
        <f>if(countifs('MHQ, USA'!Q:Q,$A164,'MHQ, USA'!$I:$I,TRUE),TRUE,FALSE)</f>
        <v>0</v>
      </c>
      <c r="U164" s="47" t="b">
        <f>if(countifs('Morayfield, AUS'!Q:Q,$A164,'Morayfield, AUS'!$I:$I,TRUE),TRUE,FALSE)</f>
        <v>0</v>
      </c>
      <c r="V164" s="11" t="b">
        <f>if(countifs('Arnhem, NL'!Q:Q,$A164,'Arnhem, NL'!$I:$I,TRUE),TRUE,FALSE)</f>
        <v>0</v>
      </c>
      <c r="W164" s="47" t="b">
        <f>if(countifs('Gotenborg, SW'!Q:Q,$A164,'Gotenborg, SW'!$I:$I,TRUE),TRUE,FALSE)</f>
        <v>0</v>
      </c>
      <c r="X164" s="47" t="b">
        <f>if(countifs('Shepparton, AUS'!Q:Q,$A164,'Shepparton, AUS'!$I:$I,TRUE),TRUE,FALSE)</f>
        <v>0</v>
      </c>
      <c r="Y164" s="47" t="b">
        <f>if(countifs('Hoofddorp, NL'!Q:Q,$A164,'Hoofddorp, NL'!$I:$I,TRUE),TRUE,FALSE)</f>
        <v>0</v>
      </c>
      <c r="Z164" s="47" t="b">
        <f>if(countifs('Bedford, UK'!Q:Q,$A164,'Bedford, UK'!$I:$I,TRUE),TRUE,FALSE)</f>
        <v>0</v>
      </c>
      <c r="AA164" s="47" t="b">
        <f>IF(COUNTIFS('Desert Lodge, USA'!Q:Q,$A164,'Desert Lodge, USA'!I:I,TRUE),TRUE,FALSE)</f>
        <v>1</v>
      </c>
      <c r="AB164" s="47" t="b">
        <f>if(countifs('Dapto, AUS'!Q:Q,$A164,'Dapto, AUS'!$I:$I,TRUE),TRUE,FALSE)</f>
        <v>0</v>
      </c>
      <c r="AC164" s="47" t="b">
        <f>if(countifs('New Westminster, CAN'!Q:Q,$A164,'New Westminster, CAN'!$I:$I,TRUE),TRUE,FALSE)</f>
        <v>0</v>
      </c>
      <c r="AD164" s="47" t="b">
        <f>if(countifs('Georgetown, CAN'!Q:Q,$A164,'Georgetown, CAN'!$I:$I,TRUE),TRUE,FALSE)</f>
        <v>0</v>
      </c>
      <c r="AE164" s="47" t="b">
        <f>if(countifs('Kingswood, UK'!Q:Q,$A164,'Kingswood, UK'!$I:$I,TRUE),TRUE,FALSE)</f>
        <v>0</v>
      </c>
      <c r="AF164" s="47" t="b">
        <f>if(countifs('Hagerstown, USA'!Q:Q,$A164,'Hagerstown, USA'!$I:$I,TRUE),TRUE,FALSE)</f>
        <v>0</v>
      </c>
      <c r="AG164" s="47" t="b">
        <f>if(countifs('Felsogalla, HU'!Q:Q,$A164,'Felsogalla, HU'!$I:$I,TRUE),TRUE,FALSE)</f>
        <v>0</v>
      </c>
      <c r="AH164" s="47" t="b">
        <f>if(countifs('Norlane, AUS'!Q:Q,$A164,'Norlane, AUS'!$I:$I,TRUE),TRUE,FALSE)</f>
        <v>0</v>
      </c>
      <c r="AI164" s="47" t="b">
        <f>if(countifs('Meitingen, GER'!Q:Q,$A164,'Meitingen, GER'!$I:$I,TRUE),TRUE,FALSE)</f>
        <v>0</v>
      </c>
      <c r="AJ164" s="47" t="b">
        <f>if(countifs('Groningen, NL'!Q:Q,$A164,'Groningen, NL'!$I:$I,TRUE),TRUE,FALSE)</f>
        <v>0</v>
      </c>
      <c r="AK164" s="47" t="b">
        <f>if(countifs('Linköping, SW'!Q:Q,$A164,'Linköping, SW'!$I:$I,TRUE),TRUE,FALSE)</f>
        <v>0</v>
      </c>
      <c r="AL164" s="47" t="b">
        <f>if(countifs('Austin, USA'!Q:Q,$A164,'Austin, USA'!$I:$I,TRUE),TRUE,FALSE)</f>
        <v>0</v>
      </c>
      <c r="AM164" s="47" t="b">
        <f>if(countifs('Thringstone, UK'!Q:Q,$A164,'Thringstone, UK'!$I:$I,TRUE),TRUE,FALSE)</f>
        <v>0</v>
      </c>
      <c r="AN164" s="47" t="b">
        <f>if(countifs('Andover, UK'!Q:Q,$A164,'Andover, UK'!$I:$I,TRUE),TRUE,FALSE)</f>
        <v>0</v>
      </c>
      <c r="AO164" s="47" t="b">
        <f>if(countifs('Ospel, NL'!Q:Q,$A164,'Ospel, NL'!$I:$I,TRUE),TRUE,FALSE)</f>
        <v>0</v>
      </c>
      <c r="AP164" s="47" t="b">
        <f>if(countifs('Wonthaggi, AUS'!Q:Q,$A164,'Wonthaggi, AUS'!$I:$I,TRUE),TRUE,FALSE)</f>
        <v>0</v>
      </c>
      <c r="AQ164" s="47" t="b">
        <f>if(countifs('Falling_Waters, USA'!$Q:$Q,$A164,'Falling_Waters, USA'!$I:$I,TRUE),TRUE,FALSE)</f>
        <v>0</v>
      </c>
      <c r="AR164" s="47" t="b">
        <f>if(countifs('Kelmscott, AUS'!Q:Q,$A164,'Kelmscott, AUS'!$I:$I,TRUE),TRUE,FALSE)</f>
        <v>0</v>
      </c>
    </row>
    <row r="165">
      <c r="A165" s="47" t="str">
        <f>IFERROR(__xludf.DUMMYFUNCTION("""COMPUTED_VALUE"""),"TD42")</f>
        <v>TD42</v>
      </c>
      <c r="B165" s="47">
        <f t="shared" si="1"/>
        <v>1</v>
      </c>
      <c r="C165" s="47" t="b">
        <v>0</v>
      </c>
      <c r="D165" s="47" t="b">
        <v>0</v>
      </c>
      <c r="E165" s="47" t="b">
        <v>0</v>
      </c>
      <c r="F165" s="47" t="b">
        <v>0</v>
      </c>
      <c r="G165" s="96"/>
      <c r="H165" s="96" t="b">
        <f>if(countifs('Berlin, GER'!Q:Q,A165,'Berlin, GER'!I:I,TRUE),TRUE,FALSE)</f>
        <v>0</v>
      </c>
      <c r="I165" s="96" t="b">
        <f>if(countifs('Escondido, USA'!Q:Q,A165,'Escondido, USA'!I:I,TRUE),TRUE,FALSE)</f>
        <v>0</v>
      </c>
      <c r="J165" s="96" t="b">
        <f>if(countifs('Onkaparinga_Hills, AUS'!Q:Q,A165,'Onkaparinga_Hills, AUS'!I:I,TRUE),TRUE,FALSE)</f>
        <v>0</v>
      </c>
      <c r="K165" s="96" t="b">
        <f>if(countifs('Perth, AUS'!Q:Q,A165,'Perth, AUS'!I:I,TRUE),TRUE,FALSE)</f>
        <v>0</v>
      </c>
      <c r="L165" s="96" t="b">
        <f>if(countifs('Raleigh, USA'!Q:Q,A165,'Raleigh, USA'!I:I,TRUE),TRUE,FALSE)</f>
        <v>0</v>
      </c>
      <c r="M165" s="96" t="b">
        <f>if(countifs('Browns Plains, AUS'!Q:Q,A165,'Browns Plains, AUS'!I:I,TRUE),TRUE,FALSE)</f>
        <v>0</v>
      </c>
      <c r="N165" s="96" t="b">
        <f>if(countifs('Brossard, CAN'!Q:Q,A165,'Brossard, CAN'!I:I,TRUE),TRUE,FALSE)</f>
        <v>0</v>
      </c>
      <c r="O165" s="96" t="b">
        <f>if(countifs('Gouda, NL'!Q:Q,$A165,'Gouda, NL'!$I:$I,TRUE),TRUE,FALSE)</f>
        <v>0</v>
      </c>
      <c r="P165" s="47" t="b">
        <f>if(countifs('Plympton, UK'!Q:Q,$A165,'Plympton, UK'!$I:$I,TRUE),TRUE,FALSE)</f>
        <v>0</v>
      </c>
      <c r="Q165" s="47" t="b">
        <f>if(countifs('Glen Oaks, USA'!Q:Q,$A165,'Glen Oaks, USA'!$I:$I,TRUE),TRUE,FALSE)</f>
        <v>0</v>
      </c>
      <c r="R165" s="47" t="b">
        <f>if(countifs('Chemnitz, GER'!Q:Q,$A165,'Chemnitz, GER'!I:I,TRUE),TRUE,FALSE)</f>
        <v>0</v>
      </c>
      <c r="S165" s="47" t="b">
        <f>if(countifs('Vosselaar, BE'!Q:Q,$A165,'Vosselaar, BE'!$I:$I,TRUE),TRUE,FALSE)</f>
        <v>0</v>
      </c>
      <c r="T165" s="47" t="b">
        <f>if(countifs('MHQ, USA'!Q:Q,$A165,'MHQ, USA'!$I:$I,TRUE),TRUE,FALSE)</f>
        <v>0</v>
      </c>
      <c r="U165" s="47" t="b">
        <f>if(countifs('Morayfield, AUS'!Q:Q,$A165,'Morayfield, AUS'!$I:$I,TRUE),TRUE,FALSE)</f>
        <v>0</v>
      </c>
      <c r="V165" s="11" t="b">
        <f>if(countifs('Arnhem, NL'!Q:Q,$A165,'Arnhem, NL'!$I:$I,TRUE),TRUE,FALSE)</f>
        <v>0</v>
      </c>
      <c r="W165" s="47" t="b">
        <f>if(countifs('Gotenborg, SW'!Q:Q,$A165,'Gotenborg, SW'!$I:$I,TRUE),TRUE,FALSE)</f>
        <v>0</v>
      </c>
      <c r="X165" s="47" t="b">
        <f>if(countifs('Shepparton, AUS'!Q:Q,$A165,'Shepparton, AUS'!$I:$I,TRUE),TRUE,FALSE)</f>
        <v>0</v>
      </c>
      <c r="Y165" s="47" t="b">
        <f>if(countifs('Hoofddorp, NL'!Q:Q,$A165,'Hoofddorp, NL'!$I:$I,TRUE),TRUE,FALSE)</f>
        <v>0</v>
      </c>
      <c r="Z165" s="47" t="b">
        <f>if(countifs('Bedford, UK'!Q:Q,$A165,'Bedford, UK'!$I:$I,TRUE),TRUE,FALSE)</f>
        <v>0</v>
      </c>
      <c r="AA165" s="47" t="b">
        <f>IF(COUNTIFS('Desert Lodge, USA'!Q:Q,$A165,'Desert Lodge, USA'!I:I,TRUE),TRUE,FALSE)</f>
        <v>0</v>
      </c>
      <c r="AB165" s="47" t="b">
        <f>if(countifs('Dapto, AUS'!Q:Q,$A165,'Dapto, AUS'!$I:$I,TRUE),TRUE,FALSE)</f>
        <v>0</v>
      </c>
      <c r="AC165" s="47" t="b">
        <f>if(countifs('New Westminster, CAN'!Q:Q,$A165,'New Westminster, CAN'!$I:$I,TRUE),TRUE,FALSE)</f>
        <v>0</v>
      </c>
      <c r="AD165" s="47" t="b">
        <f>if(countifs('Georgetown, CAN'!Q:Q,$A165,'Georgetown, CAN'!$I:$I,TRUE),TRUE,FALSE)</f>
        <v>0</v>
      </c>
      <c r="AE165" s="47" t="b">
        <f>if(countifs('Kingswood, UK'!Q:Q,$A165,'Kingswood, UK'!$I:$I,TRUE),TRUE,FALSE)</f>
        <v>0</v>
      </c>
      <c r="AF165" s="47" t="b">
        <f>if(countifs('Hagerstown, USA'!Q:Q,$A165,'Hagerstown, USA'!$I:$I,TRUE),TRUE,FALSE)</f>
        <v>0</v>
      </c>
      <c r="AG165" s="47" t="b">
        <f>if(countifs('Felsogalla, HU'!Q:Q,$A165,'Felsogalla, HU'!$I:$I,TRUE),TRUE,FALSE)</f>
        <v>0</v>
      </c>
      <c r="AH165" s="47" t="b">
        <f>if(countifs('Norlane, AUS'!Q:Q,$A165,'Norlane, AUS'!$I:$I,TRUE),TRUE,FALSE)</f>
        <v>0</v>
      </c>
      <c r="AI165" s="47" t="b">
        <f>if(countifs('Meitingen, GER'!Q:Q,$A165,'Meitingen, GER'!$I:$I,TRUE),TRUE,FALSE)</f>
        <v>0</v>
      </c>
      <c r="AJ165" s="47" t="b">
        <f>if(countifs('Groningen, NL'!Q:Q,$A165,'Groningen, NL'!$I:$I,TRUE),TRUE,FALSE)</f>
        <v>0</v>
      </c>
      <c r="AK165" s="47" t="b">
        <f>if(countifs('Linköping, SW'!Q:Q,$A165,'Linköping, SW'!$I:$I,TRUE),TRUE,FALSE)</f>
        <v>0</v>
      </c>
      <c r="AL165" s="47" t="b">
        <f>if(countifs('Austin, USA'!Q:Q,$A165,'Austin, USA'!$I:$I,TRUE),TRUE,FALSE)</f>
        <v>0</v>
      </c>
      <c r="AM165" s="47" t="b">
        <f>if(countifs('Thringstone, UK'!Q:Q,$A165,'Thringstone, UK'!$I:$I,TRUE),TRUE,FALSE)</f>
        <v>0</v>
      </c>
      <c r="AN165" s="47" t="b">
        <f>if(countifs('Andover, UK'!Q:Q,$A165,'Andover, UK'!$I:$I,TRUE),TRUE,FALSE)</f>
        <v>0</v>
      </c>
      <c r="AO165" s="47" t="b">
        <f>if(countifs('Ospel, NL'!Q:Q,$A165,'Ospel, NL'!$I:$I,TRUE),TRUE,FALSE)</f>
        <v>0</v>
      </c>
      <c r="AP165" s="47" t="b">
        <f>if(countifs('Wonthaggi, AUS'!Q:Q,$A165,'Wonthaggi, AUS'!$I:$I,TRUE),TRUE,FALSE)</f>
        <v>0</v>
      </c>
      <c r="AQ165" s="47" t="b">
        <f>if(countifs('Falling_Waters, USA'!$Q:$Q,$A165,'Falling_Waters, USA'!$I:$I,TRUE),TRUE,FALSE)</f>
        <v>0</v>
      </c>
      <c r="AR165" s="47" t="b">
        <f>if(countifs('Kelmscott, AUS'!Q:Q,$A165,'Kelmscott, AUS'!$I:$I,TRUE),TRUE,FALSE)</f>
        <v>1</v>
      </c>
    </row>
    <row r="166">
      <c r="A166" s="47" t="str">
        <f>IFERROR(__xludf.DUMMYFUNCTION("""COMPUTED_VALUE"""),"roughdraft")</f>
        <v>roughdraft</v>
      </c>
      <c r="B166" s="47">
        <f t="shared" si="1"/>
        <v>2</v>
      </c>
      <c r="C166" s="47" t="b">
        <v>0</v>
      </c>
      <c r="D166" s="47" t="b">
        <v>0</v>
      </c>
      <c r="E166" s="47" t="b">
        <v>0</v>
      </c>
      <c r="F166" s="47" t="b">
        <v>0</v>
      </c>
      <c r="G166" s="96"/>
      <c r="H166" s="96" t="b">
        <f>if(countifs('Berlin, GER'!Q:Q,A166,'Berlin, GER'!I:I,TRUE),TRUE,FALSE)</f>
        <v>0</v>
      </c>
      <c r="I166" s="96" t="b">
        <f>if(countifs('Escondido, USA'!Q:Q,A166,'Escondido, USA'!I:I,TRUE),TRUE,FALSE)</f>
        <v>0</v>
      </c>
      <c r="J166" s="96" t="b">
        <f>if(countifs('Onkaparinga_Hills, AUS'!Q:Q,A166,'Onkaparinga_Hills, AUS'!I:I,TRUE),TRUE,FALSE)</f>
        <v>0</v>
      </c>
      <c r="K166" s="96" t="b">
        <f>if(countifs('Perth, AUS'!Q:Q,A166,'Perth, AUS'!I:I,TRUE),TRUE,FALSE)</f>
        <v>0</v>
      </c>
      <c r="L166" s="96" t="b">
        <f>if(countifs('Raleigh, USA'!Q:Q,A166,'Raleigh, USA'!I:I,TRUE),TRUE,FALSE)</f>
        <v>0</v>
      </c>
      <c r="M166" s="96" t="b">
        <f>if(countifs('Browns Plains, AUS'!Q:Q,A166,'Browns Plains, AUS'!I:I,TRUE),TRUE,FALSE)</f>
        <v>0</v>
      </c>
      <c r="N166" s="96" t="b">
        <f>if(countifs('Brossard, CAN'!Q:Q,A166,'Brossard, CAN'!I:I,TRUE),TRUE,FALSE)</f>
        <v>0</v>
      </c>
      <c r="O166" s="96" t="b">
        <f>if(countifs('Gouda, NL'!Q:Q,$A166,'Gouda, NL'!$I:$I,TRUE),TRUE,FALSE)</f>
        <v>0</v>
      </c>
      <c r="P166" s="47" t="b">
        <f>if(countifs('Plympton, UK'!Q:Q,$A166,'Plympton, UK'!$I:$I,TRUE),TRUE,FALSE)</f>
        <v>0</v>
      </c>
      <c r="Q166" s="47" t="b">
        <f>if(countifs('Glen Oaks, USA'!Q:Q,$A166,'Glen Oaks, USA'!$I:$I,TRUE),TRUE,FALSE)</f>
        <v>0</v>
      </c>
      <c r="R166" s="47" t="b">
        <f>if(countifs('Chemnitz, GER'!Q:Q,$A166,'Chemnitz, GER'!I:I,TRUE),TRUE,FALSE)</f>
        <v>0</v>
      </c>
      <c r="S166" s="47" t="b">
        <f>if(countifs('Vosselaar, BE'!Q:Q,$A166,'Vosselaar, BE'!$I:$I,TRUE),TRUE,FALSE)</f>
        <v>0</v>
      </c>
      <c r="T166" s="47" t="b">
        <f>if(countifs('MHQ, USA'!Q:Q,$A166,'MHQ, USA'!$I:$I,TRUE),TRUE,FALSE)</f>
        <v>1</v>
      </c>
      <c r="U166" s="47" t="b">
        <f>if(countifs('Morayfield, AUS'!Q:Q,$A166,'Morayfield, AUS'!$I:$I,TRUE),TRUE,FALSE)</f>
        <v>0</v>
      </c>
      <c r="V166" s="11" t="b">
        <f>if(countifs('Arnhem, NL'!Q:Q,$A166,'Arnhem, NL'!$I:$I,TRUE),TRUE,FALSE)</f>
        <v>1</v>
      </c>
      <c r="W166" s="47" t="b">
        <f>if(countifs('Gotenborg, SW'!Q:Q,$A166,'Gotenborg, SW'!$I:$I,TRUE),TRUE,FALSE)</f>
        <v>0</v>
      </c>
      <c r="X166" s="47" t="b">
        <f>if(countifs('Shepparton, AUS'!Q:Q,$A166,'Shepparton, AUS'!$I:$I,TRUE),TRUE,FALSE)</f>
        <v>0</v>
      </c>
      <c r="Y166" s="47" t="b">
        <f>if(countifs('Hoofddorp, NL'!Q:Q,$A166,'Hoofddorp, NL'!$I:$I,TRUE),TRUE,FALSE)</f>
        <v>0</v>
      </c>
      <c r="Z166" s="47" t="b">
        <f>if(countifs('Bedford, UK'!Q:Q,$A166,'Bedford, UK'!$I:$I,TRUE),TRUE,FALSE)</f>
        <v>0</v>
      </c>
      <c r="AA166" s="47" t="b">
        <f>IF(COUNTIFS('Desert Lodge, USA'!Q:Q,$A166,'Desert Lodge, USA'!I:I,TRUE),TRUE,FALSE)</f>
        <v>0</v>
      </c>
      <c r="AB166" s="47" t="b">
        <f>if(countifs('Dapto, AUS'!Q:Q,$A166,'Dapto, AUS'!$I:$I,TRUE),TRUE,FALSE)</f>
        <v>0</v>
      </c>
      <c r="AC166" s="47" t="b">
        <f>if(countifs('New Westminster, CAN'!Q:Q,$A166,'New Westminster, CAN'!$I:$I,TRUE),TRUE,FALSE)</f>
        <v>0</v>
      </c>
      <c r="AD166" s="47" t="b">
        <f>if(countifs('Georgetown, CAN'!Q:Q,$A166,'Georgetown, CAN'!$I:$I,TRUE),TRUE,FALSE)</f>
        <v>0</v>
      </c>
      <c r="AE166" s="47" t="b">
        <f>if(countifs('Kingswood, UK'!Q:Q,$A166,'Kingswood, UK'!$I:$I,TRUE),TRUE,FALSE)</f>
        <v>0</v>
      </c>
      <c r="AF166" s="47" t="b">
        <f>if(countifs('Hagerstown, USA'!Q:Q,$A166,'Hagerstown, USA'!$I:$I,TRUE),TRUE,FALSE)</f>
        <v>0</v>
      </c>
      <c r="AG166" s="47" t="b">
        <f>if(countifs('Felsogalla, HU'!Q:Q,$A166,'Felsogalla, HU'!$I:$I,TRUE),TRUE,FALSE)</f>
        <v>0</v>
      </c>
      <c r="AH166" s="47" t="b">
        <f>if(countifs('Norlane, AUS'!Q:Q,$A166,'Norlane, AUS'!$I:$I,TRUE),TRUE,FALSE)</f>
        <v>0</v>
      </c>
      <c r="AI166" s="47" t="b">
        <f>if(countifs('Meitingen, GER'!Q:Q,$A166,'Meitingen, GER'!$I:$I,TRUE),TRUE,FALSE)</f>
        <v>0</v>
      </c>
      <c r="AJ166" s="47" t="b">
        <f>if(countifs('Groningen, NL'!Q:Q,$A166,'Groningen, NL'!$I:$I,TRUE),TRUE,FALSE)</f>
        <v>0</v>
      </c>
      <c r="AK166" s="47" t="b">
        <f>if(countifs('Linköping, SW'!Q:Q,$A166,'Linköping, SW'!$I:$I,TRUE),TRUE,FALSE)</f>
        <v>0</v>
      </c>
      <c r="AL166" s="47" t="b">
        <f>if(countifs('Austin, USA'!Q:Q,$A166,'Austin, USA'!$I:$I,TRUE),TRUE,FALSE)</f>
        <v>0</v>
      </c>
      <c r="AM166" s="47" t="b">
        <f>if(countifs('Thringstone, UK'!Q:Q,$A166,'Thringstone, UK'!$I:$I,TRUE),TRUE,FALSE)</f>
        <v>0</v>
      </c>
      <c r="AN166" s="47" t="b">
        <f>if(countifs('Andover, UK'!Q:Q,$A166,'Andover, UK'!$I:$I,TRUE),TRUE,FALSE)</f>
        <v>0</v>
      </c>
      <c r="AO166" s="47" t="b">
        <f>if(countifs('Ospel, NL'!Q:Q,$A166,'Ospel, NL'!$I:$I,TRUE),TRUE,FALSE)</f>
        <v>0</v>
      </c>
      <c r="AP166" s="47" t="b">
        <f>if(countifs('Wonthaggi, AUS'!Q:Q,$A166,'Wonthaggi, AUS'!$I:$I,TRUE),TRUE,FALSE)</f>
        <v>0</v>
      </c>
      <c r="AQ166" s="47" t="b">
        <f>if(countifs('Falling_Waters, USA'!$Q:$Q,$A166,'Falling_Waters, USA'!$I:$I,TRUE),TRUE,FALSE)</f>
        <v>0</v>
      </c>
      <c r="AR166" s="47" t="b">
        <f>if(countifs('Kelmscott, AUS'!Q:Q,$A166,'Kelmscott, AUS'!$I:$I,TRUE),TRUE,FALSE)</f>
        <v>0</v>
      </c>
    </row>
    <row r="167">
      <c r="A167" s="47" t="str">
        <f>IFERROR(__xludf.DUMMYFUNCTION("""COMPUTED_VALUE"""),"gwendy")</f>
        <v>gwendy</v>
      </c>
      <c r="B167" s="47">
        <f t="shared" si="1"/>
        <v>1</v>
      </c>
      <c r="C167" s="47" t="b">
        <v>0</v>
      </c>
      <c r="D167" s="47" t="b">
        <v>0</v>
      </c>
      <c r="E167" s="47" t="b">
        <v>0</v>
      </c>
      <c r="F167" s="47" t="b">
        <v>0</v>
      </c>
      <c r="G167" s="96"/>
      <c r="H167" s="96" t="b">
        <f>if(countifs('Berlin, GER'!Q:Q,A167,'Berlin, GER'!I:I,TRUE),TRUE,FALSE)</f>
        <v>0</v>
      </c>
      <c r="I167" s="96" t="b">
        <f>if(countifs('Escondido, USA'!Q:Q,A167,'Escondido, USA'!I:I,TRUE),TRUE,FALSE)</f>
        <v>0</v>
      </c>
      <c r="J167" s="96" t="b">
        <f>if(countifs('Onkaparinga_Hills, AUS'!Q:Q,A167,'Onkaparinga_Hills, AUS'!I:I,TRUE),TRUE,FALSE)</f>
        <v>0</v>
      </c>
      <c r="K167" s="96" t="b">
        <f>if(countifs('Perth, AUS'!Q:Q,A167,'Perth, AUS'!I:I,TRUE),TRUE,FALSE)</f>
        <v>0</v>
      </c>
      <c r="L167" s="96" t="b">
        <f>if(countifs('Raleigh, USA'!Q:Q,A167,'Raleigh, USA'!I:I,TRUE),TRUE,FALSE)</f>
        <v>0</v>
      </c>
      <c r="M167" s="96" t="b">
        <f>if(countifs('Browns Plains, AUS'!Q:Q,A167,'Browns Plains, AUS'!I:I,TRUE),TRUE,FALSE)</f>
        <v>0</v>
      </c>
      <c r="N167" s="96" t="b">
        <f>if(countifs('Brossard, CAN'!Q:Q,A167,'Brossard, CAN'!I:I,TRUE),TRUE,FALSE)</f>
        <v>0</v>
      </c>
      <c r="O167" s="96" t="b">
        <f>if(countifs('Gouda, NL'!Q:Q,$A167,'Gouda, NL'!$I:$I,TRUE),TRUE,FALSE)</f>
        <v>0</v>
      </c>
      <c r="P167" s="47" t="b">
        <f>if(countifs('Plympton, UK'!Q:Q,$A167,'Plympton, UK'!$I:$I,TRUE),TRUE,FALSE)</f>
        <v>0</v>
      </c>
      <c r="Q167" s="47" t="b">
        <f>if(countifs('Glen Oaks, USA'!Q:Q,$A167,'Glen Oaks, USA'!$I:$I,TRUE),TRUE,FALSE)</f>
        <v>0</v>
      </c>
      <c r="R167" s="47" t="b">
        <f>if(countifs('Chemnitz, GER'!Q:Q,$A167,'Chemnitz, GER'!I:I,TRUE),TRUE,FALSE)</f>
        <v>0</v>
      </c>
      <c r="S167" s="47" t="b">
        <f>if(countifs('Vosselaar, BE'!Q:Q,$A167,'Vosselaar, BE'!$I:$I,TRUE),TRUE,FALSE)</f>
        <v>0</v>
      </c>
      <c r="T167" s="47" t="b">
        <f>if(countifs('MHQ, USA'!Q:Q,$A167,'MHQ, USA'!$I:$I,TRUE),TRUE,FALSE)</f>
        <v>1</v>
      </c>
      <c r="U167" s="47" t="b">
        <f>if(countifs('Morayfield, AUS'!Q:Q,$A167,'Morayfield, AUS'!$I:$I,TRUE),TRUE,FALSE)</f>
        <v>0</v>
      </c>
      <c r="V167" s="11" t="b">
        <f>if(countifs('Arnhem, NL'!Q:Q,$A167,'Arnhem, NL'!$I:$I,TRUE),TRUE,FALSE)</f>
        <v>0</v>
      </c>
      <c r="W167" s="47" t="b">
        <f>if(countifs('Gotenborg, SW'!Q:Q,$A167,'Gotenborg, SW'!$I:$I,TRUE),TRUE,FALSE)</f>
        <v>0</v>
      </c>
      <c r="X167" s="47" t="b">
        <f>if(countifs('Shepparton, AUS'!Q:Q,$A167,'Shepparton, AUS'!$I:$I,TRUE),TRUE,FALSE)</f>
        <v>0</v>
      </c>
      <c r="Y167" s="47" t="b">
        <f>if(countifs('Hoofddorp, NL'!Q:Q,$A167,'Hoofddorp, NL'!$I:$I,TRUE),TRUE,FALSE)</f>
        <v>0</v>
      </c>
      <c r="Z167" s="47" t="b">
        <f>if(countifs('Bedford, UK'!Q:Q,$A167,'Bedford, UK'!$I:$I,TRUE),TRUE,FALSE)</f>
        <v>0</v>
      </c>
      <c r="AA167" s="47" t="b">
        <f>IF(COUNTIFS('Desert Lodge, USA'!Q:Q,$A167,'Desert Lodge, USA'!I:I,TRUE),TRUE,FALSE)</f>
        <v>0</v>
      </c>
      <c r="AB167" s="47" t="b">
        <f>if(countifs('Dapto, AUS'!Q:Q,$A167,'Dapto, AUS'!$I:$I,TRUE),TRUE,FALSE)</f>
        <v>0</v>
      </c>
      <c r="AC167" s="47" t="b">
        <f>if(countifs('New Westminster, CAN'!Q:Q,$A167,'New Westminster, CAN'!$I:$I,TRUE),TRUE,FALSE)</f>
        <v>0</v>
      </c>
      <c r="AD167" s="47" t="b">
        <f>if(countifs('Georgetown, CAN'!Q:Q,$A167,'Georgetown, CAN'!$I:$I,TRUE),TRUE,FALSE)</f>
        <v>0</v>
      </c>
      <c r="AE167" s="47" t="b">
        <f>if(countifs('Kingswood, UK'!Q:Q,$A167,'Kingswood, UK'!$I:$I,TRUE),TRUE,FALSE)</f>
        <v>0</v>
      </c>
      <c r="AF167" s="47" t="b">
        <f>if(countifs('Hagerstown, USA'!Q:Q,$A167,'Hagerstown, USA'!$I:$I,TRUE),TRUE,FALSE)</f>
        <v>0</v>
      </c>
      <c r="AG167" s="47" t="b">
        <f>if(countifs('Felsogalla, HU'!Q:Q,$A167,'Felsogalla, HU'!$I:$I,TRUE),TRUE,FALSE)</f>
        <v>0</v>
      </c>
      <c r="AH167" s="47" t="b">
        <f>if(countifs('Norlane, AUS'!Q:Q,$A167,'Norlane, AUS'!$I:$I,TRUE),TRUE,FALSE)</f>
        <v>0</v>
      </c>
      <c r="AI167" s="47" t="b">
        <f>if(countifs('Meitingen, GER'!Q:Q,$A167,'Meitingen, GER'!$I:$I,TRUE),TRUE,FALSE)</f>
        <v>0</v>
      </c>
      <c r="AJ167" s="47" t="b">
        <f>if(countifs('Groningen, NL'!Q:Q,$A167,'Groningen, NL'!$I:$I,TRUE),TRUE,FALSE)</f>
        <v>0</v>
      </c>
      <c r="AK167" s="47" t="b">
        <f>if(countifs('Linköping, SW'!Q:Q,$A167,'Linköping, SW'!$I:$I,TRUE),TRUE,FALSE)</f>
        <v>0</v>
      </c>
      <c r="AL167" s="47" t="b">
        <f>if(countifs('Austin, USA'!Q:Q,$A167,'Austin, USA'!$I:$I,TRUE),TRUE,FALSE)</f>
        <v>0</v>
      </c>
      <c r="AM167" s="47" t="b">
        <f>if(countifs('Thringstone, UK'!Q:Q,$A167,'Thringstone, UK'!$I:$I,TRUE),TRUE,FALSE)</f>
        <v>0</v>
      </c>
      <c r="AN167" s="47" t="b">
        <f>if(countifs('Andover, UK'!Q:Q,$A167,'Andover, UK'!$I:$I,TRUE),TRUE,FALSE)</f>
        <v>0</v>
      </c>
      <c r="AO167" s="47" t="b">
        <f>if(countifs('Ospel, NL'!Q:Q,$A167,'Ospel, NL'!$I:$I,TRUE),TRUE,FALSE)</f>
        <v>0</v>
      </c>
      <c r="AP167" s="47" t="b">
        <f>if(countifs('Wonthaggi, AUS'!Q:Q,$A167,'Wonthaggi, AUS'!$I:$I,TRUE),TRUE,FALSE)</f>
        <v>0</v>
      </c>
      <c r="AQ167" s="47" t="b">
        <f>if(countifs('Falling_Waters, USA'!$Q:$Q,$A167,'Falling_Waters, USA'!$I:$I,TRUE),TRUE,FALSE)</f>
        <v>0</v>
      </c>
      <c r="AR167" s="47" t="b">
        <f>if(countifs('Kelmscott, AUS'!Q:Q,$A167,'Kelmscott, AUS'!$I:$I,TRUE),TRUE,FALSE)</f>
        <v>0</v>
      </c>
    </row>
    <row r="168">
      <c r="A168" s="47" t="str">
        <f>IFERROR(__xludf.DUMMYFUNCTION("""COMPUTED_VALUE"""),"SuperKoe")</f>
        <v>SuperKoe</v>
      </c>
      <c r="B168" s="47">
        <f t="shared" si="1"/>
        <v>1</v>
      </c>
      <c r="C168" s="47" t="b">
        <v>0</v>
      </c>
      <c r="D168" s="47" t="b">
        <v>0</v>
      </c>
      <c r="E168" s="47" t="b">
        <v>0</v>
      </c>
      <c r="F168" s="47" t="b">
        <v>0</v>
      </c>
      <c r="G168" s="96"/>
      <c r="H168" s="96" t="b">
        <f>if(countifs('Berlin, GER'!Q:Q,A168,'Berlin, GER'!I:I,TRUE),TRUE,FALSE)</f>
        <v>0</v>
      </c>
      <c r="I168" s="96" t="b">
        <f>if(countifs('Escondido, USA'!Q:Q,A168,'Escondido, USA'!I:I,TRUE),TRUE,FALSE)</f>
        <v>0</v>
      </c>
      <c r="J168" s="96" t="b">
        <f>if(countifs('Onkaparinga_Hills, AUS'!Q:Q,A168,'Onkaparinga_Hills, AUS'!I:I,TRUE),TRUE,FALSE)</f>
        <v>0</v>
      </c>
      <c r="K168" s="96" t="b">
        <f>if(countifs('Perth, AUS'!Q:Q,A168,'Perth, AUS'!I:I,TRUE),TRUE,FALSE)</f>
        <v>0</v>
      </c>
      <c r="L168" s="96" t="b">
        <f>if(countifs('Raleigh, USA'!Q:Q,A168,'Raleigh, USA'!I:I,TRUE),TRUE,FALSE)</f>
        <v>0</v>
      </c>
      <c r="M168" s="96" t="b">
        <f>if(countifs('Browns Plains, AUS'!Q:Q,A168,'Browns Plains, AUS'!I:I,TRUE),TRUE,FALSE)</f>
        <v>0</v>
      </c>
      <c r="N168" s="96" t="b">
        <f>if(countifs('Brossard, CAN'!Q:Q,A168,'Brossard, CAN'!I:I,TRUE),TRUE,FALSE)</f>
        <v>0</v>
      </c>
      <c r="O168" s="96" t="b">
        <f>if(countifs('Gouda, NL'!Q:Q,$A168,'Gouda, NL'!$I:$I,TRUE),TRUE,FALSE)</f>
        <v>0</v>
      </c>
      <c r="P168" s="47" t="b">
        <f>if(countifs('Plympton, UK'!Q:Q,$A168,'Plympton, UK'!$I:$I,TRUE),TRUE,FALSE)</f>
        <v>0</v>
      </c>
      <c r="Q168" s="47" t="b">
        <f>if(countifs('Glen Oaks, USA'!Q:Q,$A168,'Glen Oaks, USA'!$I:$I,TRUE),TRUE,FALSE)</f>
        <v>0</v>
      </c>
      <c r="R168" s="47" t="b">
        <f>if(countifs('Chemnitz, GER'!Q:Q,$A168,'Chemnitz, GER'!I:I,TRUE),TRUE,FALSE)</f>
        <v>0</v>
      </c>
      <c r="S168" s="47" t="b">
        <f>if(countifs('Vosselaar, BE'!Q:Q,$A168,'Vosselaar, BE'!$I:$I,TRUE),TRUE,FALSE)</f>
        <v>0</v>
      </c>
      <c r="T168" s="47" t="b">
        <f>if(countifs('MHQ, USA'!Q:Q,$A168,'MHQ, USA'!$I:$I,TRUE),TRUE,FALSE)</f>
        <v>0</v>
      </c>
      <c r="U168" s="47" t="b">
        <f>if(countifs('Morayfield, AUS'!Q:Q,$A168,'Morayfield, AUS'!$I:$I,TRUE),TRUE,FALSE)</f>
        <v>0</v>
      </c>
      <c r="V168" s="11" t="b">
        <f>if(countifs('Arnhem, NL'!Q:Q,$A168,'Arnhem, NL'!$I:$I,TRUE),TRUE,FALSE)</f>
        <v>1</v>
      </c>
      <c r="W168" s="47" t="b">
        <f>if(countifs('Gotenborg, SW'!Q:Q,$A168,'Gotenborg, SW'!$I:$I,TRUE),TRUE,FALSE)</f>
        <v>0</v>
      </c>
      <c r="X168" s="47" t="b">
        <f>if(countifs('Shepparton, AUS'!Q:Q,$A168,'Shepparton, AUS'!$I:$I,TRUE),TRUE,FALSE)</f>
        <v>0</v>
      </c>
      <c r="Y168" s="47" t="b">
        <f>if(countifs('Hoofddorp, NL'!Q:Q,$A168,'Hoofddorp, NL'!$I:$I,TRUE),TRUE,FALSE)</f>
        <v>0</v>
      </c>
      <c r="Z168" s="47" t="b">
        <f>if(countifs('Bedford, UK'!Q:Q,$A168,'Bedford, UK'!$I:$I,TRUE),TRUE,FALSE)</f>
        <v>0</v>
      </c>
      <c r="AA168" s="47" t="b">
        <f>IF(COUNTIFS('Desert Lodge, USA'!Q:Q,$A168,'Desert Lodge, USA'!I:I,TRUE),TRUE,FALSE)</f>
        <v>0</v>
      </c>
      <c r="AB168" s="47" t="b">
        <f>if(countifs('Dapto, AUS'!Q:Q,$A168,'Dapto, AUS'!$I:$I,TRUE),TRUE,FALSE)</f>
        <v>0</v>
      </c>
      <c r="AC168" s="47" t="b">
        <f>if(countifs('New Westminster, CAN'!Q:Q,$A168,'New Westminster, CAN'!$I:$I,TRUE),TRUE,FALSE)</f>
        <v>0</v>
      </c>
      <c r="AD168" s="47" t="b">
        <f>if(countifs('Georgetown, CAN'!Q:Q,$A168,'Georgetown, CAN'!$I:$I,TRUE),TRUE,FALSE)</f>
        <v>0</v>
      </c>
      <c r="AE168" s="47" t="b">
        <f>if(countifs('Kingswood, UK'!Q:Q,$A168,'Kingswood, UK'!$I:$I,TRUE),TRUE,FALSE)</f>
        <v>0</v>
      </c>
      <c r="AF168" s="47" t="b">
        <f>if(countifs('Hagerstown, USA'!Q:Q,$A168,'Hagerstown, USA'!$I:$I,TRUE),TRUE,FALSE)</f>
        <v>0</v>
      </c>
      <c r="AG168" s="47" t="b">
        <f>if(countifs('Felsogalla, HU'!Q:Q,$A168,'Felsogalla, HU'!$I:$I,TRUE),TRUE,FALSE)</f>
        <v>0</v>
      </c>
      <c r="AH168" s="47" t="b">
        <f>if(countifs('Norlane, AUS'!Q:Q,$A168,'Norlane, AUS'!$I:$I,TRUE),TRUE,FALSE)</f>
        <v>0</v>
      </c>
      <c r="AI168" s="47" t="b">
        <f>if(countifs('Meitingen, GER'!Q:Q,$A168,'Meitingen, GER'!$I:$I,TRUE),TRUE,FALSE)</f>
        <v>0</v>
      </c>
      <c r="AJ168" s="47" t="b">
        <f>if(countifs('Groningen, NL'!Q:Q,$A168,'Groningen, NL'!$I:$I,TRUE),TRUE,FALSE)</f>
        <v>0</v>
      </c>
      <c r="AK168" s="47" t="b">
        <f>if(countifs('Linköping, SW'!Q:Q,$A168,'Linköping, SW'!$I:$I,TRUE),TRUE,FALSE)</f>
        <v>0</v>
      </c>
      <c r="AL168" s="47" t="b">
        <f>if(countifs('Austin, USA'!Q:Q,$A168,'Austin, USA'!$I:$I,TRUE),TRUE,FALSE)</f>
        <v>0</v>
      </c>
      <c r="AM168" s="47" t="b">
        <f>if(countifs('Thringstone, UK'!Q:Q,$A168,'Thringstone, UK'!$I:$I,TRUE),TRUE,FALSE)</f>
        <v>0</v>
      </c>
      <c r="AN168" s="47" t="b">
        <f>if(countifs('Andover, UK'!Q:Q,$A168,'Andover, UK'!$I:$I,TRUE),TRUE,FALSE)</f>
        <v>0</v>
      </c>
      <c r="AO168" s="47" t="b">
        <f>if(countifs('Ospel, NL'!Q:Q,$A168,'Ospel, NL'!$I:$I,TRUE),TRUE,FALSE)</f>
        <v>0</v>
      </c>
      <c r="AP168" s="47" t="b">
        <f>if(countifs('Wonthaggi, AUS'!Q:Q,$A168,'Wonthaggi, AUS'!$I:$I,TRUE),TRUE,FALSE)</f>
        <v>0</v>
      </c>
      <c r="AQ168" s="47" t="b">
        <f>if(countifs('Falling_Waters, USA'!$Q:$Q,$A168,'Falling_Waters, USA'!$I:$I,TRUE),TRUE,FALSE)</f>
        <v>0</v>
      </c>
      <c r="AR168" s="47" t="b">
        <f>if(countifs('Kelmscott, AUS'!Q:Q,$A168,'Kelmscott, AUS'!$I:$I,TRUE),TRUE,FALSE)</f>
        <v>0</v>
      </c>
    </row>
    <row r="169">
      <c r="A169" s="47" t="str">
        <f>IFERROR(__xludf.DUMMYFUNCTION("""COMPUTED_VALUE"""),"HtV")</f>
        <v>HtV</v>
      </c>
      <c r="B169" s="47">
        <f t="shared" si="1"/>
        <v>1</v>
      </c>
      <c r="C169" s="47" t="b">
        <v>0</v>
      </c>
      <c r="D169" s="47" t="b">
        <v>0</v>
      </c>
      <c r="E169" s="47" t="b">
        <v>0</v>
      </c>
      <c r="F169" s="47" t="b">
        <v>0</v>
      </c>
      <c r="G169" s="96"/>
      <c r="H169" s="96" t="b">
        <f>if(countifs('Berlin, GER'!Q:Q,A169,'Berlin, GER'!I:I,TRUE),TRUE,FALSE)</f>
        <v>0</v>
      </c>
      <c r="I169" s="96" t="b">
        <f>if(countifs('Escondido, USA'!Q:Q,A169,'Escondido, USA'!I:I,TRUE),TRUE,FALSE)</f>
        <v>0</v>
      </c>
      <c r="J169" s="96" t="b">
        <f>if(countifs('Onkaparinga_Hills, AUS'!Q:Q,A169,'Onkaparinga_Hills, AUS'!I:I,TRUE),TRUE,FALSE)</f>
        <v>0</v>
      </c>
      <c r="K169" s="96" t="b">
        <f>if(countifs('Perth, AUS'!Q:Q,A169,'Perth, AUS'!I:I,TRUE),TRUE,FALSE)</f>
        <v>0</v>
      </c>
      <c r="L169" s="96" t="b">
        <f>if(countifs('Raleigh, USA'!Q:Q,A169,'Raleigh, USA'!I:I,TRUE),TRUE,FALSE)</f>
        <v>0</v>
      </c>
      <c r="M169" s="96" t="b">
        <f>if(countifs('Browns Plains, AUS'!Q:Q,A169,'Browns Plains, AUS'!I:I,TRUE),TRUE,FALSE)</f>
        <v>0</v>
      </c>
      <c r="N169" s="96" t="b">
        <f>if(countifs('Brossard, CAN'!Q:Q,A169,'Brossard, CAN'!I:I,TRUE),TRUE,FALSE)</f>
        <v>0</v>
      </c>
      <c r="O169" s="96" t="b">
        <f>if(countifs('Gouda, NL'!Q:Q,$A169,'Gouda, NL'!$I:$I,TRUE),TRUE,FALSE)</f>
        <v>0</v>
      </c>
      <c r="P169" s="47" t="b">
        <f>if(countifs('Plympton, UK'!Q:Q,$A169,'Plympton, UK'!$I:$I,TRUE),TRUE,FALSE)</f>
        <v>0</v>
      </c>
      <c r="Q169" s="47" t="b">
        <f>if(countifs('Glen Oaks, USA'!Q:Q,$A169,'Glen Oaks, USA'!$I:$I,TRUE),TRUE,FALSE)</f>
        <v>0</v>
      </c>
      <c r="R169" s="47" t="b">
        <f>if(countifs('Chemnitz, GER'!Q:Q,$A169,'Chemnitz, GER'!I:I,TRUE),TRUE,FALSE)</f>
        <v>0</v>
      </c>
      <c r="S169" s="47" t="b">
        <f>if(countifs('Vosselaar, BE'!Q:Q,$A169,'Vosselaar, BE'!$I:$I,TRUE),TRUE,FALSE)</f>
        <v>0</v>
      </c>
      <c r="T169" s="47" t="b">
        <f>if(countifs('MHQ, USA'!Q:Q,$A169,'MHQ, USA'!$I:$I,TRUE),TRUE,FALSE)</f>
        <v>0</v>
      </c>
      <c r="U169" s="47" t="b">
        <f>if(countifs('Morayfield, AUS'!Q:Q,$A169,'Morayfield, AUS'!$I:$I,TRUE),TRUE,FALSE)</f>
        <v>0</v>
      </c>
      <c r="V169" s="11" t="b">
        <f>if(countifs('Arnhem, NL'!Q:Q,$A169,'Arnhem, NL'!$I:$I,TRUE),TRUE,FALSE)</f>
        <v>1</v>
      </c>
      <c r="W169" s="47" t="b">
        <f>if(countifs('Gotenborg, SW'!Q:Q,$A169,'Gotenborg, SW'!$I:$I,TRUE),TRUE,FALSE)</f>
        <v>0</v>
      </c>
      <c r="X169" s="47" t="b">
        <f>if(countifs('Shepparton, AUS'!Q:Q,$A169,'Shepparton, AUS'!$I:$I,TRUE),TRUE,FALSE)</f>
        <v>0</v>
      </c>
      <c r="Y169" s="47" t="b">
        <f>if(countifs('Hoofddorp, NL'!Q:Q,$A169,'Hoofddorp, NL'!$I:$I,TRUE),TRUE,FALSE)</f>
        <v>0</v>
      </c>
      <c r="Z169" s="47" t="b">
        <f>if(countifs('Bedford, UK'!Q:Q,$A169,'Bedford, UK'!$I:$I,TRUE),TRUE,FALSE)</f>
        <v>0</v>
      </c>
      <c r="AA169" s="47" t="b">
        <f>IF(COUNTIFS('Desert Lodge, USA'!Q:Q,$A169,'Desert Lodge, USA'!I:I,TRUE),TRUE,FALSE)</f>
        <v>0</v>
      </c>
      <c r="AB169" s="47" t="b">
        <f>if(countifs('Dapto, AUS'!Q:Q,$A169,'Dapto, AUS'!$I:$I,TRUE),TRUE,FALSE)</f>
        <v>0</v>
      </c>
      <c r="AC169" s="47" t="b">
        <f>if(countifs('New Westminster, CAN'!Q:Q,$A169,'New Westminster, CAN'!$I:$I,TRUE),TRUE,FALSE)</f>
        <v>0</v>
      </c>
      <c r="AD169" s="47" t="b">
        <f>if(countifs('Georgetown, CAN'!Q:Q,$A169,'Georgetown, CAN'!$I:$I,TRUE),TRUE,FALSE)</f>
        <v>0</v>
      </c>
      <c r="AE169" s="47" t="b">
        <f>if(countifs('Kingswood, UK'!Q:Q,$A169,'Kingswood, UK'!$I:$I,TRUE),TRUE,FALSE)</f>
        <v>0</v>
      </c>
      <c r="AF169" s="47" t="b">
        <f>if(countifs('Hagerstown, USA'!Q:Q,$A169,'Hagerstown, USA'!$I:$I,TRUE),TRUE,FALSE)</f>
        <v>0</v>
      </c>
      <c r="AG169" s="47" t="b">
        <f>if(countifs('Felsogalla, HU'!Q:Q,$A169,'Felsogalla, HU'!$I:$I,TRUE),TRUE,FALSE)</f>
        <v>0</v>
      </c>
      <c r="AH169" s="47" t="b">
        <f>if(countifs('Norlane, AUS'!Q:Q,$A169,'Norlane, AUS'!$I:$I,TRUE),TRUE,FALSE)</f>
        <v>0</v>
      </c>
      <c r="AI169" s="47" t="b">
        <f>if(countifs('Meitingen, GER'!Q:Q,$A169,'Meitingen, GER'!$I:$I,TRUE),TRUE,FALSE)</f>
        <v>0</v>
      </c>
      <c r="AJ169" s="47" t="b">
        <f>if(countifs('Groningen, NL'!Q:Q,$A169,'Groningen, NL'!$I:$I,TRUE),TRUE,FALSE)</f>
        <v>0</v>
      </c>
      <c r="AK169" s="47" t="b">
        <f>if(countifs('Linköping, SW'!Q:Q,$A169,'Linköping, SW'!$I:$I,TRUE),TRUE,FALSE)</f>
        <v>0</v>
      </c>
      <c r="AL169" s="47" t="b">
        <f>if(countifs('Austin, USA'!Q:Q,$A169,'Austin, USA'!$I:$I,TRUE),TRUE,FALSE)</f>
        <v>0</v>
      </c>
      <c r="AM169" s="47" t="b">
        <f>if(countifs('Thringstone, UK'!Q:Q,$A169,'Thringstone, UK'!$I:$I,TRUE),TRUE,FALSE)</f>
        <v>0</v>
      </c>
      <c r="AN169" s="47" t="b">
        <f>if(countifs('Andover, UK'!Q:Q,$A169,'Andover, UK'!$I:$I,TRUE),TRUE,FALSE)</f>
        <v>0</v>
      </c>
      <c r="AO169" s="47" t="b">
        <f>if(countifs('Ospel, NL'!Q:Q,$A169,'Ospel, NL'!$I:$I,TRUE),TRUE,FALSE)</f>
        <v>0</v>
      </c>
      <c r="AP169" s="47" t="b">
        <f>if(countifs('Wonthaggi, AUS'!Q:Q,$A169,'Wonthaggi, AUS'!$I:$I,TRUE),TRUE,FALSE)</f>
        <v>0</v>
      </c>
      <c r="AQ169" s="47" t="b">
        <f>if(countifs('Falling_Waters, USA'!$Q:$Q,$A169,'Falling_Waters, USA'!$I:$I,TRUE),TRUE,FALSE)</f>
        <v>0</v>
      </c>
      <c r="AR169" s="47" t="b">
        <f>if(countifs('Kelmscott, AUS'!Q:Q,$A169,'Kelmscott, AUS'!$I:$I,TRUE),TRUE,FALSE)</f>
        <v>0</v>
      </c>
    </row>
    <row r="170">
      <c r="A170" s="47" t="str">
        <f>IFERROR(__xludf.DUMMYFUNCTION("""COMPUTED_VALUE"""),"Ronella42")</f>
        <v>Ronella42</v>
      </c>
      <c r="B170" s="47">
        <f t="shared" si="1"/>
        <v>1</v>
      </c>
      <c r="C170" s="47" t="b">
        <v>0</v>
      </c>
      <c r="D170" s="47" t="b">
        <v>0</v>
      </c>
      <c r="E170" s="47" t="b">
        <v>0</v>
      </c>
      <c r="F170" s="47" t="b">
        <v>0</v>
      </c>
      <c r="G170" s="96"/>
      <c r="H170" s="96" t="b">
        <f>if(countifs('Berlin, GER'!Q:Q,A170,'Berlin, GER'!I:I,TRUE),TRUE,FALSE)</f>
        <v>0</v>
      </c>
      <c r="I170" s="96" t="b">
        <f>if(countifs('Escondido, USA'!Q:Q,A170,'Escondido, USA'!I:I,TRUE),TRUE,FALSE)</f>
        <v>0</v>
      </c>
      <c r="J170" s="96" t="b">
        <f>if(countifs('Onkaparinga_Hills, AUS'!Q:Q,A170,'Onkaparinga_Hills, AUS'!I:I,TRUE),TRUE,FALSE)</f>
        <v>0</v>
      </c>
      <c r="K170" s="96" t="b">
        <f>if(countifs('Perth, AUS'!Q:Q,A170,'Perth, AUS'!I:I,TRUE),TRUE,FALSE)</f>
        <v>0</v>
      </c>
      <c r="L170" s="96" t="b">
        <f>if(countifs('Raleigh, USA'!Q:Q,A170,'Raleigh, USA'!I:I,TRUE),TRUE,FALSE)</f>
        <v>0</v>
      </c>
      <c r="M170" s="96" t="b">
        <f>if(countifs('Browns Plains, AUS'!Q:Q,A170,'Browns Plains, AUS'!I:I,TRUE),TRUE,FALSE)</f>
        <v>0</v>
      </c>
      <c r="N170" s="96" t="b">
        <f>if(countifs('Brossard, CAN'!Q:Q,A170,'Brossard, CAN'!I:I,TRUE),TRUE,FALSE)</f>
        <v>0</v>
      </c>
      <c r="O170" s="96" t="b">
        <f>if(countifs('Gouda, NL'!Q:Q,$A170,'Gouda, NL'!$I:$I,TRUE),TRUE,FALSE)</f>
        <v>0</v>
      </c>
      <c r="P170" s="47" t="b">
        <f>if(countifs('Plympton, UK'!Q:Q,$A170,'Plympton, UK'!$I:$I,TRUE),TRUE,FALSE)</f>
        <v>0</v>
      </c>
      <c r="Q170" s="47" t="b">
        <f>if(countifs('Glen Oaks, USA'!Q:Q,$A170,'Glen Oaks, USA'!$I:$I,TRUE),TRUE,FALSE)</f>
        <v>0</v>
      </c>
      <c r="R170" s="47" t="b">
        <f>if(countifs('Chemnitz, GER'!Q:Q,$A170,'Chemnitz, GER'!I:I,TRUE),TRUE,FALSE)</f>
        <v>0</v>
      </c>
      <c r="S170" s="47" t="b">
        <f>if(countifs('Vosselaar, BE'!Q:Q,$A170,'Vosselaar, BE'!$I:$I,TRUE),TRUE,FALSE)</f>
        <v>0</v>
      </c>
      <c r="T170" s="47" t="b">
        <f>if(countifs('MHQ, USA'!Q:Q,$A170,'MHQ, USA'!$I:$I,TRUE),TRUE,FALSE)</f>
        <v>0</v>
      </c>
      <c r="U170" s="47" t="b">
        <f>if(countifs('Morayfield, AUS'!Q:Q,$A170,'Morayfield, AUS'!$I:$I,TRUE),TRUE,FALSE)</f>
        <v>0</v>
      </c>
      <c r="V170" s="11" t="b">
        <f>if(countifs('Arnhem, NL'!Q:Q,$A170,'Arnhem, NL'!$I:$I,TRUE),TRUE,FALSE)</f>
        <v>1</v>
      </c>
      <c r="W170" s="47" t="b">
        <f>if(countifs('Gotenborg, SW'!Q:Q,$A170,'Gotenborg, SW'!$I:$I,TRUE),TRUE,FALSE)</f>
        <v>0</v>
      </c>
      <c r="X170" s="47" t="b">
        <f>if(countifs('Shepparton, AUS'!Q:Q,$A170,'Shepparton, AUS'!$I:$I,TRUE),TRUE,FALSE)</f>
        <v>0</v>
      </c>
      <c r="Y170" s="47" t="b">
        <f>if(countifs('Hoofddorp, NL'!Q:Q,$A170,'Hoofddorp, NL'!$I:$I,TRUE),TRUE,FALSE)</f>
        <v>0</v>
      </c>
      <c r="Z170" s="47" t="b">
        <f>if(countifs('Bedford, UK'!Q:Q,$A170,'Bedford, UK'!$I:$I,TRUE),TRUE,FALSE)</f>
        <v>0</v>
      </c>
      <c r="AA170" s="47" t="b">
        <f>IF(COUNTIFS('Desert Lodge, USA'!Q:Q,$A170,'Desert Lodge, USA'!I:I,TRUE),TRUE,FALSE)</f>
        <v>0</v>
      </c>
      <c r="AB170" s="47" t="b">
        <f>if(countifs('Dapto, AUS'!Q:Q,$A170,'Dapto, AUS'!$I:$I,TRUE),TRUE,FALSE)</f>
        <v>0</v>
      </c>
      <c r="AC170" s="47" t="b">
        <f>if(countifs('New Westminster, CAN'!Q:Q,$A170,'New Westminster, CAN'!$I:$I,TRUE),TRUE,FALSE)</f>
        <v>0</v>
      </c>
      <c r="AD170" s="47" t="b">
        <f>if(countifs('Georgetown, CAN'!Q:Q,$A170,'Georgetown, CAN'!$I:$I,TRUE),TRUE,FALSE)</f>
        <v>0</v>
      </c>
      <c r="AE170" s="47" t="b">
        <f>if(countifs('Kingswood, UK'!Q:Q,$A170,'Kingswood, UK'!$I:$I,TRUE),TRUE,FALSE)</f>
        <v>0</v>
      </c>
      <c r="AF170" s="47" t="b">
        <f>if(countifs('Hagerstown, USA'!Q:Q,$A170,'Hagerstown, USA'!$I:$I,TRUE),TRUE,FALSE)</f>
        <v>0</v>
      </c>
      <c r="AG170" s="47" t="b">
        <f>if(countifs('Felsogalla, HU'!Q:Q,$A170,'Felsogalla, HU'!$I:$I,TRUE),TRUE,FALSE)</f>
        <v>0</v>
      </c>
      <c r="AH170" s="47" t="b">
        <f>if(countifs('Norlane, AUS'!Q:Q,$A170,'Norlane, AUS'!$I:$I,TRUE),TRUE,FALSE)</f>
        <v>0</v>
      </c>
      <c r="AI170" s="47" t="b">
        <f>if(countifs('Meitingen, GER'!Q:Q,$A170,'Meitingen, GER'!$I:$I,TRUE),TRUE,FALSE)</f>
        <v>0</v>
      </c>
      <c r="AJ170" s="47" t="b">
        <f>if(countifs('Groningen, NL'!Q:Q,$A170,'Groningen, NL'!$I:$I,TRUE),TRUE,FALSE)</f>
        <v>0</v>
      </c>
      <c r="AK170" s="47" t="b">
        <f>if(countifs('Linköping, SW'!Q:Q,$A170,'Linköping, SW'!$I:$I,TRUE),TRUE,FALSE)</f>
        <v>0</v>
      </c>
      <c r="AL170" s="47" t="b">
        <f>if(countifs('Austin, USA'!Q:Q,$A170,'Austin, USA'!$I:$I,TRUE),TRUE,FALSE)</f>
        <v>0</v>
      </c>
      <c r="AM170" s="47" t="b">
        <f>if(countifs('Thringstone, UK'!Q:Q,$A170,'Thringstone, UK'!$I:$I,TRUE),TRUE,FALSE)</f>
        <v>0</v>
      </c>
      <c r="AN170" s="47" t="b">
        <f>if(countifs('Andover, UK'!Q:Q,$A170,'Andover, UK'!$I:$I,TRUE),TRUE,FALSE)</f>
        <v>0</v>
      </c>
      <c r="AO170" s="47" t="b">
        <f>if(countifs('Ospel, NL'!Q:Q,$A170,'Ospel, NL'!$I:$I,TRUE),TRUE,FALSE)</f>
        <v>0</v>
      </c>
      <c r="AP170" s="47" t="b">
        <f>if(countifs('Wonthaggi, AUS'!Q:Q,$A170,'Wonthaggi, AUS'!$I:$I,TRUE),TRUE,FALSE)</f>
        <v>0</v>
      </c>
      <c r="AQ170" s="47" t="b">
        <f>if(countifs('Falling_Waters, USA'!$Q:$Q,$A170,'Falling_Waters, USA'!$I:$I,TRUE),TRUE,FALSE)</f>
        <v>0</v>
      </c>
      <c r="AR170" s="47" t="b">
        <f>if(countifs('Kelmscott, AUS'!Q:Q,$A170,'Kelmscott, AUS'!$I:$I,TRUE),TRUE,FALSE)</f>
        <v>0</v>
      </c>
    </row>
    <row r="171">
      <c r="A171" s="47" t="str">
        <f>IFERROR(__xludf.DUMMYFUNCTION("""COMPUTED_VALUE"""),"Hanry")</f>
        <v>Hanry</v>
      </c>
      <c r="B171" s="47">
        <f t="shared" si="1"/>
        <v>1</v>
      </c>
      <c r="C171" s="47" t="b">
        <v>0</v>
      </c>
      <c r="D171" s="47" t="b">
        <v>0</v>
      </c>
      <c r="E171" s="47" t="b">
        <v>0</v>
      </c>
      <c r="F171" s="47" t="b">
        <v>0</v>
      </c>
      <c r="G171" s="96"/>
      <c r="H171" s="96" t="b">
        <f>if(countifs('Berlin, GER'!Q:Q,A171,'Berlin, GER'!I:I,TRUE),TRUE,FALSE)</f>
        <v>0</v>
      </c>
      <c r="I171" s="96" t="b">
        <f>if(countifs('Escondido, USA'!Q:Q,A171,'Escondido, USA'!I:I,TRUE),TRUE,FALSE)</f>
        <v>0</v>
      </c>
      <c r="J171" s="96" t="b">
        <f>if(countifs('Onkaparinga_Hills, AUS'!Q:Q,A171,'Onkaparinga_Hills, AUS'!I:I,TRUE),TRUE,FALSE)</f>
        <v>0</v>
      </c>
      <c r="K171" s="96" t="b">
        <f>if(countifs('Perth, AUS'!Q:Q,A171,'Perth, AUS'!I:I,TRUE),TRUE,FALSE)</f>
        <v>0</v>
      </c>
      <c r="L171" s="96" t="b">
        <f>if(countifs('Raleigh, USA'!Q:Q,A171,'Raleigh, USA'!I:I,TRUE),TRUE,FALSE)</f>
        <v>0</v>
      </c>
      <c r="M171" s="96" t="b">
        <f>if(countifs('Browns Plains, AUS'!Q:Q,A171,'Browns Plains, AUS'!I:I,TRUE),TRUE,FALSE)</f>
        <v>0</v>
      </c>
      <c r="N171" s="96" t="b">
        <f>if(countifs('Brossard, CAN'!Q:Q,A171,'Brossard, CAN'!I:I,TRUE),TRUE,FALSE)</f>
        <v>0</v>
      </c>
      <c r="O171" s="96" t="b">
        <f>if(countifs('Gouda, NL'!Q:Q,$A171,'Gouda, NL'!$I:$I,TRUE),TRUE,FALSE)</f>
        <v>0</v>
      </c>
      <c r="P171" s="47" t="b">
        <f>if(countifs('Plympton, UK'!Q:Q,$A171,'Plympton, UK'!$I:$I,TRUE),TRUE,FALSE)</f>
        <v>0</v>
      </c>
      <c r="Q171" s="47" t="b">
        <f>if(countifs('Glen Oaks, USA'!Q:Q,$A171,'Glen Oaks, USA'!$I:$I,TRUE),TRUE,FALSE)</f>
        <v>0</v>
      </c>
      <c r="R171" s="47" t="b">
        <f>if(countifs('Chemnitz, GER'!Q:Q,$A171,'Chemnitz, GER'!I:I,TRUE),TRUE,FALSE)</f>
        <v>0</v>
      </c>
      <c r="S171" s="47" t="b">
        <f>if(countifs('Vosselaar, BE'!Q:Q,$A171,'Vosselaar, BE'!$I:$I,TRUE),TRUE,FALSE)</f>
        <v>0</v>
      </c>
      <c r="T171" s="47" t="b">
        <f>if(countifs('MHQ, USA'!Q:Q,$A171,'MHQ, USA'!$I:$I,TRUE),TRUE,FALSE)</f>
        <v>0</v>
      </c>
      <c r="U171" s="47" t="b">
        <f>if(countifs('Morayfield, AUS'!Q:Q,$A171,'Morayfield, AUS'!$I:$I,TRUE),TRUE,FALSE)</f>
        <v>0</v>
      </c>
      <c r="V171" s="11" t="b">
        <f>if(countifs('Arnhem, NL'!Q:Q,$A171,'Arnhem, NL'!$I:$I,TRUE),TRUE,FALSE)</f>
        <v>1</v>
      </c>
      <c r="W171" s="47" t="b">
        <f>if(countifs('Gotenborg, SW'!Q:Q,$A171,'Gotenborg, SW'!$I:$I,TRUE),TRUE,FALSE)</f>
        <v>0</v>
      </c>
      <c r="X171" s="47" t="b">
        <f>if(countifs('Shepparton, AUS'!Q:Q,$A171,'Shepparton, AUS'!$I:$I,TRUE),TRUE,FALSE)</f>
        <v>0</v>
      </c>
      <c r="Y171" s="47" t="b">
        <f>if(countifs('Hoofddorp, NL'!Q:Q,$A171,'Hoofddorp, NL'!$I:$I,TRUE),TRUE,FALSE)</f>
        <v>0</v>
      </c>
      <c r="Z171" s="47" t="b">
        <f>if(countifs('Bedford, UK'!Q:Q,$A171,'Bedford, UK'!$I:$I,TRUE),TRUE,FALSE)</f>
        <v>0</v>
      </c>
      <c r="AA171" s="47" t="b">
        <f>IF(COUNTIFS('Desert Lodge, USA'!Q:Q,$A171,'Desert Lodge, USA'!I:I,TRUE),TRUE,FALSE)</f>
        <v>0</v>
      </c>
      <c r="AB171" s="47" t="b">
        <f>if(countifs('Dapto, AUS'!Q:Q,$A171,'Dapto, AUS'!$I:$I,TRUE),TRUE,FALSE)</f>
        <v>0</v>
      </c>
      <c r="AC171" s="47" t="b">
        <f>if(countifs('New Westminster, CAN'!Q:Q,$A171,'New Westminster, CAN'!$I:$I,TRUE),TRUE,FALSE)</f>
        <v>0</v>
      </c>
      <c r="AD171" s="47" t="b">
        <f>if(countifs('Georgetown, CAN'!Q:Q,$A171,'Georgetown, CAN'!$I:$I,TRUE),TRUE,FALSE)</f>
        <v>0</v>
      </c>
      <c r="AE171" s="47" t="b">
        <f>if(countifs('Kingswood, UK'!Q:Q,$A171,'Kingswood, UK'!$I:$I,TRUE),TRUE,FALSE)</f>
        <v>0</v>
      </c>
      <c r="AF171" s="47" t="b">
        <f>if(countifs('Hagerstown, USA'!Q:Q,$A171,'Hagerstown, USA'!$I:$I,TRUE),TRUE,FALSE)</f>
        <v>0</v>
      </c>
      <c r="AG171" s="47" t="b">
        <f>if(countifs('Felsogalla, HU'!Q:Q,$A171,'Felsogalla, HU'!$I:$I,TRUE),TRUE,FALSE)</f>
        <v>0</v>
      </c>
      <c r="AH171" s="47" t="b">
        <f>if(countifs('Norlane, AUS'!Q:Q,$A171,'Norlane, AUS'!$I:$I,TRUE),TRUE,FALSE)</f>
        <v>0</v>
      </c>
      <c r="AI171" s="47" t="b">
        <f>if(countifs('Meitingen, GER'!Q:Q,$A171,'Meitingen, GER'!$I:$I,TRUE),TRUE,FALSE)</f>
        <v>0</v>
      </c>
      <c r="AJ171" s="47" t="b">
        <f>if(countifs('Groningen, NL'!Q:Q,$A171,'Groningen, NL'!$I:$I,TRUE),TRUE,FALSE)</f>
        <v>0</v>
      </c>
      <c r="AK171" s="47" t="b">
        <f>if(countifs('Linköping, SW'!Q:Q,$A171,'Linköping, SW'!$I:$I,TRUE),TRUE,FALSE)</f>
        <v>0</v>
      </c>
      <c r="AL171" s="47" t="b">
        <f>if(countifs('Austin, USA'!Q:Q,$A171,'Austin, USA'!$I:$I,TRUE),TRUE,FALSE)</f>
        <v>0</v>
      </c>
      <c r="AM171" s="47" t="b">
        <f>if(countifs('Thringstone, UK'!Q:Q,$A171,'Thringstone, UK'!$I:$I,TRUE),TRUE,FALSE)</f>
        <v>0</v>
      </c>
      <c r="AN171" s="47" t="b">
        <f>if(countifs('Andover, UK'!Q:Q,$A171,'Andover, UK'!$I:$I,TRUE),TRUE,FALSE)</f>
        <v>0</v>
      </c>
      <c r="AO171" s="47" t="b">
        <f>if(countifs('Ospel, NL'!Q:Q,$A171,'Ospel, NL'!$I:$I,TRUE),TRUE,FALSE)</f>
        <v>0</v>
      </c>
      <c r="AP171" s="47" t="b">
        <f>if(countifs('Wonthaggi, AUS'!Q:Q,$A171,'Wonthaggi, AUS'!$I:$I,TRUE),TRUE,FALSE)</f>
        <v>0</v>
      </c>
      <c r="AQ171" s="47" t="b">
        <f>if(countifs('Falling_Waters, USA'!$Q:$Q,$A171,'Falling_Waters, USA'!$I:$I,TRUE),TRUE,FALSE)</f>
        <v>0</v>
      </c>
      <c r="AR171" s="47" t="b">
        <f>if(countifs('Kelmscott, AUS'!Q:Q,$A171,'Kelmscott, AUS'!$I:$I,TRUE),TRUE,FALSE)</f>
        <v>0</v>
      </c>
    </row>
    <row r="172">
      <c r="A172" s="47" t="str">
        <f>IFERROR(__xludf.DUMMYFUNCTION("""COMPUTED_VALUE"""),"DutchLibrarian")</f>
        <v>DutchLibrarian</v>
      </c>
      <c r="B172" s="47">
        <f t="shared" si="1"/>
        <v>1</v>
      </c>
      <c r="C172" s="47" t="b">
        <v>0</v>
      </c>
      <c r="D172" s="47" t="b">
        <v>0</v>
      </c>
      <c r="E172" s="47" t="b">
        <v>0</v>
      </c>
      <c r="F172" s="47" t="b">
        <v>0</v>
      </c>
      <c r="G172" s="96"/>
      <c r="H172" s="96" t="b">
        <f>if(countifs('Berlin, GER'!Q:Q,A172,'Berlin, GER'!I:I,TRUE),TRUE,FALSE)</f>
        <v>0</v>
      </c>
      <c r="I172" s="96" t="b">
        <f>if(countifs('Escondido, USA'!Q:Q,A172,'Escondido, USA'!I:I,TRUE),TRUE,FALSE)</f>
        <v>0</v>
      </c>
      <c r="J172" s="96" t="b">
        <f>if(countifs('Onkaparinga_Hills, AUS'!Q:Q,A172,'Onkaparinga_Hills, AUS'!I:I,TRUE),TRUE,FALSE)</f>
        <v>0</v>
      </c>
      <c r="K172" s="96" t="b">
        <f>if(countifs('Perth, AUS'!Q:Q,A172,'Perth, AUS'!I:I,TRUE),TRUE,FALSE)</f>
        <v>0</v>
      </c>
      <c r="L172" s="96" t="b">
        <f>if(countifs('Raleigh, USA'!Q:Q,A172,'Raleigh, USA'!I:I,TRUE),TRUE,FALSE)</f>
        <v>0</v>
      </c>
      <c r="M172" s="96" t="b">
        <f>if(countifs('Browns Plains, AUS'!Q:Q,A172,'Browns Plains, AUS'!I:I,TRUE),TRUE,FALSE)</f>
        <v>0</v>
      </c>
      <c r="N172" s="96" t="b">
        <f>if(countifs('Brossard, CAN'!Q:Q,A172,'Brossard, CAN'!I:I,TRUE),TRUE,FALSE)</f>
        <v>0</v>
      </c>
      <c r="O172" s="96" t="b">
        <f>if(countifs('Gouda, NL'!Q:Q,$A172,'Gouda, NL'!$I:$I,TRUE),TRUE,FALSE)</f>
        <v>0</v>
      </c>
      <c r="P172" s="47" t="b">
        <f>if(countifs('Plympton, UK'!Q:Q,$A172,'Plympton, UK'!$I:$I,TRUE),TRUE,FALSE)</f>
        <v>0</v>
      </c>
      <c r="Q172" s="47" t="b">
        <f>if(countifs('Glen Oaks, USA'!Q:Q,$A172,'Glen Oaks, USA'!$I:$I,TRUE),TRUE,FALSE)</f>
        <v>0</v>
      </c>
      <c r="R172" s="47" t="b">
        <f>if(countifs('Chemnitz, GER'!Q:Q,$A172,'Chemnitz, GER'!I:I,TRUE),TRUE,FALSE)</f>
        <v>0</v>
      </c>
      <c r="S172" s="47" t="b">
        <f>if(countifs('Vosselaar, BE'!Q:Q,$A172,'Vosselaar, BE'!$I:$I,TRUE),TRUE,FALSE)</f>
        <v>0</v>
      </c>
      <c r="T172" s="47" t="b">
        <f>if(countifs('MHQ, USA'!Q:Q,$A172,'MHQ, USA'!$I:$I,TRUE),TRUE,FALSE)</f>
        <v>0</v>
      </c>
      <c r="U172" s="47" t="b">
        <f>if(countifs('Morayfield, AUS'!Q:Q,$A172,'Morayfield, AUS'!$I:$I,TRUE),TRUE,FALSE)</f>
        <v>0</v>
      </c>
      <c r="V172" s="11" t="b">
        <f>if(countifs('Arnhem, NL'!Q:Q,$A172,'Arnhem, NL'!$I:$I,TRUE),TRUE,FALSE)</f>
        <v>1</v>
      </c>
      <c r="W172" s="47" t="b">
        <f>if(countifs('Gotenborg, SW'!Q:Q,$A172,'Gotenborg, SW'!$I:$I,TRUE),TRUE,FALSE)</f>
        <v>0</v>
      </c>
      <c r="X172" s="47" t="b">
        <f>if(countifs('Shepparton, AUS'!Q:Q,$A172,'Shepparton, AUS'!$I:$I,TRUE),TRUE,FALSE)</f>
        <v>0</v>
      </c>
      <c r="Y172" s="47" t="b">
        <f>if(countifs('Hoofddorp, NL'!Q:Q,$A172,'Hoofddorp, NL'!$I:$I,TRUE),TRUE,FALSE)</f>
        <v>0</v>
      </c>
      <c r="Z172" s="47" t="b">
        <f>if(countifs('Bedford, UK'!Q:Q,$A172,'Bedford, UK'!$I:$I,TRUE),TRUE,FALSE)</f>
        <v>0</v>
      </c>
      <c r="AA172" s="47" t="b">
        <f>IF(COUNTIFS('Desert Lodge, USA'!Q:Q,$A172,'Desert Lodge, USA'!I:I,TRUE),TRUE,FALSE)</f>
        <v>0</v>
      </c>
      <c r="AB172" s="47" t="b">
        <f>if(countifs('Dapto, AUS'!Q:Q,$A172,'Dapto, AUS'!$I:$I,TRUE),TRUE,FALSE)</f>
        <v>0</v>
      </c>
      <c r="AC172" s="47" t="b">
        <f>if(countifs('New Westminster, CAN'!Q:Q,$A172,'New Westminster, CAN'!$I:$I,TRUE),TRUE,FALSE)</f>
        <v>0</v>
      </c>
      <c r="AD172" s="47" t="b">
        <f>if(countifs('Georgetown, CAN'!Q:Q,$A172,'Georgetown, CAN'!$I:$I,TRUE),TRUE,FALSE)</f>
        <v>0</v>
      </c>
      <c r="AE172" s="47" t="b">
        <f>if(countifs('Kingswood, UK'!Q:Q,$A172,'Kingswood, UK'!$I:$I,TRUE),TRUE,FALSE)</f>
        <v>0</v>
      </c>
      <c r="AF172" s="47" t="b">
        <f>if(countifs('Hagerstown, USA'!Q:Q,$A172,'Hagerstown, USA'!$I:$I,TRUE),TRUE,FALSE)</f>
        <v>0</v>
      </c>
      <c r="AG172" s="47" t="b">
        <f>if(countifs('Felsogalla, HU'!Q:Q,$A172,'Felsogalla, HU'!$I:$I,TRUE),TRUE,FALSE)</f>
        <v>0</v>
      </c>
      <c r="AH172" s="47" t="b">
        <f>if(countifs('Norlane, AUS'!Q:Q,$A172,'Norlane, AUS'!$I:$I,TRUE),TRUE,FALSE)</f>
        <v>0</v>
      </c>
      <c r="AI172" s="47" t="b">
        <f>if(countifs('Meitingen, GER'!Q:Q,$A172,'Meitingen, GER'!$I:$I,TRUE),TRUE,FALSE)</f>
        <v>0</v>
      </c>
      <c r="AJ172" s="47" t="b">
        <f>if(countifs('Groningen, NL'!Q:Q,$A172,'Groningen, NL'!$I:$I,TRUE),TRUE,FALSE)</f>
        <v>0</v>
      </c>
      <c r="AK172" s="47" t="b">
        <f>if(countifs('Linköping, SW'!Q:Q,$A172,'Linköping, SW'!$I:$I,TRUE),TRUE,FALSE)</f>
        <v>0</v>
      </c>
      <c r="AL172" s="47" t="b">
        <f>if(countifs('Austin, USA'!Q:Q,$A172,'Austin, USA'!$I:$I,TRUE),TRUE,FALSE)</f>
        <v>0</v>
      </c>
      <c r="AM172" s="47" t="b">
        <f>if(countifs('Thringstone, UK'!Q:Q,$A172,'Thringstone, UK'!$I:$I,TRUE),TRUE,FALSE)</f>
        <v>0</v>
      </c>
      <c r="AN172" s="47" t="b">
        <f>if(countifs('Andover, UK'!Q:Q,$A172,'Andover, UK'!$I:$I,TRUE),TRUE,FALSE)</f>
        <v>0</v>
      </c>
      <c r="AO172" s="47" t="b">
        <f>if(countifs('Ospel, NL'!Q:Q,$A172,'Ospel, NL'!$I:$I,TRUE),TRUE,FALSE)</f>
        <v>0</v>
      </c>
      <c r="AP172" s="47" t="b">
        <f>if(countifs('Wonthaggi, AUS'!Q:Q,$A172,'Wonthaggi, AUS'!$I:$I,TRUE),TRUE,FALSE)</f>
        <v>0</v>
      </c>
      <c r="AQ172" s="47" t="b">
        <f>if(countifs('Falling_Waters, USA'!$Q:$Q,$A172,'Falling_Waters, USA'!$I:$I,TRUE),TRUE,FALSE)</f>
        <v>0</v>
      </c>
      <c r="AR172" s="47" t="b">
        <f>if(countifs('Kelmscott, AUS'!Q:Q,$A172,'Kelmscott, AUS'!$I:$I,TRUE),TRUE,FALSE)</f>
        <v>0</v>
      </c>
    </row>
    <row r="173">
      <c r="A173" s="47" t="str">
        <f>IFERROR(__xludf.DUMMYFUNCTION("""COMPUTED_VALUE"""),"DeNachtwaker")</f>
        <v>DeNachtwaker</v>
      </c>
    </row>
    <row r="174">
      <c r="A174" s="47" t="str">
        <f>IFERROR(__xludf.DUMMYFUNCTION("""COMPUTED_VALUE"""),"Skater9468")</f>
        <v>Skater9468</v>
      </c>
    </row>
    <row r="175">
      <c r="A175" s="47" t="str">
        <f>IFERROR(__xludf.DUMMYFUNCTION("""COMPUTED_VALUE"""),"WandelKuub")</f>
        <v>WandelKuub</v>
      </c>
    </row>
    <row r="176">
      <c r="A176" s="47" t="str">
        <f>IFERROR(__xludf.DUMMYFUNCTION("""COMPUTED_VALUE"""),"Theceoiksjes")</f>
        <v>Theceoiksjes</v>
      </c>
    </row>
    <row r="177">
      <c r="A177" s="47" t="str">
        <f>IFERROR(__xludf.DUMMYFUNCTION("""COMPUTED_VALUE"""),"Pronkrug")</f>
        <v>Pronkrug</v>
      </c>
    </row>
    <row r="178">
      <c r="A178" s="47" t="str">
        <f>IFERROR(__xludf.DUMMYFUNCTION("""COMPUTED_VALUE"""),"cvdchiller")</f>
        <v>cvdchiller</v>
      </c>
    </row>
    <row r="179">
      <c r="A179" s="47" t="str">
        <f>IFERROR(__xludf.DUMMYFUNCTION("""COMPUTED_VALUE"""),"Vonney")</f>
        <v>Vonney</v>
      </c>
    </row>
    <row r="180">
      <c r="A180" s="47" t="str">
        <f>IFERROR(__xludf.DUMMYFUNCTION("""COMPUTED_VALUE"""),"felixbongers")</f>
        <v>felixbongers</v>
      </c>
    </row>
    <row r="181">
      <c r="A181" s="47" t="str">
        <f>IFERROR(__xludf.DUMMYFUNCTION("""COMPUTED_VALUE"""),"feikjen")</f>
        <v>feikjen</v>
      </c>
    </row>
    <row r="182">
      <c r="A182" s="47" t="str">
        <f>IFERROR(__xludf.DUMMYFUNCTION("""COMPUTED_VALUE"""),"MrsSourflush")</f>
        <v>MrsSourflush</v>
      </c>
    </row>
    <row r="183">
      <c r="A183" s="47" t="str">
        <f>IFERROR(__xludf.DUMMYFUNCTION("""COMPUTED_VALUE"""),"Rhaegal")</f>
        <v>Rhaegal</v>
      </c>
    </row>
    <row r="184">
      <c r="A184" s="47" t="str">
        <f>IFERROR(__xludf.DUMMYFUNCTION("""COMPUTED_VALUE"""),"destolkjes4ever")</f>
        <v>destolkjes4ever</v>
      </c>
    </row>
    <row r="185">
      <c r="A185" s="47" t="str">
        <f>IFERROR(__xludf.DUMMYFUNCTION("""COMPUTED_VALUE"""),"Iphoney")</f>
        <v>Iphoney</v>
      </c>
    </row>
    <row r="186">
      <c r="A186" s="47" t="str">
        <f>IFERROR(__xludf.DUMMYFUNCTION("""COMPUTED_VALUE"""),"vadotech")</f>
        <v>vadotech</v>
      </c>
    </row>
    <row r="187">
      <c r="A187" s="47" t="str">
        <f>IFERROR(__xludf.DUMMYFUNCTION("""COMPUTED_VALUE"""),"Pamster13")</f>
        <v>Pamster13</v>
      </c>
    </row>
    <row r="188">
      <c r="A188" s="47" t="str">
        <f>IFERROR(__xludf.DUMMYFUNCTION("""COMPUTED_VALUE"""),"Lusifeerus")</f>
        <v>Lusifeerus</v>
      </c>
    </row>
    <row r="189">
      <c r="A189" s="47" t="str">
        <f>IFERROR(__xludf.DUMMYFUNCTION("""COMPUTED_VALUE"""),"Human01d")</f>
        <v>Human01d</v>
      </c>
    </row>
    <row r="190">
      <c r="A190" s="47" t="str">
        <f>IFERROR(__xludf.DUMMYFUNCTION("""COMPUTED_VALUE"""),"lostsole68")</f>
        <v>lostsole68</v>
      </c>
    </row>
    <row r="191">
      <c r="A191" s="47" t="str">
        <f>IFERROR(__xludf.DUMMYFUNCTION("""COMPUTED_VALUE"""),"Liekensboys")</f>
        <v>Liekensboys</v>
      </c>
    </row>
    <row r="192">
      <c r="A192" s="47" t="str">
        <f>IFERROR(__xludf.DUMMYFUNCTION("""COMPUTED_VALUE"""),"does")</f>
        <v>does</v>
      </c>
    </row>
    <row r="193">
      <c r="A193" s="47" t="str">
        <f>IFERROR(__xludf.DUMMYFUNCTION("""COMPUTED_VALUE"""),"NikitaStolk")</f>
        <v>NikitaStolk</v>
      </c>
    </row>
    <row r="194">
      <c r="A194" s="47" t="str">
        <f>IFERROR(__xludf.DUMMYFUNCTION("""COMPUTED_VALUE"""),"blutengel")</f>
        <v>blutengel</v>
      </c>
    </row>
  </sheetData>
  <mergeCells count="1">
    <mergeCell ref="A1:AR1"/>
  </mergeCells>
  <conditionalFormatting sqref="C5:C997">
    <cfRule type="expression" dxfId="5" priority="1">
      <formula>$B5&gt;0</formula>
    </cfRule>
  </conditionalFormatting>
  <conditionalFormatting sqref="D5:D997">
    <cfRule type="expression" dxfId="5" priority="2">
      <formula>$B5&gt;4</formula>
    </cfRule>
  </conditionalFormatting>
  <conditionalFormatting sqref="E5:E997">
    <cfRule type="expression" dxfId="5" priority="3">
      <formula>$B5&gt;9</formula>
    </cfRule>
  </conditionalFormatting>
  <conditionalFormatting sqref="F5:F997">
    <cfRule type="expression" dxfId="5" priority="4">
      <formula>$B5&gt;19</formula>
    </cfRule>
  </conditionalFormatting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/>
  </sheetViews>
  <sheetFormatPr customHeight="1" defaultColWidth="12.63" defaultRowHeight="15.75" outlineLevelCol="1"/>
  <cols>
    <col customWidth="1" min="1" max="1" width="8.63"/>
    <col customWidth="1" min="2" max="2" width="9.0"/>
    <col customWidth="1" min="3" max="3" width="13.5"/>
    <col customWidth="1" min="4" max="4" width="14.5"/>
    <col customWidth="1" min="5" max="5" width="18.0"/>
    <col customWidth="1" min="6" max="6" width="14.88"/>
    <col customWidth="1" min="7" max="7" width="43.2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30" width="12.63" outlineLevel="1"/>
  </cols>
  <sheetData>
    <row r="1">
      <c r="A1" s="37" t="s">
        <v>16</v>
      </c>
      <c r="B1" s="37" t="s">
        <v>29</v>
      </c>
      <c r="D1" s="37"/>
      <c r="E1" s="2" t="s">
        <v>79</v>
      </c>
      <c r="F1" s="24" t="s">
        <v>766</v>
      </c>
      <c r="G1" s="69" t="s">
        <v>767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75">
        <v>44109.91235875</v>
      </c>
      <c r="T1" s="75"/>
      <c r="U1" s="75"/>
      <c r="V1" s="75"/>
      <c r="W1" s="75"/>
      <c r="X1" s="75"/>
      <c r="Y1" s="75"/>
      <c r="Z1" s="75"/>
      <c r="AA1" s="75"/>
      <c r="AB1" s="75"/>
      <c r="AC1" s="75"/>
      <c r="AD1" s="75"/>
    </row>
    <row r="2">
      <c r="A2" s="2"/>
      <c r="B2" s="2"/>
      <c r="C2" s="2"/>
      <c r="D2" s="2"/>
      <c r="E2" s="2" t="s">
        <v>82</v>
      </c>
      <c r="F2" s="2"/>
      <c r="G2" s="4" t="s">
        <v>768</v>
      </c>
      <c r="H2" s="2"/>
      <c r="I2" s="97" t="s">
        <v>769</v>
      </c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  <c r="AA2" s="5"/>
      <c r="AB2" s="5"/>
      <c r="AC2" s="5"/>
      <c r="AD2" s="5"/>
    </row>
    <row r="3">
      <c r="A3" s="98" t="s">
        <v>770</v>
      </c>
      <c r="E3" s="2" t="s">
        <v>11</v>
      </c>
      <c r="F3" s="2">
        <f>52-F61-F5</f>
        <v>0</v>
      </c>
      <c r="G3" s="2"/>
      <c r="H3" s="2"/>
      <c r="J3" s="5"/>
      <c r="K3" s="5"/>
      <c r="L3" s="5"/>
      <c r="M3" s="5"/>
      <c r="N3" s="5"/>
      <c r="O3" s="5"/>
      <c r="P3" s="5"/>
      <c r="Q3" s="5"/>
      <c r="R3" s="5"/>
      <c r="S3" s="5"/>
      <c r="T3" s="5"/>
      <c r="U3" s="5"/>
      <c r="V3" s="5"/>
      <c r="W3" s="5"/>
      <c r="X3" s="5"/>
      <c r="Y3" s="5"/>
      <c r="Z3" s="5"/>
      <c r="AA3" s="5"/>
      <c r="AB3" s="5"/>
      <c r="AC3" s="5"/>
      <c r="AD3" s="5"/>
    </row>
    <row r="4"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  <c r="T4" s="5"/>
      <c r="U4" s="5"/>
      <c r="V4" s="5"/>
      <c r="W4" s="5"/>
      <c r="X4" s="5"/>
      <c r="Y4" s="5"/>
      <c r="Z4" s="5"/>
      <c r="AA4" s="5"/>
      <c r="AB4" s="5"/>
      <c r="AC4" s="5"/>
      <c r="AD4" s="5"/>
    </row>
    <row r="5"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  <c r="Z5" s="40"/>
      <c r="AA5" s="40"/>
      <c r="AB5" s="40"/>
      <c r="AC5" s="40"/>
      <c r="AD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  <c r="T7" s="42"/>
      <c r="U7" s="42"/>
      <c r="V7" s="42"/>
      <c r="W7" s="42"/>
      <c r="X7" s="42"/>
      <c r="Y7" s="42"/>
      <c r="Z7" s="42"/>
      <c r="AA7" s="42"/>
      <c r="AB7" s="42"/>
      <c r="AC7" s="42"/>
      <c r="AD7" s="42"/>
    </row>
    <row r="8">
      <c r="A8" s="43">
        <v>1.0</v>
      </c>
      <c r="B8" s="43">
        <v>3.0</v>
      </c>
      <c r="C8" s="43">
        <v>52.0011541800727</v>
      </c>
      <c r="D8" s="43">
        <v>5.94882705101781</v>
      </c>
      <c r="E8" s="43" t="s">
        <v>98</v>
      </c>
      <c r="F8" s="44" t="s">
        <v>161</v>
      </c>
      <c r="G8" s="45" t="s">
        <v>771</v>
      </c>
      <c r="H8" s="46"/>
      <c r="I8" s="11" t="b">
        <v>1</v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59" si="1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IFERROR(__xludf.DUMMYFUNCTION("""COMPUTED_VALUE"""),3184.0)</f>
        <v>3184</v>
      </c>
      <c r="S8" s="51">
        <v>44109.871471377315</v>
      </c>
      <c r="T8" s="51"/>
      <c r="U8" s="51"/>
      <c r="V8" s="51"/>
      <c r="W8" s="51"/>
      <c r="X8" s="51"/>
      <c r="Y8" s="51"/>
      <c r="Z8" s="51"/>
      <c r="AA8" s="51"/>
      <c r="AB8" s="51"/>
      <c r="AC8" s="51"/>
      <c r="AD8" s="51"/>
    </row>
    <row r="9">
      <c r="A9" s="43">
        <v>1.0</v>
      </c>
      <c r="B9" s="43">
        <v>4.0</v>
      </c>
      <c r="C9" s="43">
        <v>52.0011541798419</v>
      </c>
      <c r="D9" s="43">
        <v>5.94906051397947</v>
      </c>
      <c r="E9" s="43" t="s">
        <v>98</v>
      </c>
      <c r="F9" s="44" t="s">
        <v>101</v>
      </c>
      <c r="G9" s="45" t="s">
        <v>772</v>
      </c>
      <c r="H9" s="46"/>
      <c r="I9" s="11" t="b">
        <v>1</v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1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IFERROR(__xludf.DUMMYFUNCTION("""COMPUTED_VALUE"""),4452.0)</f>
        <v>4452</v>
      </c>
      <c r="S9" s="51">
        <v>44109.870209166664</v>
      </c>
      <c r="T9" s="51"/>
      <c r="U9" s="51"/>
      <c r="V9" s="51"/>
      <c r="W9" s="51"/>
      <c r="X9" s="51"/>
      <c r="Y9" s="51"/>
      <c r="Z9" s="51"/>
      <c r="AA9" s="51"/>
      <c r="AB9" s="51"/>
      <c r="AC9" s="51"/>
      <c r="AD9" s="51"/>
    </row>
    <row r="10">
      <c r="A10" s="43">
        <v>1.0</v>
      </c>
      <c r="B10" s="43">
        <v>5.0</v>
      </c>
      <c r="C10" s="43">
        <v>52.0011541796112</v>
      </c>
      <c r="D10" s="43">
        <v>5.94929397694113</v>
      </c>
      <c r="E10" s="43" t="s">
        <v>103</v>
      </c>
      <c r="F10" s="44" t="s">
        <v>104</v>
      </c>
      <c r="G10" s="45" t="s">
        <v>773</v>
      </c>
      <c r="H10" s="46"/>
      <c r="I10" s="11" t="b">
        <v>1</v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1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IFERROR(__xludf.DUMMYFUNCTION("""COMPUTED_VALUE"""),2506.0)</f>
        <v>2506</v>
      </c>
      <c r="S10" s="51">
        <v>44109.870259375</v>
      </c>
      <c r="T10" s="51"/>
      <c r="U10" s="51"/>
      <c r="V10" s="51"/>
      <c r="W10" s="51"/>
      <c r="X10" s="51"/>
      <c r="Y10" s="51"/>
      <c r="Z10" s="51"/>
      <c r="AA10" s="51"/>
      <c r="AB10" s="51"/>
      <c r="AC10" s="51"/>
      <c r="AD10" s="51"/>
    </row>
    <row r="11">
      <c r="A11" s="43">
        <v>1.0</v>
      </c>
      <c r="B11" s="43">
        <v>6.0</v>
      </c>
      <c r="C11" s="43">
        <v>52.0011541793804</v>
      </c>
      <c r="D11" s="43">
        <v>5.94952743990279</v>
      </c>
      <c r="E11" s="43" t="s">
        <v>103</v>
      </c>
      <c r="F11" s="44" t="s">
        <v>774</v>
      </c>
      <c r="G11" s="45" t="s">
        <v>775</v>
      </c>
      <c r="H11" s="46"/>
      <c r="I11" s="11" t="b">
        <v>1</v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1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IFERROR(__xludf.DUMMYFUNCTION("""COMPUTED_VALUE"""),3222.0)</f>
        <v>3222</v>
      </c>
      <c r="S11" s="51">
        <v>44109.87030224537</v>
      </c>
      <c r="T11" s="51"/>
      <c r="U11" s="51"/>
      <c r="V11" s="51"/>
      <c r="W11" s="51"/>
      <c r="X11" s="51"/>
      <c r="Y11" s="51"/>
      <c r="Z11" s="51"/>
      <c r="AA11" s="51"/>
      <c r="AB11" s="51"/>
      <c r="AC11" s="51"/>
      <c r="AD11" s="51"/>
    </row>
    <row r="12">
      <c r="A12" s="43">
        <v>2.0</v>
      </c>
      <c r="B12" s="43">
        <v>2.0</v>
      </c>
      <c r="C12" s="43">
        <v>52.001010449858</v>
      </c>
      <c r="D12" s="43">
        <v>5.94859356781569</v>
      </c>
      <c r="E12" s="43" t="s">
        <v>98</v>
      </c>
      <c r="F12" s="44" t="s">
        <v>114</v>
      </c>
      <c r="G12" s="45" t="s">
        <v>776</v>
      </c>
      <c r="H12" s="44"/>
      <c r="I12" s="11" t="b">
        <v>1</v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1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IFERROR(__xludf.DUMMYFUNCTION("""COMPUTED_VALUE"""),"J1Huisman")</f>
        <v>J1Huisman</v>
      </c>
      <c r="R12" s="49">
        <f>IFERROR(__xludf.DUMMYFUNCTION("""COMPUTED_VALUE"""),11590.0)</f>
        <v>11590</v>
      </c>
      <c r="S12" s="51">
        <v>44088.724589895835</v>
      </c>
      <c r="T12" s="51"/>
      <c r="U12" s="51"/>
      <c r="V12" s="51"/>
      <c r="W12" s="51"/>
      <c r="X12" s="51"/>
      <c r="Y12" s="51"/>
      <c r="Z12" s="51"/>
      <c r="AA12" s="51"/>
      <c r="AB12" s="51"/>
      <c r="AC12" s="51"/>
      <c r="AD12" s="51"/>
    </row>
    <row r="13">
      <c r="A13" s="43">
        <v>2.0</v>
      </c>
      <c r="B13" s="43">
        <v>3.0</v>
      </c>
      <c r="C13" s="43">
        <v>52.0010104496272</v>
      </c>
      <c r="D13" s="43">
        <v>5.94882703002781</v>
      </c>
      <c r="E13" s="43" t="s">
        <v>98</v>
      </c>
      <c r="F13" s="44" t="s">
        <v>169</v>
      </c>
      <c r="G13" s="45" t="s">
        <v>777</v>
      </c>
      <c r="H13" s="46"/>
      <c r="I13" s="11" t="b">
        <v>1</v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1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IFERROR(__xludf.DUMMYFUNCTION("""COMPUTED_VALUE"""),"Pinkeltje")</f>
        <v>Pinkeltje</v>
      </c>
      <c r="R13" s="49">
        <f>IFERROR(__xludf.DUMMYFUNCTION("""COMPUTED_VALUE"""),1408.0)</f>
        <v>1408</v>
      </c>
      <c r="S13" s="51">
        <v>44088.724685740744</v>
      </c>
      <c r="T13" s="51"/>
      <c r="U13" s="51"/>
      <c r="V13" s="51"/>
      <c r="W13" s="51"/>
      <c r="X13" s="51"/>
      <c r="Y13" s="51"/>
      <c r="Z13" s="51"/>
      <c r="AA13" s="51"/>
      <c r="AB13" s="51"/>
      <c r="AC13" s="51"/>
      <c r="AD13" s="51"/>
    </row>
    <row r="14">
      <c r="A14" s="43">
        <v>2.0</v>
      </c>
      <c r="B14" s="43">
        <v>4.0</v>
      </c>
      <c r="C14" s="43">
        <v>52.0010104493965</v>
      </c>
      <c r="D14" s="43">
        <v>5.94906049223993</v>
      </c>
      <c r="E14" s="43" t="s">
        <v>98</v>
      </c>
      <c r="F14" s="44" t="s">
        <v>778</v>
      </c>
      <c r="G14" s="52" t="s">
        <v>779</v>
      </c>
      <c r="H14" s="46"/>
      <c r="I14" s="11" t="b">
        <v>1</v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1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IFERROR(__xludf.DUMMYFUNCTION("""COMPUTED_VALUE"""),"SuperKoe")</f>
        <v>SuperKoe</v>
      </c>
      <c r="R14" s="49">
        <f>IFERROR(__xludf.DUMMYFUNCTION("""COMPUTED_VALUE"""),13096.0)</f>
        <v>13096</v>
      </c>
      <c r="S14" s="51">
        <v>44088.725056967596</v>
      </c>
      <c r="T14" s="51"/>
      <c r="U14" s="51"/>
      <c r="V14" s="51"/>
      <c r="W14" s="51"/>
      <c r="X14" s="51"/>
      <c r="Y14" s="51"/>
      <c r="Z14" s="51"/>
      <c r="AA14" s="51"/>
      <c r="AB14" s="51"/>
      <c r="AC14" s="51"/>
      <c r="AD14" s="51"/>
    </row>
    <row r="15">
      <c r="A15" s="43">
        <v>2.0</v>
      </c>
      <c r="B15" s="43">
        <v>5.0</v>
      </c>
      <c r="C15" s="43">
        <v>52.0010104491657</v>
      </c>
      <c r="D15" s="43">
        <v>5.94929395445205</v>
      </c>
      <c r="E15" s="43" t="s">
        <v>103</v>
      </c>
      <c r="F15" s="44" t="s">
        <v>780</v>
      </c>
      <c r="G15" s="45" t="s">
        <v>781</v>
      </c>
      <c r="H15" s="46"/>
      <c r="I15" s="11" t="b">
        <v>1</v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1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IFERROR(__xludf.DUMMYFUNCTION("""COMPUTED_VALUE"""),"HtV")</f>
        <v>HtV</v>
      </c>
      <c r="R15" s="49">
        <f>IFERROR(__xludf.DUMMYFUNCTION("""COMPUTED_VALUE"""),7523.0)</f>
        <v>7523</v>
      </c>
      <c r="S15" s="51">
        <v>44088.725100254625</v>
      </c>
      <c r="T15" s="51"/>
      <c r="U15" s="51"/>
      <c r="V15" s="51"/>
      <c r="W15" s="51"/>
      <c r="X15" s="51"/>
      <c r="Y15" s="51"/>
      <c r="Z15" s="51"/>
      <c r="AA15" s="51"/>
      <c r="AB15" s="51"/>
      <c r="AC15" s="51"/>
      <c r="AD15" s="51"/>
    </row>
    <row r="16">
      <c r="A16" s="43">
        <v>2.0</v>
      </c>
      <c r="B16" s="43">
        <v>6.0</v>
      </c>
      <c r="C16" s="43">
        <v>52.001010448935</v>
      </c>
      <c r="D16" s="43">
        <v>5.94952741666418</v>
      </c>
      <c r="E16" s="43" t="s">
        <v>98</v>
      </c>
      <c r="F16" s="44" t="s">
        <v>782</v>
      </c>
      <c r="G16" s="45" t="s">
        <v>783</v>
      </c>
      <c r="H16" s="44"/>
      <c r="I16" s="11" t="b">
        <v>1</v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1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IFERROR(__xludf.DUMMYFUNCTION("""COMPUTED_VALUE"""),"Ronella42")</f>
        <v>Ronella42</v>
      </c>
      <c r="R16" s="49">
        <f>IFERROR(__xludf.DUMMYFUNCTION("""COMPUTED_VALUE"""),196.0)</f>
        <v>196</v>
      </c>
      <c r="S16" s="49"/>
      <c r="T16" s="49"/>
      <c r="U16" s="49"/>
      <c r="V16" s="49"/>
      <c r="W16" s="49"/>
      <c r="X16" s="49"/>
      <c r="Y16" s="49"/>
      <c r="Z16" s="49"/>
      <c r="AA16" s="49"/>
      <c r="AB16" s="49"/>
      <c r="AC16" s="49"/>
      <c r="AD16" s="49"/>
    </row>
    <row r="17">
      <c r="A17" s="43">
        <v>2.0</v>
      </c>
      <c r="B17" s="43">
        <v>7.0</v>
      </c>
      <c r="C17" s="43">
        <v>52.0010104487042</v>
      </c>
      <c r="D17" s="43">
        <v>5.9497608788763</v>
      </c>
      <c r="E17" s="43" t="s">
        <v>98</v>
      </c>
      <c r="F17" s="44" t="s">
        <v>784</v>
      </c>
      <c r="G17" s="45" t="s">
        <v>785</v>
      </c>
      <c r="H17" s="44"/>
      <c r="I17" s="11" t="b">
        <v>1</v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1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IFERROR(__xludf.DUMMYFUNCTION("""COMPUTED_VALUE"""),"Hanry")</f>
        <v>Hanry</v>
      </c>
      <c r="R17" s="49">
        <f>IFERROR(__xludf.DUMMYFUNCTION("""COMPUTED_VALUE"""),1008.0)</f>
        <v>1008</v>
      </c>
      <c r="S17" s="49"/>
      <c r="T17" s="49"/>
      <c r="U17" s="49"/>
      <c r="V17" s="49"/>
      <c r="W17" s="49"/>
      <c r="X17" s="49"/>
      <c r="Y17" s="49"/>
      <c r="Z17" s="49"/>
      <c r="AA17" s="49"/>
      <c r="AB17" s="49"/>
      <c r="AC17" s="49"/>
      <c r="AD17" s="49"/>
    </row>
    <row r="18">
      <c r="A18" s="43">
        <v>3.0</v>
      </c>
      <c r="B18" s="43">
        <v>1.0</v>
      </c>
      <c r="C18" s="43">
        <v>52.0008667196433</v>
      </c>
      <c r="D18" s="43">
        <v>5.94836008611264</v>
      </c>
      <c r="E18" s="43" t="s">
        <v>98</v>
      </c>
      <c r="F18" s="44" t="s">
        <v>786</v>
      </c>
      <c r="G18" s="45" t="s">
        <v>787</v>
      </c>
      <c r="H18" s="46"/>
      <c r="I18" s="11" t="b">
        <v>1</v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1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IFERROR(__xludf.DUMMYFUNCTION("""COMPUTED_VALUE"""),"DutchLibrarian")</f>
        <v>DutchLibrarian</v>
      </c>
      <c r="R18" s="49">
        <f>IFERROR(__xludf.DUMMYFUNCTION("""COMPUTED_VALUE"""),432.0)</f>
        <v>432</v>
      </c>
      <c r="S18" s="49"/>
      <c r="T18" s="49"/>
      <c r="U18" s="49"/>
      <c r="V18" s="49"/>
      <c r="W18" s="49"/>
      <c r="X18" s="49"/>
      <c r="Y18" s="49"/>
      <c r="Z18" s="49"/>
      <c r="AA18" s="49"/>
      <c r="AB18" s="49"/>
      <c r="AC18" s="49"/>
      <c r="AD18" s="49"/>
    </row>
    <row r="19">
      <c r="A19" s="43">
        <v>3.0</v>
      </c>
      <c r="B19" s="43">
        <v>2.0</v>
      </c>
      <c r="C19" s="43">
        <v>52.0008667194125</v>
      </c>
      <c r="D19" s="43">
        <v>5.94859354757511</v>
      </c>
      <c r="E19" s="43" t="s">
        <v>98</v>
      </c>
      <c r="F19" s="44" t="s">
        <v>788</v>
      </c>
      <c r="G19" s="45" t="s">
        <v>789</v>
      </c>
      <c r="H19" s="46"/>
      <c r="I19" s="11" t="b">
        <v>1</v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1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IFERROR(__xludf.DUMMYFUNCTION("""COMPUTED_VALUE"""),"DeNachtwaker")</f>
        <v>DeNachtwaker</v>
      </c>
      <c r="R19" s="49">
        <f>IFERROR(__xludf.DUMMYFUNCTION("""COMPUTED_VALUE"""),5776.0)</f>
        <v>5776</v>
      </c>
      <c r="S19" s="49"/>
      <c r="T19" s="49"/>
      <c r="U19" s="49"/>
      <c r="V19" s="49"/>
      <c r="W19" s="49"/>
      <c r="X19" s="49"/>
      <c r="Y19" s="49"/>
      <c r="Z19" s="49"/>
      <c r="AA19" s="49"/>
      <c r="AB19" s="49"/>
      <c r="AC19" s="49"/>
      <c r="AD19" s="49"/>
    </row>
    <row r="20">
      <c r="A20" s="43">
        <v>3.0</v>
      </c>
      <c r="B20" s="43">
        <v>3.0</v>
      </c>
      <c r="C20" s="43">
        <v>52.0008667191818</v>
      </c>
      <c r="D20" s="43">
        <v>5.94882700903758</v>
      </c>
      <c r="E20" s="43" t="s">
        <v>98</v>
      </c>
      <c r="F20" s="44" t="s">
        <v>790</v>
      </c>
      <c r="G20" s="45" t="s">
        <v>791</v>
      </c>
      <c r="H20" s="46"/>
      <c r="I20" s="11" t="b">
        <v>1</v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1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IFERROR(__xludf.DUMMYFUNCTION("""COMPUTED_VALUE"""),"Skater9468")</f>
        <v>Skater9468</v>
      </c>
      <c r="R20" s="49">
        <f>IFERROR(__xludf.DUMMYFUNCTION("""COMPUTED_VALUE"""),450.0)</f>
        <v>450</v>
      </c>
      <c r="S20" s="49"/>
      <c r="T20" s="49"/>
      <c r="U20" s="49"/>
      <c r="V20" s="49"/>
      <c r="W20" s="49"/>
      <c r="X20" s="49"/>
      <c r="Y20" s="49"/>
      <c r="Z20" s="49"/>
      <c r="AA20" s="49"/>
      <c r="AB20" s="49"/>
      <c r="AC20" s="49"/>
      <c r="AD20" s="49"/>
    </row>
    <row r="21">
      <c r="A21" s="43">
        <v>3.0</v>
      </c>
      <c r="B21" s="43">
        <v>4.0</v>
      </c>
      <c r="C21" s="43">
        <v>52.000866718951</v>
      </c>
      <c r="D21" s="43">
        <v>5.94906047050005</v>
      </c>
      <c r="E21" s="43" t="s">
        <v>98</v>
      </c>
      <c r="F21" s="44" t="s">
        <v>786</v>
      </c>
      <c r="G21" s="45" t="s">
        <v>792</v>
      </c>
      <c r="H21" s="44"/>
      <c r="I21" s="11" t="b">
        <v>1</v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1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IFERROR(__xludf.DUMMYFUNCTION("""COMPUTED_VALUE"""),"DutchLibrarian")</f>
        <v>DutchLibrarian</v>
      </c>
      <c r="R21" s="49">
        <f>IFERROR(__xludf.DUMMYFUNCTION("""COMPUTED_VALUE"""),438.0)</f>
        <v>438</v>
      </c>
      <c r="S21" s="49"/>
      <c r="T21" s="49"/>
      <c r="U21" s="49"/>
      <c r="V21" s="49"/>
      <c r="W21" s="49"/>
      <c r="X21" s="49"/>
      <c r="Y21" s="49"/>
      <c r="Z21" s="49"/>
      <c r="AA21" s="49"/>
      <c r="AB21" s="49"/>
      <c r="AC21" s="49"/>
      <c r="AD21" s="49"/>
    </row>
    <row r="22">
      <c r="A22" s="43">
        <v>3.0</v>
      </c>
      <c r="B22" s="43">
        <v>5.0</v>
      </c>
      <c r="C22" s="43">
        <v>52.0008667187202</v>
      </c>
      <c r="D22" s="43">
        <v>5.94929393196252</v>
      </c>
      <c r="E22" s="43" t="s">
        <v>98</v>
      </c>
      <c r="F22" s="44" t="s">
        <v>793</v>
      </c>
      <c r="G22" s="52" t="s">
        <v>794</v>
      </c>
      <c r="H22" s="46"/>
      <c r="I22" s="11" t="b">
        <v>1</v>
      </c>
      <c r="K22" s="49"/>
      <c r="L22" s="48"/>
      <c r="M22" s="48">
        <f t="shared" si="1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IFERROR(__xludf.DUMMYFUNCTION("""COMPUTED_VALUE"""),"WandelKuub")</f>
        <v>WandelKuub</v>
      </c>
      <c r="R22" s="49">
        <f>IFERROR(__xludf.DUMMYFUNCTION("""COMPUTED_VALUE"""),5693.0)</f>
        <v>5693</v>
      </c>
      <c r="S22" s="49"/>
      <c r="T22" s="49"/>
      <c r="U22" s="49"/>
      <c r="V22" s="49"/>
      <c r="W22" s="49"/>
      <c r="X22" s="49"/>
      <c r="Y22" s="49"/>
      <c r="Z22" s="49"/>
      <c r="AA22" s="49"/>
      <c r="AB22" s="49"/>
      <c r="AC22" s="49"/>
      <c r="AD22" s="49"/>
    </row>
    <row r="23">
      <c r="A23" s="43">
        <v>3.0</v>
      </c>
      <c r="B23" s="43">
        <v>6.0</v>
      </c>
      <c r="C23" s="43">
        <v>52.0008667184895</v>
      </c>
      <c r="D23" s="43">
        <v>5.949527393425</v>
      </c>
      <c r="E23" s="43" t="s">
        <v>98</v>
      </c>
      <c r="F23" s="44" t="s">
        <v>116</v>
      </c>
      <c r="G23" s="45" t="s">
        <v>795</v>
      </c>
      <c r="H23" s="44"/>
      <c r="I23" s="11" t="b">
        <v>1</v>
      </c>
      <c r="K23" s="49"/>
      <c r="L23" s="48"/>
      <c r="M23" s="48">
        <f t="shared" si="1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IFERROR(__xludf.DUMMYFUNCTION("""COMPUTED_VALUE"""),"fsafranek")</f>
        <v>fsafranek</v>
      </c>
      <c r="R23" s="49">
        <f>IFERROR(__xludf.DUMMYFUNCTION("""COMPUTED_VALUE"""),4675.0)</f>
        <v>4675</v>
      </c>
      <c r="S23" s="49"/>
      <c r="T23" s="49"/>
      <c r="U23" s="49"/>
      <c r="V23" s="49"/>
      <c r="W23" s="49"/>
      <c r="X23" s="49"/>
      <c r="Y23" s="49"/>
      <c r="Z23" s="49"/>
      <c r="AA23" s="49"/>
      <c r="AB23" s="49"/>
      <c r="AC23" s="49"/>
      <c r="AD23" s="49"/>
    </row>
    <row r="24">
      <c r="A24" s="43">
        <v>3.0</v>
      </c>
      <c r="B24" s="43">
        <v>7.0</v>
      </c>
      <c r="C24" s="43">
        <v>52.0008667182587</v>
      </c>
      <c r="D24" s="43">
        <v>5.94976085488747</v>
      </c>
      <c r="E24" s="43" t="s">
        <v>98</v>
      </c>
      <c r="F24" s="44" t="s">
        <v>786</v>
      </c>
      <c r="G24" s="45" t="s">
        <v>796</v>
      </c>
      <c r="H24" s="46"/>
      <c r="I24" s="11" t="b">
        <v>1</v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1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IFERROR(__xludf.DUMMYFUNCTION("""COMPUTED_VALUE"""),"DutchLibrarian")</f>
        <v>DutchLibrarian</v>
      </c>
      <c r="R24" s="49">
        <f>IFERROR(__xludf.DUMMYFUNCTION("""COMPUTED_VALUE"""),476.0)</f>
        <v>476</v>
      </c>
      <c r="S24" s="51">
        <v>44094.336328206016</v>
      </c>
      <c r="T24" s="51"/>
      <c r="U24" s="51"/>
      <c r="V24" s="51"/>
      <c r="W24" s="51"/>
      <c r="X24" s="51"/>
      <c r="Y24" s="51"/>
      <c r="Z24" s="51"/>
      <c r="AA24" s="51"/>
      <c r="AB24" s="51"/>
      <c r="AC24" s="51"/>
      <c r="AD24" s="51"/>
    </row>
    <row r="25">
      <c r="A25" s="43">
        <v>3.0</v>
      </c>
      <c r="B25" s="43">
        <v>8.0</v>
      </c>
      <c r="C25" s="43">
        <v>52.000866718028</v>
      </c>
      <c r="D25" s="43">
        <v>5.94999431634994</v>
      </c>
      <c r="E25" s="43" t="s">
        <v>98</v>
      </c>
      <c r="F25" s="44" t="s">
        <v>138</v>
      </c>
      <c r="G25" s="45" t="s">
        <v>797</v>
      </c>
      <c r="H25" s="46"/>
      <c r="I25" s="11" t="b">
        <v>1</v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1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IFERROR(__xludf.DUMMYFUNCTION("""COMPUTED_VALUE"""),"Anetzet")</f>
        <v>Anetzet</v>
      </c>
      <c r="R25" s="49">
        <f>IFERROR(__xludf.DUMMYFUNCTION("""COMPUTED_VALUE"""),3160.0)</f>
        <v>3160</v>
      </c>
      <c r="S25" s="49"/>
      <c r="T25" s="49"/>
      <c r="U25" s="49"/>
      <c r="V25" s="49"/>
      <c r="W25" s="49"/>
      <c r="X25" s="49"/>
      <c r="Y25" s="49"/>
      <c r="Z25" s="49"/>
      <c r="AA25" s="49"/>
      <c r="AB25" s="49"/>
      <c r="AC25" s="49"/>
      <c r="AD25" s="49"/>
    </row>
    <row r="26">
      <c r="A26" s="43">
        <v>4.0</v>
      </c>
      <c r="B26" s="43">
        <v>1.0</v>
      </c>
      <c r="C26" s="43">
        <v>52.0007229891978</v>
      </c>
      <c r="D26" s="43">
        <v>5.94836006662262</v>
      </c>
      <c r="E26" s="43" t="s">
        <v>98</v>
      </c>
      <c r="F26" s="44" t="s">
        <v>798</v>
      </c>
      <c r="G26" s="52" t="s">
        <v>799</v>
      </c>
      <c r="H26" s="46"/>
      <c r="I26" s="11" t="b">
        <v>1</v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1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IFERROR(__xludf.DUMMYFUNCTION("""COMPUTED_VALUE"""),"Theceoiksjes")</f>
        <v>Theceoiksjes</v>
      </c>
      <c r="R26" s="49">
        <f>IFERROR(__xludf.DUMMYFUNCTION("""COMPUTED_VALUE"""),5714.0)</f>
        <v>5714</v>
      </c>
      <c r="S26" s="49"/>
      <c r="T26" s="49"/>
      <c r="U26" s="49"/>
      <c r="V26" s="49"/>
      <c r="W26" s="49"/>
      <c r="X26" s="49"/>
      <c r="Y26" s="49"/>
      <c r="Z26" s="49"/>
      <c r="AA26" s="49"/>
      <c r="AB26" s="49"/>
      <c r="AC26" s="49"/>
      <c r="AD26" s="49"/>
    </row>
    <row r="27">
      <c r="A27" s="43">
        <v>4.0</v>
      </c>
      <c r="B27" s="43">
        <v>2.0</v>
      </c>
      <c r="C27" s="43">
        <v>52.0007229889671</v>
      </c>
      <c r="D27" s="43">
        <v>5.94859352733544</v>
      </c>
      <c r="E27" s="43" t="s">
        <v>103</v>
      </c>
      <c r="F27" s="44" t="s">
        <v>800</v>
      </c>
      <c r="G27" s="45" t="s">
        <v>801</v>
      </c>
      <c r="H27" s="46"/>
      <c r="I27" s="11" t="b">
        <v>1</v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1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IFERROR(__xludf.DUMMYFUNCTION("""COMPUTED_VALUE"""),"Pronkrug")</f>
        <v>Pronkrug</v>
      </c>
      <c r="R27" s="49">
        <f>IFERROR(__xludf.DUMMYFUNCTION("""COMPUTED_VALUE"""),2812.0)</f>
        <v>2812</v>
      </c>
      <c r="S27" s="49"/>
      <c r="T27" s="49"/>
      <c r="U27" s="49"/>
      <c r="V27" s="49"/>
      <c r="W27" s="49"/>
      <c r="X27" s="49"/>
      <c r="Y27" s="49"/>
      <c r="Z27" s="49"/>
      <c r="AA27" s="49"/>
      <c r="AB27" s="49"/>
      <c r="AC27" s="49"/>
      <c r="AD27" s="49"/>
    </row>
    <row r="28">
      <c r="A28" s="43">
        <v>4.0</v>
      </c>
      <c r="B28" s="43">
        <v>3.0</v>
      </c>
      <c r="C28" s="43">
        <v>52.0007229887363</v>
      </c>
      <c r="D28" s="43">
        <v>5.94882698804826</v>
      </c>
      <c r="E28" s="43" t="s">
        <v>98</v>
      </c>
      <c r="F28" s="44" t="s">
        <v>802</v>
      </c>
      <c r="G28" s="45" t="s">
        <v>803</v>
      </c>
      <c r="H28" s="46"/>
      <c r="I28" s="11" t="b">
        <v>1</v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1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IFERROR(__xludf.DUMMYFUNCTION("""COMPUTED_VALUE"""),"cvdchiller")</f>
        <v>cvdchiller</v>
      </c>
      <c r="R28" s="49">
        <f>IFERROR(__xludf.DUMMYFUNCTION("""COMPUTED_VALUE"""),8750.0)</f>
        <v>8750</v>
      </c>
      <c r="S28" s="49"/>
      <c r="T28" s="49"/>
      <c r="U28" s="49"/>
      <c r="V28" s="49"/>
      <c r="W28" s="49"/>
      <c r="X28" s="49"/>
      <c r="Y28" s="49"/>
      <c r="Z28" s="49"/>
      <c r="AA28" s="49"/>
      <c r="AB28" s="49"/>
      <c r="AC28" s="49"/>
      <c r="AD28" s="49"/>
    </row>
    <row r="29">
      <c r="A29" s="43">
        <v>4.0</v>
      </c>
      <c r="B29" s="43">
        <v>4.0</v>
      </c>
      <c r="C29" s="43">
        <v>52.0007229885056</v>
      </c>
      <c r="D29" s="43">
        <v>5.94906044876108</v>
      </c>
      <c r="E29" s="43" t="s">
        <v>98</v>
      </c>
      <c r="F29" s="44" t="s">
        <v>804</v>
      </c>
      <c r="G29" s="45" t="s">
        <v>805</v>
      </c>
      <c r="H29" s="46"/>
      <c r="I29" s="11" t="b">
        <v>1</v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1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IFERROR(__xludf.DUMMYFUNCTION("""COMPUTED_VALUE"""),"Vonney")</f>
        <v>Vonney</v>
      </c>
      <c r="R29" s="49">
        <f>IFERROR(__xludf.DUMMYFUNCTION("""COMPUTED_VALUE"""),2.0)</f>
        <v>2</v>
      </c>
      <c r="S29" s="49"/>
      <c r="T29" s="49"/>
      <c r="U29" s="49"/>
      <c r="V29" s="49"/>
      <c r="W29" s="49"/>
      <c r="X29" s="49"/>
      <c r="Y29" s="49"/>
      <c r="Z29" s="49"/>
      <c r="AA29" s="49"/>
      <c r="AB29" s="49"/>
      <c r="AC29" s="49"/>
      <c r="AD29" s="49"/>
    </row>
    <row r="30">
      <c r="A30" s="43">
        <v>4.0</v>
      </c>
      <c r="B30" s="43">
        <v>5.0</v>
      </c>
      <c r="C30" s="43">
        <v>52.0007229882748</v>
      </c>
      <c r="D30" s="43">
        <v>5.9492939094739</v>
      </c>
      <c r="E30" s="43" t="s">
        <v>98</v>
      </c>
      <c r="F30" s="44" t="s">
        <v>120</v>
      </c>
      <c r="G30" s="45" t="s">
        <v>806</v>
      </c>
      <c r="H30" s="46"/>
      <c r="I30" s="11" t="b">
        <v>1</v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1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IFERROR(__xludf.DUMMYFUNCTION("""COMPUTED_VALUE"""),"xrayneex")</f>
        <v>xrayneex</v>
      </c>
      <c r="R30" s="49">
        <f>IFERROR(__xludf.DUMMYFUNCTION("""COMPUTED_VALUE"""),1555.0)</f>
        <v>1555</v>
      </c>
      <c r="S30" s="49"/>
      <c r="T30" s="49"/>
      <c r="U30" s="49"/>
      <c r="V30" s="49"/>
      <c r="W30" s="49"/>
      <c r="X30" s="49"/>
      <c r="Y30" s="49"/>
      <c r="Z30" s="49"/>
      <c r="AA30" s="49"/>
      <c r="AB30" s="49"/>
      <c r="AC30" s="49"/>
      <c r="AD30" s="49"/>
    </row>
    <row r="31">
      <c r="A31" s="43">
        <v>4.0</v>
      </c>
      <c r="B31" s="43">
        <v>6.0</v>
      </c>
      <c r="C31" s="43">
        <v>52.0007229880441</v>
      </c>
      <c r="D31" s="43">
        <v>5.94952737018672</v>
      </c>
      <c r="E31" s="43" t="s">
        <v>103</v>
      </c>
      <c r="F31" s="44" t="s">
        <v>807</v>
      </c>
      <c r="G31" s="45" t="s">
        <v>808</v>
      </c>
      <c r="H31" s="46"/>
      <c r="I31" s="11" t="b">
        <v>1</v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1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IFERROR(__xludf.DUMMYFUNCTION("""COMPUTED_VALUE"""),"felixbongers")</f>
        <v>felixbongers</v>
      </c>
      <c r="R31" s="49">
        <f>IFERROR(__xludf.DUMMYFUNCTION("""COMPUTED_VALUE"""),7920.0)</f>
        <v>7920</v>
      </c>
      <c r="S31" s="49"/>
      <c r="T31" s="49"/>
      <c r="U31" s="49"/>
      <c r="V31" s="49"/>
      <c r="W31" s="49"/>
      <c r="X31" s="49"/>
      <c r="Y31" s="49"/>
      <c r="Z31" s="49"/>
      <c r="AA31" s="49"/>
      <c r="AB31" s="49"/>
      <c r="AC31" s="49"/>
      <c r="AD31" s="49"/>
    </row>
    <row r="32">
      <c r="A32" s="43">
        <v>4.0</v>
      </c>
      <c r="B32" s="43">
        <v>7.0</v>
      </c>
      <c r="C32" s="43">
        <v>52.0007229878133</v>
      </c>
      <c r="D32" s="43">
        <v>5.94976083089954</v>
      </c>
      <c r="E32" s="43" t="s">
        <v>98</v>
      </c>
      <c r="F32" s="44" t="s">
        <v>809</v>
      </c>
      <c r="G32" s="52" t="s">
        <v>810</v>
      </c>
      <c r="H32" s="46"/>
      <c r="I32" s="11" t="b">
        <v>1</v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1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IFERROR(__xludf.DUMMYFUNCTION("""COMPUTED_VALUE"""),"feikjen")</f>
        <v>feikjen</v>
      </c>
      <c r="R32" s="49">
        <f>IFERROR(__xludf.DUMMYFUNCTION("""COMPUTED_VALUE"""),8006.0)</f>
        <v>8006</v>
      </c>
      <c r="S32" s="49"/>
      <c r="T32" s="49"/>
      <c r="U32" s="49"/>
      <c r="V32" s="49"/>
      <c r="W32" s="49"/>
      <c r="X32" s="49"/>
      <c r="Y32" s="49"/>
      <c r="Z32" s="49"/>
      <c r="AA32" s="49"/>
      <c r="AB32" s="49"/>
      <c r="AC32" s="49"/>
      <c r="AD32" s="49"/>
    </row>
    <row r="33">
      <c r="A33" s="43">
        <v>4.0</v>
      </c>
      <c r="B33" s="43">
        <v>8.0</v>
      </c>
      <c r="C33" s="43">
        <v>52.0007229875826</v>
      </c>
      <c r="D33" s="43">
        <v>5.94999429161237</v>
      </c>
      <c r="E33" s="43" t="s">
        <v>98</v>
      </c>
      <c r="F33" s="44" t="s">
        <v>314</v>
      </c>
      <c r="G33" s="52" t="s">
        <v>811</v>
      </c>
      <c r="H33" s="46"/>
      <c r="I33" s="11" t="b">
        <v>1</v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1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IFERROR(__xludf.DUMMYFUNCTION("""COMPUTED_VALUE"""),"Trappertje")</f>
        <v>Trappertje</v>
      </c>
      <c r="R33" s="49">
        <f>IFERROR(__xludf.DUMMYFUNCTION("""COMPUTED_VALUE"""),5102.0)</f>
        <v>5102</v>
      </c>
      <c r="S33" s="49"/>
      <c r="T33" s="49"/>
      <c r="U33" s="49"/>
      <c r="V33" s="49"/>
      <c r="W33" s="49"/>
      <c r="X33" s="49"/>
      <c r="Y33" s="49"/>
      <c r="Z33" s="49"/>
      <c r="AA33" s="49"/>
      <c r="AB33" s="49"/>
      <c r="AC33" s="49"/>
      <c r="AD33" s="49"/>
    </row>
    <row r="34">
      <c r="A34" s="43">
        <v>5.0</v>
      </c>
      <c r="B34" s="43">
        <v>1.0</v>
      </c>
      <c r="C34" s="43">
        <v>52.0005792587524</v>
      </c>
      <c r="D34" s="43">
        <v>5.94836004713374</v>
      </c>
      <c r="E34" s="43" t="s">
        <v>103</v>
      </c>
      <c r="F34" s="44" t="s">
        <v>812</v>
      </c>
      <c r="G34" s="45" t="s">
        <v>813</v>
      </c>
      <c r="H34" s="46"/>
      <c r="I34" s="11" t="b">
        <v>1</v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1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IFERROR(__xludf.DUMMYFUNCTION("""COMPUTED_VALUE"""),"MrsSourflush")</f>
        <v>MrsSourflush</v>
      </c>
      <c r="R34" s="49">
        <f>IFERROR(__xludf.DUMMYFUNCTION("""COMPUTED_VALUE"""),1468.0)</f>
        <v>1468</v>
      </c>
      <c r="S34" s="49"/>
      <c r="T34" s="49"/>
      <c r="U34" s="49"/>
      <c r="V34" s="49"/>
      <c r="W34" s="49"/>
      <c r="X34" s="49"/>
      <c r="Y34" s="49"/>
      <c r="Z34" s="49"/>
      <c r="AA34" s="49"/>
      <c r="AB34" s="49"/>
      <c r="AC34" s="49"/>
      <c r="AD34" s="49"/>
    </row>
    <row r="35">
      <c r="A35" s="43">
        <v>5.0</v>
      </c>
      <c r="B35" s="43">
        <v>2.0</v>
      </c>
      <c r="C35" s="43">
        <v>52.0005792585217</v>
      </c>
      <c r="D35" s="43">
        <v>5.94859350709703</v>
      </c>
      <c r="E35" s="43" t="s">
        <v>98</v>
      </c>
      <c r="F35" s="44" t="s">
        <v>141</v>
      </c>
      <c r="G35" s="45" t="s">
        <v>814</v>
      </c>
      <c r="H35" s="46"/>
      <c r="I35" s="11" t="b">
        <v>1</v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1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IFERROR(__xludf.DUMMYFUNCTION("""COMPUTED_VALUE"""),2533.0)</f>
        <v>2533</v>
      </c>
      <c r="S35" s="49"/>
      <c r="T35" s="49"/>
      <c r="U35" s="49"/>
      <c r="V35" s="49"/>
      <c r="W35" s="49"/>
      <c r="X35" s="49"/>
      <c r="Y35" s="49"/>
      <c r="Z35" s="49"/>
      <c r="AA35" s="49"/>
      <c r="AB35" s="49"/>
      <c r="AC35" s="49"/>
      <c r="AD35" s="49"/>
    </row>
    <row r="36">
      <c r="A36" s="43">
        <v>5.0</v>
      </c>
      <c r="B36" s="43">
        <v>3.0</v>
      </c>
      <c r="C36" s="43">
        <v>52.0005792582909</v>
      </c>
      <c r="D36" s="43">
        <v>5.94882696706031</v>
      </c>
      <c r="E36" s="43" t="s">
        <v>103</v>
      </c>
      <c r="F36" s="44" t="s">
        <v>815</v>
      </c>
      <c r="G36" s="45" t="s">
        <v>816</v>
      </c>
      <c r="H36" s="46"/>
      <c r="I36" s="11" t="b">
        <v>1</v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1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IFERROR(__xludf.DUMMYFUNCTION("""COMPUTED_VALUE"""),"Rhaegal")</f>
        <v>Rhaegal</v>
      </c>
      <c r="R36" s="49">
        <f>IFERROR(__xludf.DUMMYFUNCTION("""COMPUTED_VALUE"""),7.0)</f>
        <v>7</v>
      </c>
      <c r="S36" s="49"/>
      <c r="T36" s="49"/>
      <c r="U36" s="49"/>
      <c r="V36" s="49"/>
      <c r="W36" s="49"/>
      <c r="X36" s="49"/>
      <c r="Y36" s="49"/>
      <c r="Z36" s="49"/>
      <c r="AA36" s="49"/>
      <c r="AB36" s="49"/>
      <c r="AC36" s="49"/>
      <c r="AD36" s="49"/>
    </row>
    <row r="37">
      <c r="A37" s="43">
        <v>5.0</v>
      </c>
      <c r="B37" s="43">
        <v>4.0</v>
      </c>
      <c r="C37" s="43">
        <v>52.0005792580601</v>
      </c>
      <c r="D37" s="43">
        <v>5.94906042702359</v>
      </c>
      <c r="E37" s="43" t="s">
        <v>98</v>
      </c>
      <c r="F37" s="44" t="s">
        <v>784</v>
      </c>
      <c r="G37" s="45" t="s">
        <v>817</v>
      </c>
      <c r="H37" s="46"/>
      <c r="I37" s="11" t="b">
        <v>1</v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1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IFERROR(__xludf.DUMMYFUNCTION("""COMPUTED_VALUE"""),"Hanry")</f>
        <v>Hanry</v>
      </c>
      <c r="R37" s="49">
        <f>IFERROR(__xludf.DUMMYFUNCTION("""COMPUTED_VALUE"""),1007.0)</f>
        <v>1007</v>
      </c>
      <c r="S37" s="49"/>
      <c r="T37" s="49"/>
      <c r="U37" s="49"/>
      <c r="V37" s="49"/>
      <c r="W37" s="49"/>
      <c r="X37" s="49"/>
      <c r="Y37" s="49"/>
      <c r="Z37" s="49"/>
      <c r="AA37" s="49"/>
      <c r="AB37" s="49"/>
      <c r="AC37" s="49"/>
      <c r="AD37" s="49"/>
    </row>
    <row r="38">
      <c r="A38" s="43">
        <v>5.0</v>
      </c>
      <c r="B38" s="43">
        <v>5.0</v>
      </c>
      <c r="C38" s="43">
        <v>52.0005792578294</v>
      </c>
      <c r="D38" s="43">
        <v>5.94929388698687</v>
      </c>
      <c r="E38" s="43" t="s">
        <v>98</v>
      </c>
      <c r="F38" s="44" t="s">
        <v>812</v>
      </c>
      <c r="G38" s="45" t="s">
        <v>818</v>
      </c>
      <c r="H38" s="46"/>
      <c r="I38" s="11" t="b">
        <v>1</v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1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IFERROR(__xludf.DUMMYFUNCTION("""COMPUTED_VALUE"""),"MrsSourflush")</f>
        <v>MrsSourflush</v>
      </c>
      <c r="R38" s="49">
        <f>IFERROR(__xludf.DUMMYFUNCTION("""COMPUTED_VALUE"""),1465.0)</f>
        <v>1465</v>
      </c>
      <c r="S38" s="49"/>
      <c r="T38" s="49"/>
      <c r="U38" s="49"/>
      <c r="V38" s="49"/>
      <c r="W38" s="49"/>
      <c r="X38" s="49"/>
      <c r="Y38" s="49"/>
      <c r="Z38" s="49"/>
      <c r="AA38" s="49"/>
      <c r="AB38" s="49"/>
      <c r="AC38" s="49"/>
      <c r="AD38" s="49"/>
    </row>
    <row r="39">
      <c r="A39" s="43">
        <v>5.0</v>
      </c>
      <c r="B39" s="43">
        <v>6.0</v>
      </c>
      <c r="C39" s="43">
        <v>52.0005792575986</v>
      </c>
      <c r="D39" s="43">
        <v>5.94952734695016</v>
      </c>
      <c r="E39" s="43" t="s">
        <v>98</v>
      </c>
      <c r="F39" s="44" t="s">
        <v>819</v>
      </c>
      <c r="G39" s="45" t="s">
        <v>820</v>
      </c>
      <c r="H39" s="46"/>
      <c r="I39" s="11" t="b">
        <v>1</v>
      </c>
      <c r="K39" s="49" t="str">
        <f>IFERROR(__xludf.DUMMYFUNCTION("IF(M39=1,IFERROR(IMPORTXML(G39, ""//p[@class='status-date']""), ""Not deployed""),"""")"),"")</f>
        <v/>
      </c>
      <c r="L39" s="48"/>
      <c r="M39" s="48">
        <f t="shared" si="1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IFERROR(__xludf.DUMMYFUNCTION("""COMPUTED_VALUE"""),"MariaHTJ")</f>
        <v>MariaHTJ</v>
      </c>
      <c r="R39" s="49">
        <f>IFERROR(__xludf.DUMMYFUNCTION("""COMPUTED_VALUE"""),8563.0)</f>
        <v>8563</v>
      </c>
      <c r="S39" s="49"/>
      <c r="T39" s="49"/>
      <c r="U39" s="49"/>
      <c r="V39" s="49"/>
      <c r="W39" s="49"/>
      <c r="X39" s="49"/>
      <c r="Y39" s="49"/>
      <c r="Z39" s="49"/>
      <c r="AA39" s="49"/>
      <c r="AB39" s="49"/>
      <c r="AC39" s="49"/>
      <c r="AD39" s="49"/>
    </row>
    <row r="40">
      <c r="A40" s="43">
        <v>5.0</v>
      </c>
      <c r="B40" s="43">
        <v>7.0</v>
      </c>
      <c r="C40" s="43">
        <v>52.0005792573679</v>
      </c>
      <c r="D40" s="43">
        <v>5.94976080691344</v>
      </c>
      <c r="E40" s="43" t="s">
        <v>98</v>
      </c>
      <c r="F40" s="44" t="s">
        <v>821</v>
      </c>
      <c r="G40" s="45" t="s">
        <v>822</v>
      </c>
      <c r="H40" s="44"/>
      <c r="I40" s="11" t="b">
        <v>1</v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1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IFERROR(__xludf.DUMMYFUNCTION("""COMPUTED_VALUE"""),"destolkjes4ever")</f>
        <v>destolkjes4ever</v>
      </c>
      <c r="R40" s="49">
        <f>IFERROR(__xludf.DUMMYFUNCTION("""COMPUTED_VALUE"""),3014.0)</f>
        <v>3014</v>
      </c>
      <c r="S40" s="49"/>
      <c r="T40" s="49"/>
      <c r="U40" s="49"/>
      <c r="V40" s="49"/>
      <c r="W40" s="49"/>
      <c r="X40" s="49"/>
      <c r="Y40" s="49"/>
      <c r="Z40" s="49"/>
      <c r="AA40" s="49"/>
      <c r="AB40" s="49"/>
      <c r="AC40" s="49"/>
      <c r="AD40" s="49"/>
    </row>
    <row r="41">
      <c r="A41" s="43">
        <v>5.0</v>
      </c>
      <c r="B41" s="43">
        <v>8.0</v>
      </c>
      <c r="C41" s="43">
        <v>52.0005792571371</v>
      </c>
      <c r="D41" s="43">
        <v>5.94999426687672</v>
      </c>
      <c r="E41" s="43" t="s">
        <v>98</v>
      </c>
      <c r="F41" s="44" t="s">
        <v>823</v>
      </c>
      <c r="G41" s="45" t="s">
        <v>824</v>
      </c>
      <c r="H41" s="46"/>
      <c r="I41" s="11" t="b">
        <v>1</v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1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IFERROR(__xludf.DUMMYFUNCTION("""COMPUTED_VALUE"""),"denali0407")</f>
        <v>denali0407</v>
      </c>
      <c r="R41" s="49">
        <f>IFERROR(__xludf.DUMMYFUNCTION("""COMPUTED_VALUE"""),15173.0)</f>
        <v>15173</v>
      </c>
      <c r="S41" s="49"/>
      <c r="T41" s="49"/>
      <c r="U41" s="49"/>
      <c r="V41" s="49"/>
      <c r="W41" s="49"/>
      <c r="X41" s="49"/>
      <c r="Y41" s="49"/>
      <c r="Z41" s="49"/>
      <c r="AA41" s="49"/>
      <c r="AB41" s="49"/>
      <c r="AC41" s="49"/>
      <c r="AD41" s="49"/>
    </row>
    <row r="42">
      <c r="A42" s="43">
        <v>6.0</v>
      </c>
      <c r="B42" s="43">
        <v>1.0</v>
      </c>
      <c r="C42" s="43">
        <v>52.0004355283069</v>
      </c>
      <c r="D42" s="43">
        <v>5.94836002764282</v>
      </c>
      <c r="E42" s="43" t="s">
        <v>98</v>
      </c>
      <c r="F42" s="44" t="s">
        <v>825</v>
      </c>
      <c r="G42" s="52" t="s">
        <v>826</v>
      </c>
      <c r="H42" s="46"/>
      <c r="I42" s="11" t="b">
        <v>1</v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1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IFERROR(__xludf.DUMMYFUNCTION("""COMPUTED_VALUE"""),"raftjen")</f>
        <v>raftjen</v>
      </c>
      <c r="R42" s="49">
        <f>IFERROR(__xludf.DUMMYFUNCTION("""COMPUTED_VALUE"""),2350.0)</f>
        <v>2350</v>
      </c>
      <c r="S42" s="49"/>
      <c r="T42" s="49"/>
      <c r="U42" s="49"/>
      <c r="V42" s="49"/>
      <c r="W42" s="49"/>
      <c r="X42" s="49"/>
      <c r="Y42" s="49"/>
      <c r="Z42" s="49"/>
      <c r="AA42" s="49"/>
      <c r="AB42" s="49"/>
      <c r="AC42" s="49"/>
      <c r="AD42" s="49"/>
    </row>
    <row r="43">
      <c r="A43" s="43">
        <v>6.0</v>
      </c>
      <c r="B43" s="43">
        <v>2.0</v>
      </c>
      <c r="C43" s="43">
        <v>52.0004355280762</v>
      </c>
      <c r="D43" s="43">
        <v>5.94859348685645</v>
      </c>
      <c r="E43" s="43" t="s">
        <v>98</v>
      </c>
      <c r="F43" s="44" t="s">
        <v>827</v>
      </c>
      <c r="G43" s="45" t="s">
        <v>828</v>
      </c>
      <c r="H43" s="46"/>
      <c r="I43" s="11" t="b">
        <v>1</v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1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IFERROR(__xludf.DUMMYFUNCTION("""COMPUTED_VALUE"""),"Iphoney")</f>
        <v>Iphoney</v>
      </c>
      <c r="R43" s="49">
        <f>IFERROR(__xludf.DUMMYFUNCTION("""COMPUTED_VALUE"""),7.0)</f>
        <v>7</v>
      </c>
      <c r="S43" s="49"/>
      <c r="T43" s="49"/>
      <c r="U43" s="49"/>
      <c r="V43" s="49"/>
      <c r="W43" s="49"/>
      <c r="X43" s="49"/>
      <c r="Y43" s="49"/>
      <c r="Z43" s="49"/>
      <c r="AA43" s="49"/>
      <c r="AB43" s="49"/>
      <c r="AC43" s="49"/>
      <c r="AD43" s="49"/>
    </row>
    <row r="44">
      <c r="A44" s="43">
        <v>6.0</v>
      </c>
      <c r="B44" s="43">
        <v>3.0</v>
      </c>
      <c r="C44" s="43">
        <v>52.0004355278454</v>
      </c>
      <c r="D44" s="43">
        <v>5.94882694607008</v>
      </c>
      <c r="E44" s="43" t="s">
        <v>103</v>
      </c>
      <c r="F44" s="44" t="s">
        <v>829</v>
      </c>
      <c r="G44" s="45" t="s">
        <v>830</v>
      </c>
      <c r="H44" s="46"/>
      <c r="I44" s="11" t="b">
        <v>1</v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1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IFERROR(__xludf.DUMMYFUNCTION("""COMPUTED_VALUE"""),"roughdraft")</f>
        <v>roughdraft</v>
      </c>
      <c r="R44" s="49">
        <f>IFERROR(__xludf.DUMMYFUNCTION("""COMPUTED_VALUE"""),8948.0)</f>
        <v>8948</v>
      </c>
      <c r="S44" s="49"/>
      <c r="T44" s="49"/>
      <c r="U44" s="49"/>
      <c r="V44" s="49"/>
      <c r="W44" s="49"/>
      <c r="X44" s="49"/>
      <c r="Y44" s="49"/>
      <c r="Z44" s="49"/>
      <c r="AA44" s="49"/>
      <c r="AB44" s="49"/>
      <c r="AC44" s="49"/>
      <c r="AD44" s="49"/>
    </row>
    <row r="45">
      <c r="A45" s="43">
        <v>6.0</v>
      </c>
      <c r="B45" s="43">
        <v>4.0</v>
      </c>
      <c r="C45" s="43">
        <v>52.0004355276147</v>
      </c>
      <c r="D45" s="43">
        <v>5.94906040528371</v>
      </c>
      <c r="E45" s="43" t="s">
        <v>98</v>
      </c>
      <c r="F45" s="44" t="s">
        <v>831</v>
      </c>
      <c r="G45" s="45" t="s">
        <v>832</v>
      </c>
      <c r="H45" s="46"/>
      <c r="I45" s="11" t="b">
        <v>1</v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1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IFERROR(__xludf.DUMMYFUNCTION("""COMPUTED_VALUE"""),"vadotech")</f>
        <v>vadotech</v>
      </c>
      <c r="R45" s="49">
        <f>IFERROR(__xludf.DUMMYFUNCTION("""COMPUTED_VALUE"""),8542.0)</f>
        <v>8542</v>
      </c>
      <c r="S45" s="49"/>
      <c r="T45" s="49"/>
      <c r="U45" s="49"/>
      <c r="V45" s="49"/>
      <c r="W45" s="49"/>
      <c r="X45" s="49"/>
      <c r="Y45" s="49"/>
      <c r="Z45" s="49"/>
      <c r="AA45" s="49"/>
      <c r="AB45" s="49"/>
      <c r="AC45" s="49"/>
      <c r="AD45" s="49"/>
    </row>
    <row r="46">
      <c r="A46" s="43">
        <v>6.0</v>
      </c>
      <c r="B46" s="43">
        <v>5.0</v>
      </c>
      <c r="C46" s="43">
        <v>52.0004355273839</v>
      </c>
      <c r="D46" s="43">
        <v>5.94929386449734</v>
      </c>
      <c r="E46" s="43" t="s">
        <v>98</v>
      </c>
      <c r="F46" s="44" t="s">
        <v>833</v>
      </c>
      <c r="G46" s="45" t="s">
        <v>834</v>
      </c>
      <c r="H46" s="46"/>
      <c r="I46" s="11" t="b">
        <v>1</v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1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IFERROR(__xludf.DUMMYFUNCTION("""COMPUTED_VALUE"""),"Pamster13")</f>
        <v>Pamster13</v>
      </c>
      <c r="R46" s="49">
        <f>IFERROR(__xludf.DUMMYFUNCTION("""COMPUTED_VALUE"""),4135.0)</f>
        <v>4135</v>
      </c>
      <c r="S46" s="49"/>
      <c r="T46" s="49"/>
      <c r="U46" s="49"/>
      <c r="V46" s="49"/>
      <c r="W46" s="49"/>
      <c r="X46" s="49"/>
      <c r="Y46" s="49"/>
      <c r="Z46" s="49"/>
      <c r="AA46" s="49"/>
      <c r="AB46" s="49"/>
      <c r="AC46" s="49"/>
      <c r="AD46" s="49"/>
    </row>
    <row r="47">
      <c r="A47" s="43">
        <v>6.0</v>
      </c>
      <c r="B47" s="43">
        <v>6.0</v>
      </c>
      <c r="C47" s="43">
        <v>52.0004355271532</v>
      </c>
      <c r="D47" s="43">
        <v>5.94952732371098</v>
      </c>
      <c r="E47" s="43" t="s">
        <v>103</v>
      </c>
      <c r="F47" s="44" t="s">
        <v>835</v>
      </c>
      <c r="G47" s="45" t="s">
        <v>836</v>
      </c>
      <c r="H47" s="46"/>
      <c r="I47" s="11" t="b">
        <v>1</v>
      </c>
      <c r="K47" s="49" t="str">
        <f>IFERROR(__xludf.DUMMYFUNCTION("IF(M47=1,IFERROR(IMPORTXML(G47, ""//p[@class='status-date']""), ""Not deployed""),"""")"),"")</f>
        <v/>
      </c>
      <c r="L47" s="48"/>
      <c r="M47" s="48">
        <f t="shared" si="1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IFERROR(__xludf.DUMMYFUNCTION("""COMPUTED_VALUE"""),"Lusifeerus")</f>
        <v>Lusifeerus</v>
      </c>
      <c r="R47" s="49">
        <f>IFERROR(__xludf.DUMMYFUNCTION("""COMPUTED_VALUE"""),1074.0)</f>
        <v>1074</v>
      </c>
      <c r="S47" s="49"/>
      <c r="T47" s="49"/>
      <c r="U47" s="49"/>
      <c r="V47" s="49"/>
      <c r="W47" s="49"/>
      <c r="X47" s="49"/>
      <c r="Y47" s="49"/>
      <c r="Z47" s="49"/>
      <c r="AA47" s="49"/>
      <c r="AB47" s="49"/>
      <c r="AC47" s="49"/>
      <c r="AD47" s="49"/>
    </row>
    <row r="48">
      <c r="A48" s="43">
        <v>6.0</v>
      </c>
      <c r="B48" s="43">
        <v>7.0</v>
      </c>
      <c r="C48" s="43">
        <v>52.0004355269224</v>
      </c>
      <c r="D48" s="43">
        <v>5.94976078292461</v>
      </c>
      <c r="E48" s="43" t="s">
        <v>98</v>
      </c>
      <c r="F48" s="44" t="s">
        <v>145</v>
      </c>
      <c r="G48" s="52" t="s">
        <v>837</v>
      </c>
      <c r="H48" s="46"/>
      <c r="I48" s="11" t="b">
        <v>1</v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1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IFERROR(__xludf.DUMMYFUNCTION("""COMPUTED_VALUE"""),4155.0)</f>
        <v>4155</v>
      </c>
      <c r="S48" s="51">
        <v>44109.871232708334</v>
      </c>
      <c r="T48" s="51"/>
      <c r="U48" s="51"/>
      <c r="V48" s="51"/>
      <c r="W48" s="51"/>
      <c r="X48" s="51"/>
      <c r="Y48" s="51"/>
      <c r="Z48" s="51"/>
      <c r="AA48" s="51"/>
      <c r="AB48" s="51"/>
      <c r="AC48" s="51"/>
      <c r="AD48" s="51"/>
    </row>
    <row r="49">
      <c r="A49" s="43">
        <v>6.0</v>
      </c>
      <c r="B49" s="43">
        <v>8.0</v>
      </c>
      <c r="C49" s="43">
        <v>52.0004355266917</v>
      </c>
      <c r="D49" s="43">
        <v>5.94999424213824</v>
      </c>
      <c r="E49" s="43" t="s">
        <v>98</v>
      </c>
      <c r="F49" s="44" t="s">
        <v>147</v>
      </c>
      <c r="G49" s="52" t="s">
        <v>838</v>
      </c>
      <c r="H49" s="46"/>
      <c r="I49" s="11" t="b">
        <v>1</v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1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IFERROR(__xludf.DUMMYFUNCTION("""COMPUTED_VALUE"""),7023.0)</f>
        <v>7023</v>
      </c>
      <c r="S49" s="51">
        <v>44109.8714057176</v>
      </c>
      <c r="T49" s="51"/>
      <c r="U49" s="51"/>
      <c r="V49" s="51"/>
      <c r="W49" s="51"/>
      <c r="X49" s="51"/>
      <c r="Y49" s="51"/>
      <c r="Z49" s="51"/>
      <c r="AA49" s="51"/>
      <c r="AB49" s="51"/>
      <c r="AC49" s="51"/>
      <c r="AD49" s="51"/>
    </row>
    <row r="50">
      <c r="A50" s="43">
        <v>7.0</v>
      </c>
      <c r="B50" s="43">
        <v>2.0</v>
      </c>
      <c r="C50" s="43">
        <v>52.0002917976307</v>
      </c>
      <c r="D50" s="43">
        <v>5.94859346661587</v>
      </c>
      <c r="E50" s="43" t="s">
        <v>103</v>
      </c>
      <c r="F50" s="44" t="s">
        <v>243</v>
      </c>
      <c r="G50" s="45" t="s">
        <v>839</v>
      </c>
      <c r="H50" s="46"/>
      <c r="I50" s="11" t="b">
        <v>1</v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1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IFERROR(__xludf.DUMMYFUNCTION("""COMPUTED_VALUE"""),"Aniara")</f>
        <v>Aniara</v>
      </c>
      <c r="R50" s="49">
        <f>IFERROR(__xludf.DUMMYFUNCTION("""COMPUTED_VALUE"""),6961.0)</f>
        <v>6961</v>
      </c>
      <c r="S50" s="49"/>
      <c r="T50" s="49"/>
      <c r="U50" s="49"/>
      <c r="V50" s="49"/>
      <c r="W50" s="49"/>
      <c r="X50" s="49"/>
      <c r="Y50" s="49"/>
      <c r="Z50" s="49"/>
      <c r="AA50" s="49"/>
      <c r="AB50" s="49"/>
      <c r="AC50" s="49"/>
      <c r="AD50" s="49"/>
    </row>
    <row r="51">
      <c r="A51" s="43">
        <v>7.0</v>
      </c>
      <c r="B51" s="43">
        <v>3.0</v>
      </c>
      <c r="C51" s="43">
        <v>52.0002917974</v>
      </c>
      <c r="D51" s="43">
        <v>5.94882692507985</v>
      </c>
      <c r="E51" s="43" t="s">
        <v>98</v>
      </c>
      <c r="F51" s="44" t="s">
        <v>840</v>
      </c>
      <c r="G51" s="45" t="s">
        <v>841</v>
      </c>
      <c r="H51" s="46"/>
      <c r="I51" s="11" t="b">
        <v>1</v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1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IFERROR(__xludf.DUMMYFUNCTION("""COMPUTED_VALUE"""),"Human01d")</f>
        <v>Human01d</v>
      </c>
      <c r="R51" s="49">
        <f>IFERROR(__xludf.DUMMYFUNCTION("""COMPUTED_VALUE"""),4071.0)</f>
        <v>4071</v>
      </c>
      <c r="S51" s="49"/>
      <c r="T51" s="49"/>
      <c r="U51" s="49"/>
      <c r="V51" s="49"/>
      <c r="W51" s="49"/>
      <c r="X51" s="49"/>
      <c r="Y51" s="49"/>
      <c r="Z51" s="49"/>
      <c r="AA51" s="49"/>
      <c r="AB51" s="49"/>
      <c r="AC51" s="49"/>
      <c r="AD51" s="49"/>
    </row>
    <row r="52">
      <c r="A52" s="43">
        <v>7.0</v>
      </c>
      <c r="B52" s="43">
        <v>4.0</v>
      </c>
      <c r="C52" s="43">
        <v>52.0002917971692</v>
      </c>
      <c r="D52" s="43">
        <v>5.94906038354383</v>
      </c>
      <c r="E52" s="43" t="s">
        <v>98</v>
      </c>
      <c r="F52" s="44" t="s">
        <v>842</v>
      </c>
      <c r="G52" s="52" t="s">
        <v>843</v>
      </c>
      <c r="H52" s="46"/>
      <c r="I52" s="11" t="b">
        <v>1</v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1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IFERROR(__xludf.DUMMYFUNCTION("""COMPUTED_VALUE"""),"lostsole68")</f>
        <v>lostsole68</v>
      </c>
      <c r="R52" s="49">
        <f>IFERROR(__xludf.DUMMYFUNCTION("""COMPUTED_VALUE"""),3922.0)</f>
        <v>3922</v>
      </c>
      <c r="S52" s="49"/>
      <c r="T52" s="49"/>
      <c r="U52" s="49"/>
      <c r="V52" s="49"/>
      <c r="W52" s="49"/>
      <c r="X52" s="49"/>
      <c r="Y52" s="49"/>
      <c r="Z52" s="49"/>
      <c r="AA52" s="49"/>
      <c r="AB52" s="49"/>
      <c r="AC52" s="49"/>
      <c r="AD52" s="49"/>
    </row>
    <row r="53">
      <c r="A53" s="43">
        <v>7.0</v>
      </c>
      <c r="B53" s="43">
        <v>5.0</v>
      </c>
      <c r="C53" s="43">
        <v>52.0002917969385</v>
      </c>
      <c r="D53" s="43">
        <v>5.94929384200781</v>
      </c>
      <c r="E53" s="43" t="s">
        <v>98</v>
      </c>
      <c r="F53" s="44" t="s">
        <v>844</v>
      </c>
      <c r="G53" s="45" t="s">
        <v>845</v>
      </c>
      <c r="H53" s="46"/>
      <c r="I53" s="11" t="b">
        <v>1</v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1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IFERROR(__xludf.DUMMYFUNCTION("""COMPUTED_VALUE"""),"Liekensboys")</f>
        <v>Liekensboys</v>
      </c>
      <c r="R53" s="49">
        <f>IFERROR(__xludf.DUMMYFUNCTION("""COMPUTED_VALUE"""),98.0)</f>
        <v>98</v>
      </c>
      <c r="S53" s="49"/>
      <c r="T53" s="49"/>
      <c r="U53" s="49"/>
      <c r="V53" s="49"/>
      <c r="W53" s="49"/>
      <c r="X53" s="49"/>
      <c r="Y53" s="49"/>
      <c r="Z53" s="49"/>
      <c r="AA53" s="49"/>
      <c r="AB53" s="49"/>
      <c r="AC53" s="49"/>
      <c r="AD53" s="49"/>
    </row>
    <row r="54">
      <c r="A54" s="43">
        <v>7.0</v>
      </c>
      <c r="B54" s="43">
        <v>6.0</v>
      </c>
      <c r="C54" s="43">
        <v>52.0002917967077</v>
      </c>
      <c r="D54" s="43">
        <v>5.9495273004718</v>
      </c>
      <c r="E54" s="43" t="s">
        <v>98</v>
      </c>
      <c r="F54" s="44" t="s">
        <v>314</v>
      </c>
      <c r="G54" s="45" t="s">
        <v>846</v>
      </c>
      <c r="H54" s="46"/>
      <c r="I54" s="11" t="b">
        <v>1</v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1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IFERROR(__xludf.DUMMYFUNCTION("""COMPUTED_VALUE"""),"Trappertje")</f>
        <v>Trappertje</v>
      </c>
      <c r="R54" s="49">
        <f>IFERROR(__xludf.DUMMYFUNCTION("""COMPUTED_VALUE"""),5107.0)</f>
        <v>5107</v>
      </c>
      <c r="S54" s="49"/>
      <c r="T54" s="49"/>
      <c r="U54" s="49"/>
      <c r="V54" s="49"/>
      <c r="W54" s="49"/>
      <c r="X54" s="49"/>
      <c r="Y54" s="49"/>
      <c r="Z54" s="49"/>
      <c r="AA54" s="49"/>
      <c r="AB54" s="49"/>
      <c r="AC54" s="49"/>
      <c r="AD54" s="49"/>
    </row>
    <row r="55">
      <c r="A55" s="43">
        <v>7.0</v>
      </c>
      <c r="B55" s="43">
        <v>7.0</v>
      </c>
      <c r="C55" s="43">
        <v>52.000291796477</v>
      </c>
      <c r="D55" s="43">
        <v>5.94976075893578</v>
      </c>
      <c r="E55" s="43" t="s">
        <v>98</v>
      </c>
      <c r="F55" s="44" t="s">
        <v>847</v>
      </c>
      <c r="G55" s="45" t="s">
        <v>848</v>
      </c>
      <c r="H55" s="46"/>
      <c r="I55" s="11" t="b">
        <v>1</v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1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IFERROR(__xludf.DUMMYFUNCTION("""COMPUTED_VALUE"""),"ChudleighTraveller")</f>
        <v>ChudleighTraveller</v>
      </c>
      <c r="R55" s="49">
        <f>IFERROR(__xludf.DUMMYFUNCTION("""COMPUTED_VALUE"""),1183.0)</f>
        <v>1183</v>
      </c>
      <c r="S55" s="49"/>
      <c r="T55" s="49"/>
      <c r="U55" s="49"/>
      <c r="V55" s="49"/>
      <c r="W55" s="49"/>
      <c r="X55" s="49"/>
      <c r="Y55" s="49"/>
      <c r="Z55" s="49"/>
      <c r="AA55" s="49"/>
      <c r="AB55" s="49"/>
      <c r="AC55" s="49"/>
      <c r="AD55" s="49"/>
    </row>
    <row r="56">
      <c r="A56" s="43">
        <v>8.0</v>
      </c>
      <c r="B56" s="43">
        <v>3.0</v>
      </c>
      <c r="C56" s="43">
        <v>52.0001480669545</v>
      </c>
      <c r="D56" s="43">
        <v>5.94882690409281</v>
      </c>
      <c r="E56" s="43" t="s">
        <v>98</v>
      </c>
      <c r="F56" s="44" t="s">
        <v>849</v>
      </c>
      <c r="G56" s="45" t="s">
        <v>850</v>
      </c>
      <c r="H56" s="46"/>
      <c r="I56" s="11" t="b">
        <v>1</v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1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IFERROR(__xludf.DUMMYFUNCTION("""COMPUTED_VALUE"""),"does")</f>
        <v>does</v>
      </c>
      <c r="R56" s="49">
        <f>IFERROR(__xludf.DUMMYFUNCTION("""COMPUTED_VALUE"""),677.0)</f>
        <v>677</v>
      </c>
      <c r="S56" s="51">
        <v>44088.68883747685</v>
      </c>
      <c r="T56" s="51"/>
      <c r="U56" s="51"/>
      <c r="V56" s="51"/>
      <c r="W56" s="51"/>
      <c r="X56" s="51"/>
      <c r="Y56" s="51"/>
      <c r="Z56" s="51"/>
      <c r="AA56" s="51"/>
      <c r="AB56" s="51"/>
      <c r="AC56" s="51"/>
      <c r="AD56" s="51"/>
    </row>
    <row r="57">
      <c r="A57" s="43">
        <v>8.0</v>
      </c>
      <c r="B57" s="43">
        <v>4.0</v>
      </c>
      <c r="C57" s="43">
        <v>52.0001480667238</v>
      </c>
      <c r="D57" s="43">
        <v>5.94906036180725</v>
      </c>
      <c r="E57" s="43" t="s">
        <v>103</v>
      </c>
      <c r="F57" s="44" t="s">
        <v>812</v>
      </c>
      <c r="G57" s="45" t="s">
        <v>851</v>
      </c>
      <c r="H57" s="46"/>
      <c r="I57" s="11" t="b">
        <v>1</v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1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IFERROR(__xludf.DUMMYFUNCTION("""COMPUTED_VALUE"""),"MrsSourflush")</f>
        <v>MrsSourflush</v>
      </c>
      <c r="R57" s="49">
        <f>IFERROR(__xludf.DUMMYFUNCTION("""COMPUTED_VALUE"""),1463.0)</f>
        <v>1463</v>
      </c>
      <c r="S57" s="49"/>
      <c r="T57" s="49"/>
      <c r="U57" s="49"/>
      <c r="V57" s="49"/>
      <c r="W57" s="49"/>
      <c r="X57" s="49"/>
      <c r="Y57" s="49"/>
      <c r="Z57" s="49"/>
      <c r="AA57" s="49"/>
      <c r="AB57" s="49"/>
      <c r="AC57" s="49"/>
      <c r="AD57" s="49"/>
    </row>
    <row r="58">
      <c r="A58" s="43">
        <v>8.0</v>
      </c>
      <c r="B58" s="43">
        <v>5.0</v>
      </c>
      <c r="C58" s="43">
        <v>52.000148066493</v>
      </c>
      <c r="D58" s="43">
        <v>5.94929381952169</v>
      </c>
      <c r="E58" s="43" t="s">
        <v>103</v>
      </c>
      <c r="F58" s="44" t="s">
        <v>852</v>
      </c>
      <c r="G58" s="45" t="s">
        <v>853</v>
      </c>
      <c r="H58" s="46"/>
      <c r="I58" s="11" t="b">
        <v>1</v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1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IFERROR(__xludf.DUMMYFUNCTION("""COMPUTED_VALUE"""),"NikitaStolk")</f>
        <v>NikitaStolk</v>
      </c>
      <c r="R58" s="49">
        <f>IFERROR(__xludf.DUMMYFUNCTION("""COMPUTED_VALUE"""),1053.0)</f>
        <v>1053</v>
      </c>
      <c r="S58" s="49"/>
      <c r="T58" s="49"/>
      <c r="U58" s="49"/>
      <c r="V58" s="49"/>
      <c r="W58" s="49"/>
      <c r="X58" s="49"/>
      <c r="Y58" s="49"/>
      <c r="Z58" s="49"/>
      <c r="AA58" s="49"/>
      <c r="AB58" s="49"/>
      <c r="AC58" s="49"/>
      <c r="AD58" s="49"/>
    </row>
    <row r="59">
      <c r="A59" s="43">
        <v>8.0</v>
      </c>
      <c r="B59" s="43">
        <v>6.0</v>
      </c>
      <c r="C59" s="43">
        <v>52.0001480662623</v>
      </c>
      <c r="D59" s="43">
        <v>5.94952727723614</v>
      </c>
      <c r="E59" s="43" t="s">
        <v>98</v>
      </c>
      <c r="F59" s="44" t="s">
        <v>854</v>
      </c>
      <c r="G59" s="52" t="s">
        <v>855</v>
      </c>
      <c r="H59" s="46"/>
      <c r="I59" s="11" t="b">
        <v>1</v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1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IFERROR(__xludf.DUMMYFUNCTION("""COMPUTED_VALUE"""),"blutengel")</f>
        <v>blutengel</v>
      </c>
      <c r="R59" s="49">
        <f>IFERROR(__xludf.DUMMYFUNCTION("""COMPUTED_VALUE"""),3010.0)</f>
        <v>3010</v>
      </c>
      <c r="S59" s="51">
        <v>44109.889550023145</v>
      </c>
      <c r="T59" s="51"/>
      <c r="U59" s="51"/>
      <c r="V59" s="51"/>
      <c r="W59" s="51"/>
      <c r="X59" s="51"/>
      <c r="Y59" s="51"/>
      <c r="Z59" s="51"/>
      <c r="AA59" s="51"/>
      <c r="AB59" s="51"/>
      <c r="AC59" s="51"/>
      <c r="AD59" s="51"/>
    </row>
    <row r="61" hidden="1">
      <c r="F61" s="47">
        <f t="shared" ref="F61:G61" si="2">COUNTIF(F8:F59,"")</f>
        <v>0</v>
      </c>
      <c r="G61" s="47">
        <f t="shared" si="2"/>
        <v>0</v>
      </c>
      <c r="I61" s="47">
        <f>COUNTIF(I8:I59,TRUE)</f>
        <v>52</v>
      </c>
    </row>
    <row r="62" hidden="1"/>
  </sheetData>
  <mergeCells count="4">
    <mergeCell ref="B1:C1"/>
    <mergeCell ref="I2:I3"/>
    <mergeCell ref="A3:D5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9.88"/>
    <col customWidth="1" min="2" max="2" width="10.63"/>
    <col customWidth="1" min="3" max="3" width="14.63"/>
    <col customWidth="1" min="4" max="4" width="14.38"/>
    <col customWidth="1" min="5" max="5" width="19.38"/>
    <col customWidth="1" min="6" max="6" width="17.13"/>
    <col customWidth="1" min="7" max="7" width="38.75"/>
    <col customWidth="1" min="8" max="8" width="13.7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31</v>
      </c>
      <c r="D1" s="37" t="s">
        <v>78</v>
      </c>
      <c r="E1" s="2" t="s">
        <v>79</v>
      </c>
      <c r="F1" s="24" t="s">
        <v>80</v>
      </c>
      <c r="G1" s="24" t="s">
        <v>81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83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1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22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29</v>
      </c>
      <c r="G5" s="39">
        <f>F5/52</f>
        <v>0.5576923077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51.2058545599961</v>
      </c>
      <c r="D8" s="43">
        <v>-1.47379944793681</v>
      </c>
      <c r="E8" s="43" t="s">
        <v>98</v>
      </c>
      <c r="F8" s="44" t="s">
        <v>99</v>
      </c>
      <c r="G8" s="45" t="s">
        <v>100</v>
      </c>
      <c r="H8" s="46"/>
      <c r="I8" s="11" t="b">
        <v>1</v>
      </c>
      <c r="J8" s="47" t="str">
        <f t="shared" ref="J8:J11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15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IFERROR(__xludf.DUMMYFUNCTION("""COMPUTED_VALUE"""),"raunas")</f>
        <v>raunas</v>
      </c>
      <c r="R8" s="49">
        <f>IFERROR(__xludf.DUMMYFUNCTION("""COMPUTED_VALUE"""),13089.0)</f>
        <v>13089</v>
      </c>
      <c r="S8" s="51">
        <v>44749.24705711806</v>
      </c>
    </row>
    <row r="9">
      <c r="A9" s="43">
        <v>1.0</v>
      </c>
      <c r="B9" s="43">
        <v>4.0</v>
      </c>
      <c r="C9" s="43">
        <v>51.2058545597718</v>
      </c>
      <c r="D9" s="43">
        <v>-1.47357003867955</v>
      </c>
      <c r="E9" s="43" t="s">
        <v>98</v>
      </c>
      <c r="F9" s="44" t="s">
        <v>101</v>
      </c>
      <c r="G9" s="45" t="s">
        <v>102</v>
      </c>
      <c r="H9" s="46"/>
      <c r="I9" s="11" t="b">
        <v>1</v>
      </c>
      <c r="J9" s="47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IFERROR(__xludf.DUMMYFUNCTION("""COMPUTED_VALUE"""),6363.0)</f>
        <v>6363</v>
      </c>
      <c r="S9" s="51">
        <v>44357.52966876158</v>
      </c>
    </row>
    <row r="10">
      <c r="A10" s="43">
        <v>1.0</v>
      </c>
      <c r="B10" s="43">
        <v>5.0</v>
      </c>
      <c r="C10" s="43">
        <v>51.2058545595476</v>
      </c>
      <c r="D10" s="43">
        <v>-1.47334062942229</v>
      </c>
      <c r="E10" s="43" t="s">
        <v>103</v>
      </c>
      <c r="F10" s="44" t="s">
        <v>104</v>
      </c>
      <c r="G10" s="45" t="s">
        <v>105</v>
      </c>
      <c r="H10" s="46"/>
      <c r="I10" s="11" t="b">
        <v>1</v>
      </c>
      <c r="J10" s="47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IFERROR(__xludf.DUMMYFUNCTION("""COMPUTED_VALUE"""),4389.0)</f>
        <v>4389</v>
      </c>
      <c r="S10" s="51">
        <v>44357.52970287037</v>
      </c>
    </row>
    <row r="11">
      <c r="A11" s="43">
        <v>1.0</v>
      </c>
      <c r="B11" s="43">
        <v>6.0</v>
      </c>
      <c r="C11" s="43">
        <v>51.2058545593233</v>
      </c>
      <c r="D11" s="43">
        <v>-1.47311122016503</v>
      </c>
      <c r="E11" s="43" t="s">
        <v>103</v>
      </c>
      <c r="F11" s="44" t="s">
        <v>106</v>
      </c>
      <c r="G11" s="45" t="s">
        <v>107</v>
      </c>
      <c r="H11" s="46"/>
      <c r="I11" s="11" t="b">
        <v>1</v>
      </c>
      <c r="J11" s="47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IFERROR(__xludf.DUMMYFUNCTION("""COMPUTED_VALUE"""),5025.0)</f>
        <v>5025</v>
      </c>
      <c r="S11" s="51">
        <v>44357.52973409722</v>
      </c>
    </row>
    <row r="12">
      <c r="A12" s="43">
        <v>2.0</v>
      </c>
      <c r="B12" s="43">
        <v>2.0</v>
      </c>
      <c r="C12" s="43">
        <v>51.205710829775</v>
      </c>
      <c r="D12" s="43">
        <v>-1.4740288765231</v>
      </c>
      <c r="E12" s="43" t="s">
        <v>98</v>
      </c>
      <c r="F12" s="44" t="s">
        <v>108</v>
      </c>
      <c r="G12" s="45" t="s">
        <v>109</v>
      </c>
      <c r="H12" s="44"/>
      <c r="I12" s="11" t="b">
        <v>1</v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IFERROR(__xludf.DUMMYFUNCTION("""COMPUTED_VALUE"""),"Bungle")</f>
        <v>Bungle</v>
      </c>
      <c r="R12" s="49">
        <f>IFERROR(__xludf.DUMMYFUNCTION("""COMPUTED_VALUE"""),10527.0)</f>
        <v>10527</v>
      </c>
      <c r="S12" s="51">
        <v>44357.52978096065</v>
      </c>
    </row>
    <row r="13">
      <c r="A13" s="43">
        <v>2.0</v>
      </c>
      <c r="B13" s="43">
        <v>3.0</v>
      </c>
      <c r="C13" s="43">
        <v>51.2057108295507</v>
      </c>
      <c r="D13" s="43">
        <v>-1.47379946798173</v>
      </c>
      <c r="E13" s="43" t="s">
        <v>98</v>
      </c>
      <c r="F13" s="44" t="s">
        <v>110</v>
      </c>
      <c r="G13" s="52" t="s">
        <v>111</v>
      </c>
      <c r="H13" s="46"/>
      <c r="I13" s="11" t="b">
        <v>1</v>
      </c>
      <c r="J13" s="47" t="str">
        <f t="shared" ref="J13:J15" si="3">if(I13=true,"",S13)</f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IFERROR(__xludf.DUMMYFUNCTION("""COMPUTED_VALUE"""),"BrotherWilliam")</f>
        <v>BrotherWilliam</v>
      </c>
      <c r="R13" s="49">
        <f>IFERROR(__xludf.DUMMYFUNCTION("""COMPUTED_VALUE"""),5400.0)</f>
        <v>5400</v>
      </c>
      <c r="S13" s="49"/>
    </row>
    <row r="14">
      <c r="A14" s="43">
        <v>2.0</v>
      </c>
      <c r="B14" s="43">
        <v>4.0</v>
      </c>
      <c r="C14" s="43">
        <v>51.2057108293265</v>
      </c>
      <c r="D14" s="43">
        <v>-1.47357005944036</v>
      </c>
      <c r="E14" s="43" t="s">
        <v>98</v>
      </c>
      <c r="F14" s="44" t="s">
        <v>112</v>
      </c>
      <c r="G14" s="45" t="s">
        <v>113</v>
      </c>
      <c r="H14" s="46"/>
      <c r="I14" s="11" t="b">
        <v>1</v>
      </c>
      <c r="J14" s="47" t="str">
        <f t="shared" si="3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IFERROR(__xludf.DUMMYFUNCTION("""COMPUTED_VALUE"""),"ArtofEco")</f>
        <v>ArtofEco</v>
      </c>
      <c r="R14" s="49">
        <f>IFERROR(__xludf.DUMMYFUNCTION("""COMPUTED_VALUE"""),3680.0)</f>
        <v>3680</v>
      </c>
      <c r="S14" s="49"/>
    </row>
    <row r="15">
      <c r="A15" s="43">
        <v>2.0</v>
      </c>
      <c r="B15" s="43">
        <v>5.0</v>
      </c>
      <c r="C15" s="43">
        <v>51.2057108291022</v>
      </c>
      <c r="D15" s="43">
        <v>-1.47334065089899</v>
      </c>
      <c r="E15" s="43" t="s">
        <v>103</v>
      </c>
      <c r="F15" s="44" t="s">
        <v>114</v>
      </c>
      <c r="G15" s="45" t="s">
        <v>115</v>
      </c>
      <c r="H15" s="46"/>
      <c r="I15" s="11" t="b">
        <v>1</v>
      </c>
      <c r="J15" s="47" t="str">
        <f t="shared" si="3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IFERROR(__xludf.DUMMYFUNCTION("""COMPUTED_VALUE"""),"J1Huisman")</f>
        <v>J1Huisman</v>
      </c>
      <c r="R15" s="49">
        <f>IFERROR(__xludf.DUMMYFUNCTION("""COMPUTED_VALUE"""),13460.0)</f>
        <v>13460</v>
      </c>
      <c r="S15" s="49"/>
    </row>
    <row r="16">
      <c r="A16" s="43">
        <v>2.0</v>
      </c>
      <c r="B16" s="43">
        <v>6.0</v>
      </c>
      <c r="C16" s="43">
        <v>51.2057108288779</v>
      </c>
      <c r="D16" s="43">
        <v>-1.47311124235761</v>
      </c>
      <c r="E16" s="43" t="s">
        <v>98</v>
      </c>
      <c r="F16" s="44" t="s">
        <v>116</v>
      </c>
      <c r="G16" s="45" t="s">
        <v>117</v>
      </c>
      <c r="H16" s="46"/>
      <c r="I16" s="11" t="b">
        <v>1</v>
      </c>
      <c r="J16" s="53"/>
      <c r="K16" s="48" t="str">
        <f>IFERROR(__xludf.DUMMYFUNCTION("IF(M16=1,IFERROR(TRIM(IMPORTXML(G16, ""//p[@class='status-date']"")), ""Not deployed""),"""")"),"")</f>
        <v/>
      </c>
      <c r="L16" s="48"/>
      <c r="M16" s="48">
        <f>if(I16=TRUE,2,IF(ISTEXT(#REF!),1,0))</f>
        <v>2</v>
      </c>
      <c r="N16" s="49" t="str">
        <f>IFERROR(__xludf.DUMMYFUNCTION("split(#REF!,""/"")"),"#REF!")</f>
        <v>#REF!</v>
      </c>
      <c r="O16" s="50"/>
      <c r="P16" s="49"/>
      <c r="Q16" s="49"/>
      <c r="R16" s="49"/>
      <c r="S16" s="49"/>
    </row>
    <row r="17">
      <c r="A17" s="43">
        <v>2.0</v>
      </c>
      <c r="B17" s="43">
        <v>7.0</v>
      </c>
      <c r="C17" s="43">
        <v>51.2057108286536</v>
      </c>
      <c r="D17" s="43">
        <v>-1.47288183381624</v>
      </c>
      <c r="E17" s="43" t="s">
        <v>98</v>
      </c>
      <c r="F17" s="44" t="s">
        <v>118</v>
      </c>
      <c r="G17" s="54" t="s">
        <v>119</v>
      </c>
      <c r="H17" s="46"/>
      <c r="I17" s="11" t="b">
        <v>1</v>
      </c>
      <c r="J17" s="47" t="str">
        <f t="shared" ref="J17:J18" si="4">if(I17=true,"",S17)</f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>if(I17=TRUE,2,IF(ISTEXT(G16),1,0))</f>
        <v>2</v>
      </c>
      <c r="N17" s="49" t="str">
        <f>IFERROR(__xludf.DUMMYFUNCTION("split(G16,""/"")"),"https:")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IFERROR(__xludf.DUMMYFUNCTION("""COMPUTED_VALUE"""),"fsafranek")</f>
        <v>fsafranek</v>
      </c>
      <c r="R17" s="49">
        <f>IFERROR(__xludf.DUMMYFUNCTION("""COMPUTED_VALUE"""),5478.0)</f>
        <v>5478</v>
      </c>
      <c r="S17" s="49"/>
    </row>
    <row r="18">
      <c r="A18" s="43">
        <v>3.0</v>
      </c>
      <c r="B18" s="43">
        <v>1.0</v>
      </c>
      <c r="C18" s="43">
        <v>51.2055670995538</v>
      </c>
      <c r="D18" s="43">
        <v>-1.47425830368024</v>
      </c>
      <c r="E18" s="43" t="s">
        <v>98</v>
      </c>
      <c r="F18" s="44" t="s">
        <v>120</v>
      </c>
      <c r="G18" s="45" t="s">
        <v>121</v>
      </c>
      <c r="H18" s="46"/>
      <c r="I18" s="11" t="b">
        <v>1</v>
      </c>
      <c r="J18" s="47" t="str">
        <f t="shared" si="4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ref="M18:M59" si="5">if(I18=TRUE,2,IF(ISTEXT(G18),1,0))</f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IFERROR(__xludf.DUMMYFUNCTION("""COMPUTED_VALUE"""),"xrayneex")</f>
        <v>xrayneex</v>
      </c>
      <c r="R18" s="49">
        <f>IFERROR(__xludf.DUMMYFUNCTION("""COMPUTED_VALUE"""),2323.0)</f>
        <v>2323</v>
      </c>
      <c r="S18" s="49"/>
    </row>
    <row r="19">
      <c r="A19" s="43">
        <v>3.0</v>
      </c>
      <c r="B19" s="43">
        <v>2.0</v>
      </c>
      <c r="C19" s="43">
        <v>51.2055670993295</v>
      </c>
      <c r="D19" s="43">
        <v>-1.47402889585487</v>
      </c>
      <c r="E19" s="43" t="s">
        <v>98</v>
      </c>
      <c r="F19" s="44" t="s">
        <v>122</v>
      </c>
      <c r="G19" s="45" t="s">
        <v>123</v>
      </c>
      <c r="H19" s="46"/>
      <c r="I19" s="11" t="b">
        <v>1</v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5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IFERROR(__xludf.DUMMYFUNCTION("""COMPUTED_VALUE"""),"Drazoria")</f>
        <v>Drazoria</v>
      </c>
      <c r="R19" s="49">
        <f>IFERROR(__xludf.DUMMYFUNCTION("""COMPUTED_VALUE"""),1651.0)</f>
        <v>1651</v>
      </c>
      <c r="S19" s="51">
        <v>44368.4110302662</v>
      </c>
    </row>
    <row r="20">
      <c r="A20" s="43">
        <v>3.0</v>
      </c>
      <c r="B20" s="43">
        <v>3.0</v>
      </c>
      <c r="C20" s="43">
        <v>51.2055670991053</v>
      </c>
      <c r="D20" s="43">
        <v>-1.47379948802949</v>
      </c>
      <c r="E20" s="43" t="s">
        <v>98</v>
      </c>
      <c r="F20" s="44" t="s">
        <v>124</v>
      </c>
      <c r="G20" s="45" t="s">
        <v>125</v>
      </c>
      <c r="H20" s="46"/>
      <c r="I20" s="11" t="b">
        <v>1</v>
      </c>
      <c r="J20" s="47" t="str">
        <f t="shared" ref="J20:J24" si="6">if(I20=true,"",S20)</f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5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IFERROR(__xludf.DUMMYFUNCTION("""COMPUTED_VALUE"""),"Tinake1309")</f>
        <v>Tinake1309</v>
      </c>
      <c r="R20" s="49">
        <f>IFERROR(__xludf.DUMMYFUNCTION("""COMPUTED_VALUE"""),1614.0)</f>
        <v>1614</v>
      </c>
      <c r="S20" s="49"/>
    </row>
    <row r="21">
      <c r="A21" s="43">
        <v>3.0</v>
      </c>
      <c r="B21" s="43">
        <v>4.0</v>
      </c>
      <c r="C21" s="43">
        <v>51.205567098881</v>
      </c>
      <c r="D21" s="43">
        <v>-1.47357008020412</v>
      </c>
      <c r="E21" s="43" t="s">
        <v>98</v>
      </c>
      <c r="F21" s="44" t="s">
        <v>126</v>
      </c>
      <c r="G21" s="45" t="s">
        <v>127</v>
      </c>
      <c r="H21" s="46"/>
      <c r="I21" s="11" t="b">
        <v>1</v>
      </c>
      <c r="J21" s="47" t="str">
        <f t="shared" si="6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5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IFERROR(__xludf.DUMMYFUNCTION("""COMPUTED_VALUE"""),"Berg14")</f>
        <v>Berg14</v>
      </c>
      <c r="R21" s="49">
        <f>IFERROR(__xludf.DUMMYFUNCTION("""COMPUTED_VALUE"""),1522.0)</f>
        <v>1522</v>
      </c>
      <c r="S21" s="49"/>
    </row>
    <row r="22">
      <c r="A22" s="43">
        <v>3.0</v>
      </c>
      <c r="B22" s="43">
        <v>5.0</v>
      </c>
      <c r="C22" s="43">
        <v>51.2055670986567</v>
      </c>
      <c r="D22" s="43">
        <v>-1.47334067237875</v>
      </c>
      <c r="E22" s="43" t="s">
        <v>98</v>
      </c>
      <c r="F22" s="44" t="s">
        <v>128</v>
      </c>
      <c r="G22" s="45" t="s">
        <v>129</v>
      </c>
      <c r="H22" s="46"/>
      <c r="I22" s="11" t="b">
        <v>1</v>
      </c>
      <c r="J22" s="47" t="str">
        <f t="shared" si="6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5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IFERROR(__xludf.DUMMYFUNCTION("""COMPUTED_VALUE"""),"Niks13")</f>
        <v>Niks13</v>
      </c>
      <c r="R22" s="49">
        <f>IFERROR(__xludf.DUMMYFUNCTION("""COMPUTED_VALUE"""),1478.0)</f>
        <v>1478</v>
      </c>
      <c r="S22" s="49"/>
    </row>
    <row r="23">
      <c r="A23" s="43">
        <v>3.0</v>
      </c>
      <c r="B23" s="43">
        <v>6.0</v>
      </c>
      <c r="C23" s="43">
        <v>51.2055670984324</v>
      </c>
      <c r="D23" s="43">
        <v>-1.47311126455338</v>
      </c>
      <c r="E23" s="43" t="s">
        <v>98</v>
      </c>
      <c r="F23" s="44" t="s">
        <v>130</v>
      </c>
      <c r="G23" s="45" t="s">
        <v>131</v>
      </c>
      <c r="H23" s="46"/>
      <c r="I23" s="11" t="b">
        <v>1</v>
      </c>
      <c r="J23" s="47" t="str">
        <f t="shared" si="6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5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IFERROR(__xludf.DUMMYFUNCTION("""COMPUTED_VALUE"""),"lupo6")</f>
        <v>lupo6</v>
      </c>
      <c r="R23" s="49">
        <f>IFERROR(__xludf.DUMMYFUNCTION("""COMPUTED_VALUE"""),6723.0)</f>
        <v>6723</v>
      </c>
      <c r="S23" s="49"/>
    </row>
    <row r="24">
      <c r="A24" s="43">
        <v>3.0</v>
      </c>
      <c r="B24" s="43">
        <v>7.0</v>
      </c>
      <c r="C24" s="43">
        <v>51.2055670982082</v>
      </c>
      <c r="D24" s="43">
        <v>-1.472881856728</v>
      </c>
      <c r="E24" s="43" t="s">
        <v>98</v>
      </c>
      <c r="F24" s="44" t="s">
        <v>132</v>
      </c>
      <c r="G24" s="45" t="s">
        <v>133</v>
      </c>
      <c r="H24" s="46"/>
      <c r="I24" s="11" t="b">
        <v>1</v>
      </c>
      <c r="J24" s="47" t="str">
        <f t="shared" si="6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5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IFERROR(__xludf.DUMMYFUNCTION("""COMPUTED_VALUE"""),"crscousins")</f>
        <v>crscousins</v>
      </c>
      <c r="R24" s="49">
        <f>IFERROR(__xludf.DUMMYFUNCTION("""COMPUTED_VALUE"""),4089.0)</f>
        <v>4089</v>
      </c>
      <c r="S24" s="49"/>
    </row>
    <row r="25">
      <c r="A25" s="55">
        <v>3.0</v>
      </c>
      <c r="B25" s="55">
        <v>8.0</v>
      </c>
      <c r="C25" s="55">
        <v>51.2055670979839</v>
      </c>
      <c r="D25" s="55">
        <v>-1.47265244890263</v>
      </c>
      <c r="E25" s="55" t="s">
        <v>98</v>
      </c>
      <c r="F25" s="44"/>
      <c r="G25" s="56"/>
      <c r="H25" s="46"/>
      <c r="I25" s="47" t="b">
        <v>0</v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5"/>
        <v>0</v>
      </c>
      <c r="N25" s="49" t="str">
        <f>IFERROR(__xludf.DUMMYFUNCTION("split(G25,""/"")"),"#VALUE!")</f>
        <v>#VALUE!</v>
      </c>
      <c r="O25" s="57"/>
      <c r="P25" s="49"/>
      <c r="Q25" s="49"/>
      <c r="R25" s="49"/>
      <c r="S25" s="51">
        <v>44698.605357685185</v>
      </c>
    </row>
    <row r="26">
      <c r="A26" s="43">
        <v>4.0</v>
      </c>
      <c r="B26" s="43">
        <v>1.0</v>
      </c>
      <c r="C26" s="43">
        <v>51.2054233691084</v>
      </c>
      <c r="D26" s="43">
        <v>-1.47425832229203</v>
      </c>
      <c r="E26" s="43" t="s">
        <v>98</v>
      </c>
      <c r="F26" s="44" t="s">
        <v>134</v>
      </c>
      <c r="G26" s="45" t="s">
        <v>135</v>
      </c>
      <c r="H26" s="46"/>
      <c r="I26" s="11" t="b">
        <v>1</v>
      </c>
      <c r="J26" s="47" t="str">
        <f t="shared" ref="J26:J28" si="7">if(I26=true,"",S26)</f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5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IFERROR(__xludf.DUMMYFUNCTION("""COMPUTED_VALUE"""),"Wangotango")</f>
        <v>Wangotango</v>
      </c>
      <c r="R26" s="49">
        <f>IFERROR(__xludf.DUMMYFUNCTION("""COMPUTED_VALUE"""),1377.0)</f>
        <v>1377</v>
      </c>
      <c r="S26" s="49"/>
    </row>
    <row r="27">
      <c r="A27" s="43">
        <v>4.0</v>
      </c>
      <c r="B27" s="43">
        <v>2.0</v>
      </c>
      <c r="C27" s="43">
        <v>51.2054233688842</v>
      </c>
      <c r="D27" s="43">
        <v>-1.47402891518254</v>
      </c>
      <c r="E27" s="43" t="s">
        <v>103</v>
      </c>
      <c r="F27" s="44" t="s">
        <v>136</v>
      </c>
      <c r="G27" s="45" t="s">
        <v>137</v>
      </c>
      <c r="H27" s="46"/>
      <c r="I27" s="11" t="b">
        <v>1</v>
      </c>
      <c r="J27" s="47" t="str">
        <f t="shared" si="7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5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IFERROR(__xludf.DUMMYFUNCTION("""COMPUTED_VALUE"""),"OdinsFiRe")</f>
        <v>OdinsFiRe</v>
      </c>
      <c r="R27" s="49">
        <f>IFERROR(__xludf.DUMMYFUNCTION("""COMPUTED_VALUE"""),2089.0)</f>
        <v>2089</v>
      </c>
      <c r="S27" s="49"/>
    </row>
    <row r="28">
      <c r="A28" s="55">
        <v>4.0</v>
      </c>
      <c r="B28" s="55">
        <v>3.0</v>
      </c>
      <c r="C28" s="55">
        <v>51.2054233686599</v>
      </c>
      <c r="D28" s="55">
        <v>-1.47379950807305</v>
      </c>
      <c r="E28" s="55" t="s">
        <v>98</v>
      </c>
      <c r="F28" s="46"/>
      <c r="G28" s="46"/>
      <c r="H28" s="46"/>
      <c r="I28" s="47" t="b">
        <v>0</v>
      </c>
      <c r="J28" s="47" t="str">
        <f t="shared" si="7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5"/>
        <v>0</v>
      </c>
      <c r="N28" s="49" t="str">
        <f>IFERROR(__xludf.DUMMYFUNCTION("split(G28,""/"")"),"#VALUE!")</f>
        <v>#VALUE!</v>
      </c>
      <c r="O28" s="50"/>
      <c r="P28" s="49"/>
      <c r="Q28" s="49"/>
      <c r="R28" s="49"/>
      <c r="S28" s="49"/>
    </row>
    <row r="29">
      <c r="A29" s="43">
        <v>4.0</v>
      </c>
      <c r="B29" s="43">
        <v>4.0</v>
      </c>
      <c r="C29" s="43">
        <v>51.2054233684356</v>
      </c>
      <c r="D29" s="43">
        <v>-1.47357010096357</v>
      </c>
      <c r="E29" s="43" t="s">
        <v>98</v>
      </c>
      <c r="F29" s="44" t="s">
        <v>138</v>
      </c>
      <c r="G29" s="45" t="s">
        <v>139</v>
      </c>
      <c r="H29" s="46"/>
      <c r="I29" s="11" t="b">
        <v>1</v>
      </c>
      <c r="J29" s="53"/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5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IFERROR(__xludf.DUMMYFUNCTION("""COMPUTED_VALUE"""),4843.0)</f>
        <v>4843</v>
      </c>
      <c r="S29" s="49"/>
    </row>
    <row r="30">
      <c r="A30" s="55">
        <v>4.0</v>
      </c>
      <c r="B30" s="55">
        <v>5.0</v>
      </c>
      <c r="C30" s="55">
        <v>51.2054233682114</v>
      </c>
      <c r="D30" s="55">
        <v>-1.47334069385408</v>
      </c>
      <c r="E30" s="55" t="s">
        <v>98</v>
      </c>
      <c r="F30" s="46"/>
      <c r="G30" s="46"/>
      <c r="H30" s="46"/>
      <c r="I30" s="11" t="b">
        <v>0</v>
      </c>
      <c r="J30" s="47" t="str">
        <f t="shared" ref="J30:J57" si="8">if(I30=true,"",S30)</f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5"/>
        <v>0</v>
      </c>
      <c r="N30" s="49" t="str">
        <f>IFERROR(__xludf.DUMMYFUNCTION("split(G30,""/"")"),"#VALUE!")</f>
        <v>#VALUE!</v>
      </c>
      <c r="O30" s="50"/>
      <c r="P30" s="49"/>
      <c r="Q30" s="49"/>
      <c r="R30" s="49"/>
      <c r="S30" s="49"/>
    </row>
    <row r="31">
      <c r="A31" s="55">
        <v>4.0</v>
      </c>
      <c r="B31" s="55">
        <v>6.0</v>
      </c>
      <c r="C31" s="55">
        <v>51.2054233679871</v>
      </c>
      <c r="D31" s="55">
        <v>-1.47311128674459</v>
      </c>
      <c r="E31" s="55" t="s">
        <v>103</v>
      </c>
      <c r="F31" s="44" t="s">
        <v>140</v>
      </c>
      <c r="G31" s="46"/>
      <c r="H31" s="46"/>
      <c r="I31" s="47" t="b">
        <v>0</v>
      </c>
      <c r="J31" s="47" t="str">
        <f t="shared" si="8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5"/>
        <v>0</v>
      </c>
      <c r="N31" s="49" t="str">
        <f>IFERROR(__xludf.DUMMYFUNCTION("split(G31,""/"")"),"#VALUE!")</f>
        <v>#VALUE!</v>
      </c>
      <c r="O31" s="50"/>
      <c r="P31" s="49"/>
      <c r="Q31" s="49"/>
      <c r="R31" s="49"/>
      <c r="S31" s="49"/>
    </row>
    <row r="32">
      <c r="A32" s="55">
        <v>4.0</v>
      </c>
      <c r="B32" s="55">
        <v>7.0</v>
      </c>
      <c r="C32" s="55">
        <v>51.2054233677628</v>
      </c>
      <c r="D32" s="55">
        <v>-1.47288187963511</v>
      </c>
      <c r="E32" s="55" t="s">
        <v>98</v>
      </c>
      <c r="F32" s="46"/>
      <c r="G32" s="46"/>
      <c r="H32" s="46"/>
      <c r="I32" s="47" t="b">
        <v>0</v>
      </c>
      <c r="J32" s="47" t="str">
        <f t="shared" si="8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5"/>
        <v>0</v>
      </c>
      <c r="N32" s="49" t="str">
        <f>IFERROR(__xludf.DUMMYFUNCTION("split(G32,""/"")"),"#VALUE!")</f>
        <v>#VALUE!</v>
      </c>
      <c r="O32" s="50"/>
      <c r="P32" s="49"/>
      <c r="Q32" s="49"/>
      <c r="R32" s="49"/>
      <c r="S32" s="49"/>
    </row>
    <row r="33">
      <c r="A33" s="55">
        <v>4.0</v>
      </c>
      <c r="B33" s="55">
        <v>8.0</v>
      </c>
      <c r="C33" s="55">
        <v>51.2054233675386</v>
      </c>
      <c r="D33" s="55">
        <v>-1.47265247252562</v>
      </c>
      <c r="E33" s="55" t="s">
        <v>98</v>
      </c>
      <c r="F33" s="46"/>
      <c r="G33" s="46"/>
      <c r="H33" s="46"/>
      <c r="I33" s="47" t="b">
        <v>0</v>
      </c>
      <c r="J33" s="47" t="str">
        <f t="shared" si="8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5"/>
        <v>0</v>
      </c>
      <c r="N33" s="49" t="str">
        <f>IFERROR(__xludf.DUMMYFUNCTION("split(G33,""/"")"),"#VALUE!")</f>
        <v>#VALUE!</v>
      </c>
      <c r="O33" s="50"/>
      <c r="P33" s="49"/>
      <c r="Q33" s="49"/>
      <c r="R33" s="49"/>
      <c r="S33" s="49"/>
    </row>
    <row r="34">
      <c r="A34" s="55">
        <v>5.0</v>
      </c>
      <c r="B34" s="55">
        <v>1.0</v>
      </c>
      <c r="C34" s="55">
        <v>51.2052796386629</v>
      </c>
      <c r="D34" s="55">
        <v>-1.47425834090631</v>
      </c>
      <c r="E34" s="55" t="s">
        <v>103</v>
      </c>
      <c r="F34" s="46"/>
      <c r="G34" s="46"/>
      <c r="H34" s="46"/>
      <c r="I34" s="47" t="b">
        <v>0</v>
      </c>
      <c r="J34" s="47" t="str">
        <f t="shared" si="8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5"/>
        <v>0</v>
      </c>
      <c r="N34" s="49" t="str">
        <f>IFERROR(__xludf.DUMMYFUNCTION("split(G34,""/"")"),"#VALUE!")</f>
        <v>#VALUE!</v>
      </c>
      <c r="O34" s="50"/>
      <c r="P34" s="49"/>
      <c r="Q34" s="49"/>
      <c r="R34" s="49"/>
      <c r="S34" s="49"/>
    </row>
    <row r="35">
      <c r="A35" s="43">
        <v>5.0</v>
      </c>
      <c r="B35" s="43">
        <v>2.0</v>
      </c>
      <c r="C35" s="43">
        <v>51.2052796384386</v>
      </c>
      <c r="D35" s="43">
        <v>-1.47402893451271</v>
      </c>
      <c r="E35" s="43" t="s">
        <v>98</v>
      </c>
      <c r="F35" s="44" t="s">
        <v>141</v>
      </c>
      <c r="G35" s="45" t="s">
        <v>142</v>
      </c>
      <c r="H35" s="46"/>
      <c r="I35" s="11" t="b">
        <v>1</v>
      </c>
      <c r="J35" s="47" t="str">
        <f t="shared" si="8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5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IFERROR(__xludf.DUMMYFUNCTION("""COMPUTED_VALUE"""),3781.0)</f>
        <v>3781</v>
      </c>
      <c r="S35" s="49"/>
    </row>
    <row r="36">
      <c r="A36" s="55">
        <v>5.0</v>
      </c>
      <c r="B36" s="55">
        <v>3.0</v>
      </c>
      <c r="C36" s="55">
        <v>51.2052796382144</v>
      </c>
      <c r="D36" s="55">
        <v>-1.47379952811911</v>
      </c>
      <c r="E36" s="55" t="s">
        <v>103</v>
      </c>
      <c r="F36" s="46"/>
      <c r="G36" s="46"/>
      <c r="H36" s="46"/>
      <c r="I36" s="47" t="b">
        <v>0</v>
      </c>
      <c r="J36" s="47" t="str">
        <f t="shared" si="8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5"/>
        <v>0</v>
      </c>
      <c r="N36" s="49" t="str">
        <f>IFERROR(__xludf.DUMMYFUNCTION("split(G36,""/"")"),"#VALUE!")</f>
        <v>#VALUE!</v>
      </c>
      <c r="O36" s="50"/>
      <c r="P36" s="49"/>
      <c r="Q36" s="49"/>
      <c r="R36" s="49"/>
      <c r="S36" s="49"/>
    </row>
    <row r="37">
      <c r="A37" s="55">
        <v>5.0</v>
      </c>
      <c r="B37" s="55">
        <v>4.0</v>
      </c>
      <c r="C37" s="55">
        <v>51.2052796379901</v>
      </c>
      <c r="D37" s="55">
        <v>-1.47357012172551</v>
      </c>
      <c r="E37" s="55" t="s">
        <v>98</v>
      </c>
      <c r="F37" s="46"/>
      <c r="G37" s="46"/>
      <c r="H37" s="46"/>
      <c r="I37" s="47" t="b">
        <v>0</v>
      </c>
      <c r="J37" s="47" t="str">
        <f t="shared" si="8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5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43">
        <v>5.0</v>
      </c>
      <c r="B38" s="43">
        <v>5.0</v>
      </c>
      <c r="C38" s="43">
        <v>51.2052796377658</v>
      </c>
      <c r="D38" s="43">
        <v>-1.47334071533191</v>
      </c>
      <c r="E38" s="43" t="s">
        <v>98</v>
      </c>
      <c r="F38" s="44" t="s">
        <v>143</v>
      </c>
      <c r="G38" s="52" t="s">
        <v>144</v>
      </c>
      <c r="H38" s="46"/>
      <c r="I38" s="11" t="b">
        <v>1</v>
      </c>
      <c r="J38" s="47" t="str">
        <f t="shared" si="8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5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IFERROR(__xludf.DUMMYFUNCTION("""COMPUTED_VALUE"""),"CzPeet")</f>
        <v>CzPeet</v>
      </c>
      <c r="R38" s="49">
        <f>IFERROR(__xludf.DUMMYFUNCTION("""COMPUTED_VALUE"""),6724.0)</f>
        <v>6724</v>
      </c>
      <c r="S38" s="49"/>
    </row>
    <row r="39">
      <c r="A39" s="55">
        <v>5.0</v>
      </c>
      <c r="B39" s="55">
        <v>6.0</v>
      </c>
      <c r="C39" s="55">
        <v>51.2052796375415</v>
      </c>
      <c r="D39" s="55">
        <v>-1.47311130893831</v>
      </c>
      <c r="E39" s="55" t="s">
        <v>98</v>
      </c>
      <c r="F39" s="46"/>
      <c r="G39" s="46"/>
      <c r="H39" s="46"/>
      <c r="I39" s="47" t="b">
        <v>0</v>
      </c>
      <c r="J39" s="47" t="str">
        <f t="shared" si="8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5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49"/>
    </row>
    <row r="40">
      <c r="A40" s="43">
        <v>5.0</v>
      </c>
      <c r="B40" s="43">
        <v>7.0</v>
      </c>
      <c r="C40" s="43">
        <v>51.2052796373173</v>
      </c>
      <c r="D40" s="43">
        <v>-1.47288190254471</v>
      </c>
      <c r="E40" s="43" t="s">
        <v>98</v>
      </c>
      <c r="F40" s="44" t="s">
        <v>145</v>
      </c>
      <c r="G40" s="45" t="s">
        <v>146</v>
      </c>
      <c r="H40" s="46"/>
      <c r="I40" s="11" t="b">
        <v>1</v>
      </c>
      <c r="J40" s="47" t="str">
        <f t="shared" si="8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5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IFERROR(__xludf.DUMMYFUNCTION("""COMPUTED_VALUE"""),"TheFrog")</f>
        <v>TheFrog</v>
      </c>
      <c r="R40" s="49">
        <f>IFERROR(__xludf.DUMMYFUNCTION("""COMPUTED_VALUE"""),6341.0)</f>
        <v>6341</v>
      </c>
      <c r="S40" s="51">
        <v>44357.52985201389</v>
      </c>
    </row>
    <row r="41">
      <c r="A41" s="43">
        <v>5.0</v>
      </c>
      <c r="B41" s="43">
        <v>8.0</v>
      </c>
      <c r="C41" s="43">
        <v>51.205279637093</v>
      </c>
      <c r="D41" s="43">
        <v>-1.47265249615111</v>
      </c>
      <c r="E41" s="43" t="s">
        <v>98</v>
      </c>
      <c r="F41" s="44" t="s">
        <v>147</v>
      </c>
      <c r="G41" s="52" t="s">
        <v>148</v>
      </c>
      <c r="H41" s="46"/>
      <c r="I41" s="11" t="b">
        <v>1</v>
      </c>
      <c r="J41" s="47" t="str">
        <f t="shared" si="8"/>
        <v/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5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IFERROR(__xludf.DUMMYFUNCTION("""COMPUTED_VALUE"""),"123xilef")</f>
        <v>123xilef</v>
      </c>
      <c r="R41" s="49">
        <f>IFERROR(__xludf.DUMMYFUNCTION("""COMPUTED_VALUE"""),13729.0)</f>
        <v>13729</v>
      </c>
      <c r="S41" s="51">
        <v>44357.52988618056</v>
      </c>
    </row>
    <row r="42">
      <c r="A42" s="43">
        <v>6.0</v>
      </c>
      <c r="B42" s="43">
        <v>1.0</v>
      </c>
      <c r="C42" s="43">
        <v>51.2051359082175</v>
      </c>
      <c r="D42" s="43">
        <v>-1.47425835951889</v>
      </c>
      <c r="E42" s="43" t="s">
        <v>98</v>
      </c>
      <c r="F42" s="44" t="s">
        <v>149</v>
      </c>
      <c r="G42" s="45" t="s">
        <v>150</v>
      </c>
      <c r="H42" s="46"/>
      <c r="I42" s="11" t="b">
        <v>1</v>
      </c>
      <c r="J42" s="47" t="str">
        <f t="shared" si="8"/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5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IFERROR(__xludf.DUMMYFUNCTION("""COMPUTED_VALUE"""),7027.0)</f>
        <v>7027</v>
      </c>
      <c r="S42" s="49"/>
    </row>
    <row r="43">
      <c r="A43" s="55">
        <v>6.0</v>
      </c>
      <c r="B43" s="55">
        <v>2.0</v>
      </c>
      <c r="C43" s="55">
        <v>51.2051359079932</v>
      </c>
      <c r="D43" s="55">
        <v>-1.47402895384118</v>
      </c>
      <c r="E43" s="55" t="s">
        <v>98</v>
      </c>
      <c r="F43" s="44"/>
      <c r="G43" s="46"/>
      <c r="H43" s="46"/>
      <c r="I43" s="47" t="b">
        <v>0</v>
      </c>
      <c r="J43" s="58">
        <f t="shared" si="8"/>
        <v>44934.67606</v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5"/>
        <v>0</v>
      </c>
      <c r="N43" s="49" t="str">
        <f>IFERROR(__xludf.DUMMYFUNCTION("split(G43,""/"")"),"#VALUE!")</f>
        <v>#VALUE!</v>
      </c>
      <c r="O43" s="50"/>
      <c r="P43" s="49"/>
      <c r="Q43" s="49"/>
      <c r="R43" s="49"/>
      <c r="S43" s="51">
        <v>44934.67606082176</v>
      </c>
    </row>
    <row r="44">
      <c r="A44" s="55">
        <v>6.0</v>
      </c>
      <c r="B44" s="55">
        <v>3.0</v>
      </c>
      <c r="C44" s="55">
        <v>51.2051359077689</v>
      </c>
      <c r="D44" s="55">
        <v>-1.47379954816346</v>
      </c>
      <c r="E44" s="55" t="s">
        <v>103</v>
      </c>
      <c r="F44" s="46"/>
      <c r="G44" s="46"/>
      <c r="H44" s="46"/>
      <c r="I44" s="47" t="b">
        <v>0</v>
      </c>
      <c r="J44" s="47" t="str">
        <f t="shared" si="8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5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55">
        <v>51.2051359075447</v>
      </c>
      <c r="D45" s="55">
        <v>-1.47357014248575</v>
      </c>
      <c r="E45" s="55" t="s">
        <v>98</v>
      </c>
      <c r="F45" s="46"/>
      <c r="G45" s="46"/>
      <c r="H45" s="46"/>
      <c r="I45" s="47" t="b">
        <v>0</v>
      </c>
      <c r="J45" s="47" t="str">
        <f t="shared" si="8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5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55">
        <v>51.2051359073204</v>
      </c>
      <c r="D46" s="55">
        <v>-1.47334073680804</v>
      </c>
      <c r="E46" s="55" t="s">
        <v>98</v>
      </c>
      <c r="F46" s="44"/>
      <c r="G46" s="46"/>
      <c r="H46" s="46"/>
      <c r="I46" s="47" t="b">
        <v>0</v>
      </c>
      <c r="J46" s="47" t="str">
        <f t="shared" si="8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5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55">
        <v>51.2051359070961</v>
      </c>
      <c r="D47" s="55">
        <v>-1.47311133113032</v>
      </c>
      <c r="E47" s="55" t="s">
        <v>103</v>
      </c>
      <c r="F47" s="46"/>
      <c r="G47" s="46"/>
      <c r="H47" s="46"/>
      <c r="I47" s="11" t="b">
        <v>0</v>
      </c>
      <c r="J47" s="47" t="str">
        <f t="shared" si="8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5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55">
        <v>6.0</v>
      </c>
      <c r="B48" s="55">
        <v>7.0</v>
      </c>
      <c r="C48" s="55">
        <v>51.2051359068719</v>
      </c>
      <c r="D48" s="55">
        <v>-1.47288192545261</v>
      </c>
      <c r="E48" s="55" t="s">
        <v>98</v>
      </c>
      <c r="F48" s="46"/>
      <c r="G48" s="46"/>
      <c r="H48" s="46"/>
      <c r="I48" s="11" t="b">
        <v>0</v>
      </c>
      <c r="J48" s="47" t="str">
        <f t="shared" si="8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5"/>
        <v>0</v>
      </c>
      <c r="N48" s="49" t="str">
        <f>IFERROR(__xludf.DUMMYFUNCTION("split(G48,""/"")"),"#VALUE!")</f>
        <v>#VALUE!</v>
      </c>
      <c r="O48" s="50"/>
      <c r="P48" s="49"/>
      <c r="Q48" s="49"/>
      <c r="R48" s="49"/>
      <c r="S48" s="49"/>
    </row>
    <row r="49">
      <c r="A49" s="55">
        <v>6.0</v>
      </c>
      <c r="B49" s="55">
        <v>8.0</v>
      </c>
      <c r="C49" s="55">
        <v>51.2051359066476</v>
      </c>
      <c r="D49" s="55">
        <v>-1.47265251977489</v>
      </c>
      <c r="E49" s="55" t="s">
        <v>98</v>
      </c>
      <c r="F49" s="46"/>
      <c r="G49" s="46"/>
      <c r="H49" s="46"/>
      <c r="I49" s="11" t="b">
        <v>0</v>
      </c>
      <c r="J49" s="47" t="str">
        <f t="shared" si="8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5"/>
        <v>0</v>
      </c>
      <c r="N49" s="49" t="str">
        <f>IFERROR(__xludf.DUMMYFUNCTION("split(G49,""/"")"),"#VALUE!")</f>
        <v>#VALUE!</v>
      </c>
      <c r="O49" s="50"/>
      <c r="P49" s="49"/>
      <c r="Q49" s="49"/>
      <c r="R49" s="49"/>
      <c r="S49" s="49"/>
    </row>
    <row r="50">
      <c r="A50" s="43">
        <v>7.0</v>
      </c>
      <c r="B50" s="43">
        <v>2.0</v>
      </c>
      <c r="C50" s="43">
        <v>51.2049921775478</v>
      </c>
      <c r="D50" s="43">
        <v>-1.47402897317056</v>
      </c>
      <c r="E50" s="43" t="s">
        <v>103</v>
      </c>
      <c r="F50" s="44" t="s">
        <v>151</v>
      </c>
      <c r="G50" s="52" t="s">
        <v>152</v>
      </c>
      <c r="H50" s="46"/>
      <c r="I50" s="11" t="b">
        <v>1</v>
      </c>
      <c r="J50" s="47" t="str">
        <f t="shared" si="8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5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IFERROR(__xludf.DUMMYFUNCTION("""COMPUTED_VALUE"""),"res2100")</f>
        <v>res2100</v>
      </c>
      <c r="R50" s="49">
        <f>IFERROR(__xludf.DUMMYFUNCTION("""COMPUTED_VALUE"""),887.0)</f>
        <v>887</v>
      </c>
      <c r="S50" s="49"/>
    </row>
    <row r="51">
      <c r="A51" s="55">
        <v>7.0</v>
      </c>
      <c r="B51" s="55">
        <v>3.0</v>
      </c>
      <c r="C51" s="55">
        <v>51.2049921773236</v>
      </c>
      <c r="D51" s="55">
        <v>-1.47379956820873</v>
      </c>
      <c r="E51" s="55" t="s">
        <v>98</v>
      </c>
      <c r="F51" s="46"/>
      <c r="G51" s="46"/>
      <c r="H51" s="46"/>
      <c r="I51" s="47" t="b">
        <v>0</v>
      </c>
      <c r="J51" s="47" t="str">
        <f t="shared" si="8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5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55">
        <v>51.2049921770993</v>
      </c>
      <c r="D52" s="55">
        <v>-1.4735701632469</v>
      </c>
      <c r="E52" s="55" t="s">
        <v>98</v>
      </c>
      <c r="F52" s="44"/>
      <c r="G52" s="46"/>
      <c r="H52" s="46"/>
      <c r="I52" s="47" t="b">
        <v>0</v>
      </c>
      <c r="J52" s="47" t="str">
        <f t="shared" si="8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5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55">
        <v>51.204992176875</v>
      </c>
      <c r="D53" s="55">
        <v>-1.47334075828507</v>
      </c>
      <c r="E53" s="55" t="s">
        <v>98</v>
      </c>
      <c r="F53" s="46"/>
      <c r="G53" s="46"/>
      <c r="H53" s="46"/>
      <c r="I53" s="11" t="b">
        <v>0</v>
      </c>
      <c r="J53" s="47" t="str">
        <f t="shared" si="8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5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55">
        <v>51.2049921766508</v>
      </c>
      <c r="D54" s="55">
        <v>-1.47311135332324</v>
      </c>
      <c r="E54" s="55" t="s">
        <v>98</v>
      </c>
      <c r="F54" s="46"/>
      <c r="G54" s="46"/>
      <c r="H54" s="46"/>
      <c r="I54" s="47" t="b">
        <v>0</v>
      </c>
      <c r="J54" s="47" t="str">
        <f t="shared" si="8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5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51.2049921764265</v>
      </c>
      <c r="D55" s="43">
        <v>-1.47288194836141</v>
      </c>
      <c r="E55" s="43" t="s">
        <v>98</v>
      </c>
      <c r="F55" s="44" t="s">
        <v>153</v>
      </c>
      <c r="G55" s="45" t="s">
        <v>154</v>
      </c>
      <c r="H55" s="46"/>
      <c r="I55" s="11" t="b">
        <v>1</v>
      </c>
      <c r="J55" s="47" t="str">
        <f t="shared" si="8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5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IFERROR(__xludf.DUMMYFUNCTION("""COMPUTED_VALUE"""),24201.0)</f>
        <v>24201</v>
      </c>
      <c r="S55" s="49"/>
    </row>
    <row r="56">
      <c r="A56" s="43">
        <v>8.0</v>
      </c>
      <c r="B56" s="43">
        <v>3.0</v>
      </c>
      <c r="C56" s="43">
        <v>51.2048484468781</v>
      </c>
      <c r="D56" s="43">
        <v>-1.47379958825149</v>
      </c>
      <c r="E56" s="43" t="s">
        <v>98</v>
      </c>
      <c r="F56" s="44" t="s">
        <v>155</v>
      </c>
      <c r="G56" s="52" t="s">
        <v>156</v>
      </c>
      <c r="H56" s="46"/>
      <c r="I56" s="11" t="b">
        <v>1</v>
      </c>
      <c r="J56" s="47" t="str">
        <f t="shared" si="8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5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IFERROR(__xludf.DUMMYFUNCTION("""COMPUTED_VALUE"""),"Ellesche")</f>
        <v>Ellesche</v>
      </c>
      <c r="R56" s="49">
        <f>IFERROR(__xludf.DUMMYFUNCTION("""COMPUTED_VALUE"""),841.0)</f>
        <v>841</v>
      </c>
      <c r="S56" s="49"/>
    </row>
    <row r="57">
      <c r="A57" s="55">
        <v>8.0</v>
      </c>
      <c r="B57" s="55">
        <v>4.0</v>
      </c>
      <c r="C57" s="55">
        <v>51.2048484466538</v>
      </c>
      <c r="D57" s="55">
        <v>-1.47357018400555</v>
      </c>
      <c r="E57" s="55" t="s">
        <v>103</v>
      </c>
      <c r="F57" s="46"/>
      <c r="G57" s="46"/>
      <c r="H57" s="46"/>
      <c r="I57" s="47" t="b">
        <v>0</v>
      </c>
      <c r="J57" s="47" t="str">
        <f t="shared" si="8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5"/>
        <v>0</v>
      </c>
      <c r="N57" s="49" t="str">
        <f>IFERROR(__xludf.DUMMYFUNCTION("split(G57,""/"")"),"#VALUE!")</f>
        <v>#VALUE!</v>
      </c>
      <c r="O57" s="50"/>
      <c r="P57" s="49"/>
      <c r="Q57" s="49"/>
      <c r="R57" s="49"/>
      <c r="S57" s="49"/>
    </row>
    <row r="58">
      <c r="A58" s="55">
        <v>8.0</v>
      </c>
      <c r="B58" s="55">
        <v>5.0</v>
      </c>
      <c r="C58" s="55">
        <v>51.2048484464295</v>
      </c>
      <c r="D58" s="55">
        <v>-1.47334077975961</v>
      </c>
      <c r="E58" s="55" t="s">
        <v>103</v>
      </c>
      <c r="F58" s="44"/>
      <c r="G58" s="56"/>
      <c r="H58" s="46"/>
      <c r="I58" s="47" t="b">
        <v>0</v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5"/>
        <v>0</v>
      </c>
      <c r="N58" s="49" t="str">
        <f>IFERROR(__xludf.DUMMYFUNCTION("split(G58,""/"")"),"#VALUE!")</f>
        <v>#VALUE!</v>
      </c>
      <c r="O58" s="57"/>
      <c r="P58" s="49"/>
      <c r="Q58" s="49"/>
      <c r="R58" s="49"/>
      <c r="S58" s="51">
        <v>44698.60546947917</v>
      </c>
    </row>
    <row r="59">
      <c r="A59" s="43">
        <v>8.0</v>
      </c>
      <c r="B59" s="43">
        <v>6.0</v>
      </c>
      <c r="C59" s="43">
        <v>51.2048484462053</v>
      </c>
      <c r="D59" s="43">
        <v>-1.47311137551366</v>
      </c>
      <c r="E59" s="43" t="s">
        <v>98</v>
      </c>
      <c r="F59" s="44" t="s">
        <v>157</v>
      </c>
      <c r="G59" s="45" t="s">
        <v>158</v>
      </c>
      <c r="H59" s="46"/>
      <c r="I59" s="11" t="b">
        <v>1</v>
      </c>
      <c r="J59" s="47" t="str">
        <f>if(I59=true,"",S59)</f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5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IFERROR(__xludf.DUMMYFUNCTION("""COMPUTED_VALUE"""),"barefootguru")</f>
        <v>barefootguru</v>
      </c>
      <c r="R59" s="49">
        <f>IFERROR(__xludf.DUMMYFUNCTION("""COMPUTED_VALUE"""),5057.0)</f>
        <v>5057</v>
      </c>
      <c r="S59" s="49"/>
    </row>
    <row r="61" hidden="1">
      <c r="F61" s="47">
        <f t="shared" ref="F61:G61" si="9">COUNTIF(F8:F59,"")</f>
        <v>22</v>
      </c>
      <c r="G61" s="47">
        <f t="shared" si="9"/>
        <v>23</v>
      </c>
      <c r="I61" s="47">
        <f>COUNTIF(I8:I59,TRUE)</f>
        <v>29</v>
      </c>
    </row>
    <row r="62" hidden="1"/>
  </sheetData>
  <mergeCells count="2">
    <mergeCell ref="B1:C1"/>
    <mergeCell ref="N7:S7"/>
  </mergeCells>
  <conditionalFormatting sqref="F1">
    <cfRule type="containsBlanks" dxfId="0" priority="1">
      <formula>LEN(TRIM(F1))=0</formula>
    </cfRule>
  </conditionalFormatting>
  <conditionalFormatting sqref="F8:F59">
    <cfRule type="containsBlanks" dxfId="0" priority="2">
      <formula>LEN(TRIM(F8))=0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6"/>
    <hyperlink r:id="rId37" ref="O26"/>
    <hyperlink r:id="rId38" ref="G27"/>
    <hyperlink r:id="rId39" ref="O27"/>
    <hyperlink r:id="rId40" ref="O28"/>
    <hyperlink r:id="rId41" ref="G29"/>
    <hyperlink r:id="rId42" ref="O29"/>
    <hyperlink r:id="rId43" ref="O30"/>
    <hyperlink r:id="rId44" ref="O31"/>
    <hyperlink r:id="rId45" ref="O32"/>
    <hyperlink r:id="rId46" ref="O33"/>
    <hyperlink r:id="rId47" ref="O34"/>
    <hyperlink r:id="rId48" ref="G35"/>
    <hyperlink r:id="rId49" ref="O35"/>
    <hyperlink r:id="rId50" ref="O36"/>
    <hyperlink r:id="rId51" ref="O37"/>
    <hyperlink r:id="rId52" ref="G38"/>
    <hyperlink r:id="rId53" ref="O38"/>
    <hyperlink r:id="rId54" ref="O39"/>
    <hyperlink r:id="rId55" ref="G40"/>
    <hyperlink r:id="rId56" ref="O40"/>
    <hyperlink r:id="rId57" ref="G41"/>
    <hyperlink r:id="rId58" ref="O41"/>
    <hyperlink r:id="rId59" ref="G42"/>
    <hyperlink r:id="rId60" ref="O42"/>
    <hyperlink r:id="rId61" ref="O43"/>
    <hyperlink r:id="rId62" ref="O44"/>
    <hyperlink r:id="rId63" ref="O45"/>
    <hyperlink r:id="rId64" ref="O46"/>
    <hyperlink r:id="rId65" ref="O47"/>
    <hyperlink r:id="rId66" ref="O48"/>
    <hyperlink r:id="rId67" ref="O49"/>
    <hyperlink r:id="rId68" ref="G50"/>
    <hyperlink r:id="rId69" ref="O50"/>
    <hyperlink r:id="rId70" ref="O51"/>
    <hyperlink r:id="rId71" ref="O52"/>
    <hyperlink r:id="rId72" ref="O53"/>
    <hyperlink r:id="rId73" ref="O54"/>
    <hyperlink r:id="rId74" ref="G55"/>
    <hyperlink r:id="rId75" ref="O55"/>
    <hyperlink r:id="rId76" ref="G56"/>
    <hyperlink r:id="rId77" ref="O56"/>
    <hyperlink r:id="rId78" ref="O57"/>
    <hyperlink r:id="rId79" ref="G59"/>
    <hyperlink r:id="rId80" ref="O59"/>
  </hyperlinks>
  <drawing r:id="rId81"/>
  <tableParts count="1">
    <tablePart r:id="rId83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0000"/>
    <outlinePr summaryBelow="0" summaryRight="0"/>
  </sheetPr>
  <sheetViews>
    <sheetView workbookViewId="0"/>
  </sheetViews>
  <sheetFormatPr customHeight="1" defaultColWidth="12.63" defaultRowHeight="15.75" outlineLevelCol="1"/>
  <cols>
    <col customWidth="1" min="1" max="1" width="10.63"/>
    <col customWidth="1" min="2" max="2" width="10.38"/>
    <col customWidth="1" min="4" max="4" width="13.88"/>
    <col customWidth="1" min="5" max="5" width="19.38"/>
    <col customWidth="1" min="6" max="6" width="14.13"/>
    <col customWidth="1" min="7" max="7" width="39.0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31</v>
      </c>
      <c r="D1" s="37" t="s">
        <v>56</v>
      </c>
      <c r="E1" s="2" t="s">
        <v>79</v>
      </c>
      <c r="F1" s="99"/>
      <c r="G1" s="99" t="s">
        <v>856</v>
      </c>
      <c r="H1" s="2"/>
      <c r="I1" s="2"/>
      <c r="J1" s="100"/>
      <c r="K1" s="5"/>
      <c r="L1" s="5"/>
      <c r="M1" s="5"/>
      <c r="N1" s="5"/>
      <c r="O1" s="5"/>
      <c r="P1" s="5"/>
      <c r="Q1" s="5"/>
      <c r="R1" s="5"/>
      <c r="S1" s="75">
        <v>44379.92051793981</v>
      </c>
    </row>
    <row r="2">
      <c r="A2" s="2"/>
      <c r="B2" s="2"/>
      <c r="C2" s="2"/>
      <c r="D2" s="2"/>
      <c r="E2" s="2" t="s">
        <v>82</v>
      </c>
      <c r="F2" s="2"/>
      <c r="G2" s="101" t="s">
        <v>857</v>
      </c>
      <c r="H2" s="2"/>
      <c r="I2" s="2"/>
      <c r="J2" s="100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100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100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102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  <c r="J6" s="83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03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52.1191927921641</v>
      </c>
      <c r="D8" s="43">
        <v>-0.467416950909409</v>
      </c>
      <c r="E8" s="43" t="s">
        <v>98</v>
      </c>
      <c r="F8" s="44" t="s">
        <v>161</v>
      </c>
      <c r="G8" s="45" t="s">
        <v>858</v>
      </c>
      <c r="H8" s="46"/>
      <c r="I8" s="11" t="b">
        <v>1</v>
      </c>
      <c r="J8" s="83" t="str">
        <f t="shared" ref="J8:J17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IFERROR(__xludf.DUMMYFUNCTION("""COMPUTED_VALUE"""),3142.0)</f>
        <v>3142</v>
      </c>
      <c r="S8" s="51">
        <v>44200.895721712965</v>
      </c>
    </row>
    <row r="9">
      <c r="A9" s="43">
        <v>1.0</v>
      </c>
      <c r="B9" s="43">
        <v>4.0</v>
      </c>
      <c r="C9" s="43">
        <v>52.1191927919323</v>
      </c>
      <c r="D9" s="43">
        <v>-0.467182870181204</v>
      </c>
      <c r="E9" s="43" t="s">
        <v>98</v>
      </c>
      <c r="F9" s="44" t="s">
        <v>219</v>
      </c>
      <c r="G9" s="54" t="s">
        <v>859</v>
      </c>
      <c r="H9" s="46"/>
      <c r="I9" s="11" t="b">
        <v>1</v>
      </c>
      <c r="J9" s="83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IFERROR(__xludf.DUMMYFUNCTION("""COMPUTED_VALUE"""),"pawpatrolthomas")</f>
        <v>pawpatrolthomas</v>
      </c>
      <c r="R9" s="49">
        <f>IFERROR(__xludf.DUMMYFUNCTION("""COMPUTED_VALUE"""),2688.0)</f>
        <v>2688</v>
      </c>
      <c r="S9" s="51">
        <v>44174.75311443287</v>
      </c>
    </row>
    <row r="10">
      <c r="A10" s="43">
        <v>1.0</v>
      </c>
      <c r="B10" s="43">
        <v>5.0</v>
      </c>
      <c r="C10" s="43">
        <v>52.1191927917006</v>
      </c>
      <c r="D10" s="43">
        <v>-0.466948789452999</v>
      </c>
      <c r="E10" s="43" t="s">
        <v>103</v>
      </c>
      <c r="F10" s="44" t="s">
        <v>182</v>
      </c>
      <c r="G10" s="45" t="s">
        <v>860</v>
      </c>
      <c r="H10" s="46"/>
      <c r="I10" s="11" t="b">
        <v>1</v>
      </c>
      <c r="J10" s="83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IFERROR(__xludf.DUMMYFUNCTION("""COMPUTED_VALUE"""),"TheFatCats")</f>
        <v>TheFatCats</v>
      </c>
      <c r="R10" s="49">
        <f>IFERROR(__xludf.DUMMYFUNCTION("""COMPUTED_VALUE"""),4336.0)</f>
        <v>4336</v>
      </c>
      <c r="S10" s="51">
        <v>44174.75316983796</v>
      </c>
    </row>
    <row r="11">
      <c r="A11" s="43">
        <v>1.0</v>
      </c>
      <c r="B11" s="43">
        <v>6.0</v>
      </c>
      <c r="C11" s="43">
        <v>52.1191927914689</v>
      </c>
      <c r="D11" s="43">
        <v>-0.466714708724794</v>
      </c>
      <c r="E11" s="43" t="s">
        <v>103</v>
      </c>
      <c r="F11" s="44" t="s">
        <v>101</v>
      </c>
      <c r="G11" s="45" t="s">
        <v>861</v>
      </c>
      <c r="H11" s="46"/>
      <c r="I11" s="11" t="b">
        <v>1</v>
      </c>
      <c r="J11" s="83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IFERROR(__xludf.DUMMYFUNCTION("""COMPUTED_VALUE"""),"sverlaan")</f>
        <v>sverlaan</v>
      </c>
      <c r="R11" s="49">
        <f>IFERROR(__xludf.DUMMYFUNCTION("""COMPUTED_VALUE"""),4767.0)</f>
        <v>4767</v>
      </c>
      <c r="S11" s="51">
        <v>44174.753215289355</v>
      </c>
    </row>
    <row r="12">
      <c r="A12" s="43">
        <v>2.0</v>
      </c>
      <c r="B12" s="43">
        <v>2.0</v>
      </c>
      <c r="C12" s="43">
        <v>52.1190490619504</v>
      </c>
      <c r="D12" s="43">
        <v>-0.467651052017572</v>
      </c>
      <c r="E12" s="43" t="s">
        <v>98</v>
      </c>
      <c r="F12" s="44" t="s">
        <v>122</v>
      </c>
      <c r="G12" s="45" t="s">
        <v>862</v>
      </c>
      <c r="H12" s="44"/>
      <c r="I12" s="11" t="b">
        <v>1</v>
      </c>
      <c r="J12" s="83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IFERROR(__xludf.DUMMYFUNCTION("""COMPUTED_VALUE"""),"Drazoria")</f>
        <v>Drazoria</v>
      </c>
      <c r="R12" s="49">
        <f>IFERROR(__xludf.DUMMYFUNCTION("""COMPUTED_VALUE"""),1001.0)</f>
        <v>1001</v>
      </c>
      <c r="S12" s="51">
        <v>44174.99505063657</v>
      </c>
    </row>
    <row r="13">
      <c r="A13" s="43">
        <v>2.0</v>
      </c>
      <c r="B13" s="43">
        <v>3.0</v>
      </c>
      <c r="C13" s="43">
        <v>52.1190490617187</v>
      </c>
      <c r="D13" s="43">
        <v>-0.467416972044134</v>
      </c>
      <c r="E13" s="43" t="s">
        <v>98</v>
      </c>
      <c r="F13" s="44" t="s">
        <v>124</v>
      </c>
      <c r="G13" s="45" t="s">
        <v>863</v>
      </c>
      <c r="H13" s="46"/>
      <c r="I13" s="11" t="b">
        <v>1</v>
      </c>
      <c r="J13" s="83" t="str">
        <f t="shared" si="1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IFERROR(__xludf.DUMMYFUNCTION("""COMPUTED_VALUE"""),"Tinake1309")</f>
        <v>Tinake1309</v>
      </c>
      <c r="R13" s="49">
        <f>IFERROR(__xludf.DUMMYFUNCTION("""COMPUTED_VALUE"""),969.0)</f>
        <v>969</v>
      </c>
      <c r="S13" s="51">
        <v>44174.99510817129</v>
      </c>
    </row>
    <row r="14">
      <c r="A14" s="43">
        <v>2.0</v>
      </c>
      <c r="B14" s="43">
        <v>4.0</v>
      </c>
      <c r="C14" s="43">
        <v>52.119049061487</v>
      </c>
      <c r="D14" s="43">
        <v>-0.467182892070695</v>
      </c>
      <c r="E14" s="43" t="s">
        <v>98</v>
      </c>
      <c r="F14" s="44" t="s">
        <v>126</v>
      </c>
      <c r="G14" s="45" t="s">
        <v>864</v>
      </c>
      <c r="H14" s="46"/>
      <c r="I14" s="11" t="b">
        <v>1</v>
      </c>
      <c r="J14" s="83" t="str">
        <f t="shared" si="1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IFERROR(__xludf.DUMMYFUNCTION("""COMPUTED_VALUE"""),"Berg14")</f>
        <v>Berg14</v>
      </c>
      <c r="R14" s="49">
        <f>IFERROR(__xludf.DUMMYFUNCTION("""COMPUTED_VALUE"""),689.0)</f>
        <v>689</v>
      </c>
      <c r="S14" s="51">
        <v>44174.99519731481</v>
      </c>
    </row>
    <row r="15">
      <c r="A15" s="43">
        <v>2.0</v>
      </c>
      <c r="B15" s="43">
        <v>5.0</v>
      </c>
      <c r="C15" s="43">
        <v>52.1190490612552</v>
      </c>
      <c r="D15" s="43">
        <v>-0.466948812097257</v>
      </c>
      <c r="E15" s="43" t="s">
        <v>103</v>
      </c>
      <c r="F15" s="44" t="s">
        <v>128</v>
      </c>
      <c r="G15" s="45" t="s">
        <v>865</v>
      </c>
      <c r="H15" s="46"/>
      <c r="I15" s="11" t="b">
        <v>1</v>
      </c>
      <c r="J15" s="83" t="str">
        <f t="shared" si="1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IFERROR(__xludf.DUMMYFUNCTION("""COMPUTED_VALUE"""),"Niks13")</f>
        <v>Niks13</v>
      </c>
      <c r="R15" s="49">
        <f>IFERROR(__xludf.DUMMYFUNCTION("""COMPUTED_VALUE"""),659.0)</f>
        <v>659</v>
      </c>
      <c r="S15" s="51">
        <v>44174.99522181713</v>
      </c>
    </row>
    <row r="16">
      <c r="A16" s="43">
        <v>2.0</v>
      </c>
      <c r="B16" s="43">
        <v>6.0</v>
      </c>
      <c r="C16" s="43">
        <v>52.1190490610235</v>
      </c>
      <c r="D16" s="43">
        <v>-0.466714732123819</v>
      </c>
      <c r="E16" s="43" t="s">
        <v>98</v>
      </c>
      <c r="F16" s="44" t="s">
        <v>120</v>
      </c>
      <c r="G16" s="45" t="s">
        <v>866</v>
      </c>
      <c r="H16" s="46"/>
      <c r="I16" s="11" t="b">
        <v>1</v>
      </c>
      <c r="J16" s="83" t="str">
        <f t="shared" si="1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IFERROR(__xludf.DUMMYFUNCTION("""COMPUTED_VALUE"""),"xrayneex")</f>
        <v>xrayneex</v>
      </c>
      <c r="R16" s="49">
        <f>IFERROR(__xludf.DUMMYFUNCTION("""COMPUTED_VALUE"""),1718.0)</f>
        <v>1718</v>
      </c>
      <c r="S16" s="49"/>
    </row>
    <row r="17">
      <c r="A17" s="43">
        <v>2.0</v>
      </c>
      <c r="B17" s="43">
        <v>7.0</v>
      </c>
      <c r="C17" s="43">
        <v>52.1190490607918</v>
      </c>
      <c r="D17" s="43">
        <v>-0.46648065215038</v>
      </c>
      <c r="E17" s="43" t="s">
        <v>98</v>
      </c>
      <c r="F17" s="44" t="s">
        <v>110</v>
      </c>
      <c r="G17" s="52" t="s">
        <v>867</v>
      </c>
      <c r="H17" s="46"/>
      <c r="I17" s="11" t="b">
        <v>1</v>
      </c>
      <c r="J17" s="83" t="str">
        <f t="shared" si="1"/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IFERROR(__xludf.DUMMYFUNCTION("""COMPUTED_VALUE"""),"BrotherWilliam")</f>
        <v>BrotherWilliam</v>
      </c>
      <c r="R17" s="49">
        <f>IFERROR(__xludf.DUMMYFUNCTION("""COMPUTED_VALUE"""),4252.0)</f>
        <v>4252</v>
      </c>
      <c r="S17" s="49"/>
    </row>
    <row r="18">
      <c r="A18" s="43">
        <v>3.0</v>
      </c>
      <c r="B18" s="43">
        <v>1.0</v>
      </c>
      <c r="C18" s="43">
        <v>52.1189053317367</v>
      </c>
      <c r="D18" s="43">
        <v>-0.467885151615064</v>
      </c>
      <c r="E18" s="43" t="s">
        <v>98</v>
      </c>
      <c r="F18" s="44" t="s">
        <v>544</v>
      </c>
      <c r="G18" s="52" t="s">
        <v>868</v>
      </c>
      <c r="H18" s="46"/>
      <c r="I18" s="11" t="b">
        <v>1</v>
      </c>
      <c r="J18" s="83"/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IFERROR(__xludf.DUMMYFUNCTION("""COMPUTED_VALUE"""),"PcLocator")</f>
        <v>PcLocator</v>
      </c>
      <c r="R18" s="49">
        <f>IFERROR(__xludf.DUMMYFUNCTION("""COMPUTED_VALUE"""),4254.0)</f>
        <v>4254</v>
      </c>
      <c r="S18" s="51">
        <v>44259.34663328704</v>
      </c>
    </row>
    <row r="19">
      <c r="A19" s="43">
        <v>3.0</v>
      </c>
      <c r="B19" s="43">
        <v>2.0</v>
      </c>
      <c r="C19" s="43">
        <v>52.1189053315049</v>
      </c>
      <c r="D19" s="43">
        <v>-0.467651072396392</v>
      </c>
      <c r="E19" s="43" t="s">
        <v>98</v>
      </c>
      <c r="F19" s="44" t="s">
        <v>157</v>
      </c>
      <c r="G19" s="45" t="s">
        <v>869</v>
      </c>
      <c r="H19" s="46"/>
      <c r="I19" s="11" t="b">
        <v>1</v>
      </c>
      <c r="J19" s="83" t="str">
        <f t="shared" ref="J19:J27" si="3">if(I19=true,"",S19)</f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IFERROR(__xludf.DUMMYFUNCTION("""COMPUTED_VALUE"""),"barefootguru")</f>
        <v>barefootguru</v>
      </c>
      <c r="R19" s="49">
        <f>IFERROR(__xludf.DUMMYFUNCTION("""COMPUTED_VALUE"""),3254.0)</f>
        <v>3254</v>
      </c>
      <c r="S19" s="49"/>
    </row>
    <row r="20">
      <c r="A20" s="43">
        <v>3.0</v>
      </c>
      <c r="B20" s="43">
        <v>3.0</v>
      </c>
      <c r="C20" s="43">
        <v>52.1189053312732</v>
      </c>
      <c r="D20" s="43">
        <v>-0.467416993177721</v>
      </c>
      <c r="E20" s="43" t="s">
        <v>98</v>
      </c>
      <c r="F20" s="44" t="s">
        <v>870</v>
      </c>
      <c r="G20" s="45" t="s">
        <v>871</v>
      </c>
      <c r="H20" s="46"/>
      <c r="I20" s="11" t="b">
        <v>1</v>
      </c>
      <c r="J20" s="83" t="str">
        <f t="shared" si="3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IFERROR(__xludf.DUMMYFUNCTION("""COMPUTED_VALUE"""),"amadoreugen")</f>
        <v>amadoreugen</v>
      </c>
      <c r="R20" s="49">
        <f>IFERROR(__xludf.DUMMYFUNCTION("""COMPUTED_VALUE"""),5861.0)</f>
        <v>5861</v>
      </c>
      <c r="S20" s="49"/>
    </row>
    <row r="21">
      <c r="A21" s="43">
        <v>3.0</v>
      </c>
      <c r="B21" s="43">
        <v>4.0</v>
      </c>
      <c r="C21" s="43">
        <v>52.1189053310415</v>
      </c>
      <c r="D21" s="43">
        <v>-0.46718291395905</v>
      </c>
      <c r="E21" s="43" t="s">
        <v>98</v>
      </c>
      <c r="F21" s="61" t="s">
        <v>114</v>
      </c>
      <c r="G21" s="52" t="s">
        <v>872</v>
      </c>
      <c r="H21" s="46"/>
      <c r="I21" s="11" t="b">
        <v>1</v>
      </c>
      <c r="J21" s="83" t="str">
        <f t="shared" si="3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IFERROR(__xludf.DUMMYFUNCTION("""COMPUTED_VALUE"""),"J1Huisman")</f>
        <v>J1Huisman</v>
      </c>
      <c r="R21" s="49">
        <f>IFERROR(__xludf.DUMMYFUNCTION("""COMPUTED_VALUE"""),11836.0)</f>
        <v>11836</v>
      </c>
      <c r="S21" s="49"/>
    </row>
    <row r="22">
      <c r="A22" s="43">
        <v>3.0</v>
      </c>
      <c r="B22" s="43">
        <v>5.0</v>
      </c>
      <c r="C22" s="43">
        <v>52.1189053308097</v>
      </c>
      <c r="D22" s="43">
        <v>-0.466948834740378</v>
      </c>
      <c r="E22" s="43" t="s">
        <v>98</v>
      </c>
      <c r="F22" s="104" t="s">
        <v>169</v>
      </c>
      <c r="G22" s="52" t="s">
        <v>873</v>
      </c>
      <c r="H22" s="46"/>
      <c r="I22" s="11" t="b">
        <v>1</v>
      </c>
      <c r="J22" s="83" t="str">
        <f t="shared" si="3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IFERROR(__xludf.DUMMYFUNCTION("""COMPUTED_VALUE"""),"Pinkeltje")</f>
        <v>Pinkeltje</v>
      </c>
      <c r="R22" s="49">
        <f>IFERROR(__xludf.DUMMYFUNCTION("""COMPUTED_VALUE"""),1601.0)</f>
        <v>1601</v>
      </c>
      <c r="S22" s="49"/>
    </row>
    <row r="23">
      <c r="A23" s="43">
        <v>3.0</v>
      </c>
      <c r="B23" s="43">
        <v>6.0</v>
      </c>
      <c r="C23" s="43">
        <v>52.118905330578</v>
      </c>
      <c r="D23" s="43">
        <v>-0.466714755521707</v>
      </c>
      <c r="E23" s="43" t="s">
        <v>98</v>
      </c>
      <c r="F23" s="44" t="s">
        <v>874</v>
      </c>
      <c r="G23" s="45" t="s">
        <v>875</v>
      </c>
      <c r="H23" s="46"/>
      <c r="I23" s="11" t="b">
        <v>1</v>
      </c>
      <c r="J23" s="83" t="str">
        <f t="shared" si="3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IFERROR(__xludf.DUMMYFUNCTION("""COMPUTED_VALUE"""),"Krauseengineer")</f>
        <v>Krauseengineer</v>
      </c>
      <c r="R23" s="49">
        <f>IFERROR(__xludf.DUMMYFUNCTION("""COMPUTED_VALUE"""),2449.0)</f>
        <v>2449</v>
      </c>
      <c r="S23" s="49"/>
    </row>
    <row r="24">
      <c r="A24" s="43">
        <v>3.0</v>
      </c>
      <c r="B24" s="43">
        <v>7.0</v>
      </c>
      <c r="C24" s="43">
        <v>52.1189053303463</v>
      </c>
      <c r="D24" s="43">
        <v>-0.466480676303035</v>
      </c>
      <c r="E24" s="43" t="s">
        <v>98</v>
      </c>
      <c r="F24" s="44" t="s">
        <v>190</v>
      </c>
      <c r="G24" s="52" t="s">
        <v>876</v>
      </c>
      <c r="H24" s="46"/>
      <c r="I24" s="11" t="b">
        <v>1</v>
      </c>
      <c r="J24" s="83" t="str">
        <f t="shared" si="3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IFERROR(__xludf.DUMMYFUNCTION("""COMPUTED_VALUE"""),"GroteSufferd")</f>
        <v>GroteSufferd</v>
      </c>
      <c r="R24" s="49">
        <f>IFERROR(__xludf.DUMMYFUNCTION("""COMPUTED_VALUE"""),527.0)</f>
        <v>527</v>
      </c>
      <c r="S24" s="49"/>
    </row>
    <row r="25">
      <c r="A25" s="43">
        <v>3.0</v>
      </c>
      <c r="B25" s="43">
        <v>8.0</v>
      </c>
      <c r="C25" s="43">
        <v>52.1189053301145</v>
      </c>
      <c r="D25" s="43">
        <v>-0.466246597084364</v>
      </c>
      <c r="E25" s="43" t="s">
        <v>98</v>
      </c>
      <c r="F25" s="44" t="s">
        <v>112</v>
      </c>
      <c r="G25" s="52" t="s">
        <v>877</v>
      </c>
      <c r="H25" s="46"/>
      <c r="I25" s="11" t="b">
        <v>1</v>
      </c>
      <c r="J25" s="83" t="str">
        <f t="shared" si="3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IFERROR(__xludf.DUMMYFUNCTION("""COMPUTED_VALUE"""),"ArtofEco")</f>
        <v>ArtofEco</v>
      </c>
      <c r="R25" s="49">
        <f>IFERROR(__xludf.DUMMYFUNCTION("""COMPUTED_VALUE"""),3064.0)</f>
        <v>3064</v>
      </c>
      <c r="S25" s="49"/>
    </row>
    <row r="26">
      <c r="A26" s="43">
        <v>4.0</v>
      </c>
      <c r="B26" s="43">
        <v>1.0</v>
      </c>
      <c r="C26" s="43">
        <v>52.1187616012913</v>
      </c>
      <c r="D26" s="43">
        <v>-0.467885171241732</v>
      </c>
      <c r="E26" s="43" t="s">
        <v>98</v>
      </c>
      <c r="F26" s="44" t="s">
        <v>207</v>
      </c>
      <c r="G26" s="45" t="s">
        <v>878</v>
      </c>
      <c r="H26" s="46"/>
      <c r="I26" s="11" t="b">
        <v>1</v>
      </c>
      <c r="J26" s="83" t="str">
        <f t="shared" si="3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IFERROR(__xludf.DUMMYFUNCTION("""COMPUTED_VALUE"""),"5Star")</f>
        <v>5Star</v>
      </c>
      <c r="R26" s="49">
        <f>IFERROR(__xludf.DUMMYFUNCTION("""COMPUTED_VALUE"""),6129.0)</f>
        <v>6129</v>
      </c>
      <c r="S26" s="51">
        <v>44174.753439340275</v>
      </c>
    </row>
    <row r="27">
      <c r="A27" s="43">
        <v>4.0</v>
      </c>
      <c r="B27" s="43">
        <v>2.0</v>
      </c>
      <c r="C27" s="43">
        <v>52.1187616010596</v>
      </c>
      <c r="D27" s="43">
        <v>-0.467651092777941</v>
      </c>
      <c r="E27" s="43" t="s">
        <v>103</v>
      </c>
      <c r="F27" s="11" t="s">
        <v>879</v>
      </c>
      <c r="G27" s="45" t="s">
        <v>880</v>
      </c>
      <c r="H27" s="46"/>
      <c r="I27" s="11" t="b">
        <v>1</v>
      </c>
      <c r="J27" s="83" t="str">
        <f t="shared" si="3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IFERROR(__xludf.DUMMYFUNCTION("""COMPUTED_VALUE"""),"Franca")</f>
        <v>Franca</v>
      </c>
      <c r="R27" s="49">
        <f>IFERROR(__xludf.DUMMYFUNCTION("""COMPUTED_VALUE"""),1075.0)</f>
        <v>1075</v>
      </c>
      <c r="S27" s="49"/>
    </row>
    <row r="28">
      <c r="A28" s="43">
        <v>4.0</v>
      </c>
      <c r="B28" s="43">
        <v>3.0</v>
      </c>
      <c r="C28" s="43">
        <v>52.1187616008278</v>
      </c>
      <c r="D28" s="43">
        <v>-0.46741701431415</v>
      </c>
      <c r="E28" s="43" t="s">
        <v>98</v>
      </c>
      <c r="F28" s="44" t="s">
        <v>80</v>
      </c>
      <c r="G28" s="45" t="s">
        <v>881</v>
      </c>
      <c r="H28" s="44"/>
      <c r="I28" s="11" t="b">
        <v>1</v>
      </c>
      <c r="J28" s="83"/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IFERROR(__xludf.DUMMYFUNCTION("""COMPUTED_VALUE"""),"Derlame")</f>
        <v>Derlame</v>
      </c>
      <c r="R28" s="49">
        <f>IFERROR(__xludf.DUMMYFUNCTION("""COMPUTED_VALUE"""),18656.0)</f>
        <v>18656</v>
      </c>
      <c r="S28" s="51">
        <v>44259.346548217596</v>
      </c>
    </row>
    <row r="29">
      <c r="A29" s="43">
        <v>4.0</v>
      </c>
      <c r="B29" s="43">
        <v>4.0</v>
      </c>
      <c r="C29" s="43">
        <v>52.1187616005961</v>
      </c>
      <c r="D29" s="43">
        <v>-0.46718293585036</v>
      </c>
      <c r="E29" s="43" t="s">
        <v>98</v>
      </c>
      <c r="F29" s="44" t="s">
        <v>188</v>
      </c>
      <c r="G29" s="45" t="s">
        <v>882</v>
      </c>
      <c r="H29" s="46"/>
      <c r="I29" s="11" t="b">
        <v>1</v>
      </c>
      <c r="J29" s="83" t="str">
        <f t="shared" ref="J29:J40" si="4">if(I29=true,"",S29)</f>
        <v/>
      </c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IFERROR(__xludf.DUMMYFUNCTION("""COMPUTED_VALUE"""),3404.0)</f>
        <v>3404</v>
      </c>
      <c r="S29" s="49"/>
    </row>
    <row r="30">
      <c r="A30" s="43">
        <v>4.0</v>
      </c>
      <c r="B30" s="43">
        <v>5.0</v>
      </c>
      <c r="C30" s="43">
        <v>52.1187616003643</v>
      </c>
      <c r="D30" s="43">
        <v>-0.466948857386569</v>
      </c>
      <c r="E30" s="43" t="s">
        <v>98</v>
      </c>
      <c r="F30" s="44" t="s">
        <v>879</v>
      </c>
      <c r="G30" s="45" t="s">
        <v>883</v>
      </c>
      <c r="H30" s="46"/>
      <c r="I30" s="11" t="b">
        <v>1</v>
      </c>
      <c r="J30" s="83" t="str">
        <f t="shared" si="4"/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IFERROR(__xludf.DUMMYFUNCTION("""COMPUTED_VALUE"""),"Franca")</f>
        <v>Franca</v>
      </c>
      <c r="R30" s="49">
        <f>IFERROR(__xludf.DUMMYFUNCTION("""COMPUTED_VALUE"""),1068.0)</f>
        <v>1068</v>
      </c>
      <c r="S30" s="49"/>
    </row>
    <row r="31">
      <c r="A31" s="43">
        <v>4.0</v>
      </c>
      <c r="B31" s="43">
        <v>6.0</v>
      </c>
      <c r="C31" s="43">
        <v>52.1187616001326</v>
      </c>
      <c r="D31" s="43">
        <v>-0.466714778922778</v>
      </c>
      <c r="E31" s="43" t="s">
        <v>103</v>
      </c>
      <c r="F31" s="44" t="s">
        <v>870</v>
      </c>
      <c r="G31" s="45" t="s">
        <v>884</v>
      </c>
      <c r="H31" s="46"/>
      <c r="I31" s="11" t="b">
        <v>1</v>
      </c>
      <c r="J31" s="83" t="str">
        <f t="shared" si="4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IFERROR(__xludf.DUMMYFUNCTION("""COMPUTED_VALUE"""),"amadoreugen")</f>
        <v>amadoreugen</v>
      </c>
      <c r="R31" s="49">
        <f>IFERROR(__xludf.DUMMYFUNCTION("""COMPUTED_VALUE"""),5868.0)</f>
        <v>5868</v>
      </c>
      <c r="S31" s="49"/>
    </row>
    <row r="32">
      <c r="A32" s="43">
        <v>4.0</v>
      </c>
      <c r="B32" s="43">
        <v>7.0</v>
      </c>
      <c r="C32" s="43">
        <v>52.1187615999009</v>
      </c>
      <c r="D32" s="43">
        <v>-0.466480700458987</v>
      </c>
      <c r="E32" s="43" t="s">
        <v>98</v>
      </c>
      <c r="F32" s="44" t="s">
        <v>885</v>
      </c>
      <c r="G32" s="45" t="s">
        <v>886</v>
      </c>
      <c r="H32" s="46"/>
      <c r="I32" s="11" t="b">
        <v>1</v>
      </c>
      <c r="J32" s="83" t="str">
        <f t="shared" si="4"/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IFERROR(__xludf.DUMMYFUNCTION("""COMPUTED_VALUE"""),"JackSparrow")</f>
        <v>JackSparrow</v>
      </c>
      <c r="R32" s="49">
        <f>IFERROR(__xludf.DUMMYFUNCTION("""COMPUTED_VALUE"""),22161.0)</f>
        <v>22161</v>
      </c>
      <c r="S32" s="49"/>
    </row>
    <row r="33">
      <c r="A33" s="43">
        <v>4.0</v>
      </c>
      <c r="B33" s="43">
        <v>8.0</v>
      </c>
      <c r="C33" s="43">
        <v>52.1187615996691</v>
      </c>
      <c r="D33" s="43">
        <v>-0.466246621995196</v>
      </c>
      <c r="E33" s="43" t="s">
        <v>98</v>
      </c>
      <c r="F33" s="44" t="s">
        <v>887</v>
      </c>
      <c r="G33" s="45" t="s">
        <v>888</v>
      </c>
      <c r="H33" s="46"/>
      <c r="I33" s="11" t="b">
        <v>1</v>
      </c>
      <c r="J33" s="83" t="str">
        <f t="shared" si="4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IFERROR(__xludf.DUMMYFUNCTION("""COMPUTED_VALUE"""),"mding4gold")</f>
        <v>mding4gold</v>
      </c>
      <c r="R33" s="49">
        <f>IFERROR(__xludf.DUMMYFUNCTION("""COMPUTED_VALUE"""),4983.0)</f>
        <v>4983</v>
      </c>
      <c r="S33" s="49"/>
    </row>
    <row r="34">
      <c r="A34" s="43">
        <v>5.0</v>
      </c>
      <c r="B34" s="43">
        <v>1.0</v>
      </c>
      <c r="C34" s="43">
        <v>52.1186178708458</v>
      </c>
      <c r="D34" s="43">
        <v>-0.467885190865786</v>
      </c>
      <c r="E34" s="43" t="s">
        <v>103</v>
      </c>
      <c r="F34" s="44" t="s">
        <v>178</v>
      </c>
      <c r="G34" s="45" t="s">
        <v>889</v>
      </c>
      <c r="H34" s="46"/>
      <c r="I34" s="11" t="b">
        <v>1</v>
      </c>
      <c r="J34" s="83" t="str">
        <f t="shared" si="4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IFERROR(__xludf.DUMMYFUNCTION("""COMPUTED_VALUE"""),"lison55")</f>
        <v>lison55</v>
      </c>
      <c r="R34" s="49">
        <f>IFERROR(__xludf.DUMMYFUNCTION("""COMPUTED_VALUE"""),5750.0)</f>
        <v>5750</v>
      </c>
      <c r="S34" s="49"/>
    </row>
    <row r="35">
      <c r="A35" s="43">
        <v>5.0</v>
      </c>
      <c r="B35" s="43">
        <v>2.0</v>
      </c>
      <c r="C35" s="43">
        <v>52.1186178706141</v>
      </c>
      <c r="D35" s="43">
        <v>-0.467651113156762</v>
      </c>
      <c r="E35" s="43" t="s">
        <v>98</v>
      </c>
      <c r="F35" s="44" t="s">
        <v>141</v>
      </c>
      <c r="G35" s="52" t="s">
        <v>890</v>
      </c>
      <c r="H35" s="46"/>
      <c r="I35" s="11" t="b">
        <v>1</v>
      </c>
      <c r="J35" s="83" t="str">
        <f t="shared" si="4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IFERROR(__xludf.DUMMYFUNCTION("""COMPUTED_VALUE"""),2586.0)</f>
        <v>2586</v>
      </c>
      <c r="S35" s="51">
        <v>44174.75375791667</v>
      </c>
    </row>
    <row r="36">
      <c r="A36" s="43">
        <v>5.0</v>
      </c>
      <c r="B36" s="43">
        <v>3.0</v>
      </c>
      <c r="C36" s="43">
        <v>52.1186178703823</v>
      </c>
      <c r="D36" s="43">
        <v>-0.467417035447738</v>
      </c>
      <c r="E36" s="43" t="s">
        <v>103</v>
      </c>
      <c r="F36" s="44" t="s">
        <v>116</v>
      </c>
      <c r="G36" s="45" t="s">
        <v>891</v>
      </c>
      <c r="H36" s="46"/>
      <c r="I36" s="11" t="b">
        <v>1</v>
      </c>
      <c r="J36" s="83" t="str">
        <f t="shared" si="4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IFERROR(__xludf.DUMMYFUNCTION("""COMPUTED_VALUE"""),"fsafranek")</f>
        <v>fsafranek</v>
      </c>
      <c r="R36" s="49">
        <f>IFERROR(__xludf.DUMMYFUNCTION("""COMPUTED_VALUE"""),4982.0)</f>
        <v>4982</v>
      </c>
      <c r="S36" s="49"/>
    </row>
    <row r="37">
      <c r="A37" s="43">
        <v>5.0</v>
      </c>
      <c r="B37" s="43">
        <v>4.0</v>
      </c>
      <c r="C37" s="43">
        <v>52.1186178701506</v>
      </c>
      <c r="D37" s="43">
        <v>-0.467182957738714</v>
      </c>
      <c r="E37" s="43" t="s">
        <v>98</v>
      </c>
      <c r="F37" s="44" t="s">
        <v>140</v>
      </c>
      <c r="G37" s="52" t="s">
        <v>892</v>
      </c>
      <c r="H37" s="46"/>
      <c r="I37" s="11" t="b">
        <v>1</v>
      </c>
      <c r="J37" s="83" t="str">
        <f t="shared" si="4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IFERROR(__xludf.DUMMYFUNCTION("""COMPUTED_VALUE"""),"Fossillady")</f>
        <v>Fossillady</v>
      </c>
      <c r="R37" s="49">
        <f>IFERROR(__xludf.DUMMYFUNCTION("""COMPUTED_VALUE"""),3500.0)</f>
        <v>3500</v>
      </c>
      <c r="S37" s="49"/>
    </row>
    <row r="38">
      <c r="A38" s="43">
        <v>5.0</v>
      </c>
      <c r="B38" s="43">
        <v>5.0</v>
      </c>
      <c r="C38" s="43">
        <v>52.1186178699189</v>
      </c>
      <c r="D38" s="43">
        <v>-0.46694888002969</v>
      </c>
      <c r="E38" s="43" t="s">
        <v>98</v>
      </c>
      <c r="F38" s="44" t="s">
        <v>182</v>
      </c>
      <c r="G38" s="45" t="s">
        <v>893</v>
      </c>
      <c r="H38" s="46"/>
      <c r="I38" s="11" t="b">
        <v>1</v>
      </c>
      <c r="J38" s="83" t="str">
        <f t="shared" si="4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IFERROR(__xludf.DUMMYFUNCTION("""COMPUTED_VALUE"""),"TheFatCats")</f>
        <v>TheFatCats</v>
      </c>
      <c r="R38" s="49">
        <f>IFERROR(__xludf.DUMMYFUNCTION("""COMPUTED_VALUE"""),4327.0)</f>
        <v>4327</v>
      </c>
      <c r="S38" s="49"/>
    </row>
    <row r="39">
      <c r="A39" s="43">
        <v>5.0</v>
      </c>
      <c r="B39" s="43">
        <v>6.0</v>
      </c>
      <c r="C39" s="43">
        <v>52.1186178696871</v>
      </c>
      <c r="D39" s="43">
        <v>-0.466714802320666</v>
      </c>
      <c r="E39" s="43" t="s">
        <v>98</v>
      </c>
      <c r="F39" s="44" t="s">
        <v>106</v>
      </c>
      <c r="G39" s="45" t="s">
        <v>894</v>
      </c>
      <c r="H39" s="44"/>
      <c r="I39" s="11" t="b">
        <v>1</v>
      </c>
      <c r="J39" s="83" t="str">
        <f t="shared" si="4"/>
        <v/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IFERROR(__xludf.DUMMYFUNCTION("""COMPUTED_VALUE"""),"EmileP68")</f>
        <v>EmileP68</v>
      </c>
      <c r="R39" s="49">
        <f>IFERROR(__xludf.DUMMYFUNCTION("""COMPUTED_VALUE"""),3902.0)</f>
        <v>3902</v>
      </c>
      <c r="S39" s="51">
        <v>44196.817862881944</v>
      </c>
    </row>
    <row r="40">
      <c r="A40" s="43">
        <v>5.0</v>
      </c>
      <c r="B40" s="43">
        <v>7.0</v>
      </c>
      <c r="C40" s="43">
        <v>52.1186178694554</v>
      </c>
      <c r="D40" s="43">
        <v>-0.466480724611642</v>
      </c>
      <c r="E40" s="43" t="s">
        <v>98</v>
      </c>
      <c r="F40" s="44" t="s">
        <v>136</v>
      </c>
      <c r="G40" s="45" t="s">
        <v>895</v>
      </c>
      <c r="H40" s="46"/>
      <c r="I40" s="11" t="b">
        <v>1</v>
      </c>
      <c r="J40" s="83" t="str">
        <f t="shared" si="4"/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IFERROR(__xludf.DUMMYFUNCTION("""COMPUTED_VALUE"""),"OdinsFiRe")</f>
        <v>OdinsFiRe</v>
      </c>
      <c r="R40" s="49">
        <f>IFERROR(__xludf.DUMMYFUNCTION("""COMPUTED_VALUE"""),1958.0)</f>
        <v>1958</v>
      </c>
      <c r="S40" s="49"/>
    </row>
    <row r="41">
      <c r="A41" s="43">
        <v>5.0</v>
      </c>
      <c r="B41" s="43">
        <v>8.0</v>
      </c>
      <c r="C41" s="43">
        <v>52.1186178692237</v>
      </c>
      <c r="D41" s="43">
        <v>-0.466246646902618</v>
      </c>
      <c r="E41" s="43" t="s">
        <v>98</v>
      </c>
      <c r="F41" s="44" t="s">
        <v>151</v>
      </c>
      <c r="G41" s="52" t="s">
        <v>896</v>
      </c>
      <c r="H41" s="46"/>
      <c r="I41" s="11" t="b">
        <v>1</v>
      </c>
      <c r="J41" s="105"/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IFERROR(__xludf.DUMMYFUNCTION("""COMPUTED_VALUE"""),"res2100")</f>
        <v>res2100</v>
      </c>
      <c r="R41" s="49">
        <f>IFERROR(__xludf.DUMMYFUNCTION("""COMPUTED_VALUE"""),761.0)</f>
        <v>761</v>
      </c>
      <c r="S41" s="51">
        <v>44259.34669746528</v>
      </c>
    </row>
    <row r="42">
      <c r="A42" s="43">
        <v>6.0</v>
      </c>
      <c r="B42" s="43">
        <v>1.0</v>
      </c>
      <c r="C42" s="43">
        <v>52.1184741404004</v>
      </c>
      <c r="D42" s="43">
        <v>-0.467885210489726</v>
      </c>
      <c r="E42" s="43" t="s">
        <v>98</v>
      </c>
      <c r="F42" s="44" t="s">
        <v>149</v>
      </c>
      <c r="G42" s="45" t="s">
        <v>897</v>
      </c>
      <c r="H42" s="46"/>
      <c r="I42" s="11" t="b">
        <v>1</v>
      </c>
      <c r="J42" s="83" t="str">
        <f t="shared" ref="J42:J45" si="5">if(I42=true,"",S42)</f>
        <v/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IFERROR(__xludf.DUMMYFUNCTION("""COMPUTED_VALUE"""),4773.0)</f>
        <v>4773</v>
      </c>
      <c r="S42" s="49"/>
    </row>
    <row r="43">
      <c r="A43" s="43">
        <v>6.0</v>
      </c>
      <c r="B43" s="43">
        <v>2.0</v>
      </c>
      <c r="C43" s="43">
        <v>52.1184741401686</v>
      </c>
      <c r="D43" s="43">
        <v>-0.467651133535468</v>
      </c>
      <c r="E43" s="43" t="s">
        <v>98</v>
      </c>
      <c r="F43" s="44" t="s">
        <v>254</v>
      </c>
      <c r="G43" s="45" t="s">
        <v>898</v>
      </c>
      <c r="H43" s="46"/>
      <c r="I43" s="11" t="b">
        <v>1</v>
      </c>
      <c r="J43" s="83" t="str">
        <f t="shared" si="5"/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IFERROR(__xludf.DUMMYFUNCTION("""COMPUTED_VALUE"""),"wally62")</f>
        <v>wally62</v>
      </c>
      <c r="R43" s="49">
        <f>IFERROR(__xludf.DUMMYFUNCTION("""COMPUTED_VALUE"""),4343.0)</f>
        <v>4343</v>
      </c>
      <c r="S43" s="49"/>
    </row>
    <row r="44">
      <c r="A44" s="43">
        <v>6.0</v>
      </c>
      <c r="B44" s="43">
        <v>3.0</v>
      </c>
      <c r="C44" s="43">
        <v>52.1184741399369</v>
      </c>
      <c r="D44" s="43">
        <v>-0.467417056581211</v>
      </c>
      <c r="E44" s="43" t="s">
        <v>103</v>
      </c>
      <c r="F44" s="44" t="s">
        <v>314</v>
      </c>
      <c r="G44" s="45" t="s">
        <v>899</v>
      </c>
      <c r="H44" s="46"/>
      <c r="I44" s="11" t="b">
        <v>1</v>
      </c>
      <c r="J44" s="83" t="str">
        <f t="shared" si="5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IFERROR(__xludf.DUMMYFUNCTION("""COMPUTED_VALUE"""),"Trappertje")</f>
        <v>Trappertje</v>
      </c>
      <c r="R44" s="49">
        <f>IFERROR(__xludf.DUMMYFUNCTION("""COMPUTED_VALUE"""),5537.0)</f>
        <v>5537</v>
      </c>
      <c r="S44" s="49"/>
    </row>
    <row r="45">
      <c r="A45" s="43">
        <v>6.0</v>
      </c>
      <c r="B45" s="43">
        <v>4.0</v>
      </c>
      <c r="C45" s="43">
        <v>52.1184741397052</v>
      </c>
      <c r="D45" s="43">
        <v>-0.467182979626954</v>
      </c>
      <c r="E45" s="43" t="s">
        <v>98</v>
      </c>
      <c r="F45" s="44" t="s">
        <v>155</v>
      </c>
      <c r="G45" s="52" t="s">
        <v>900</v>
      </c>
      <c r="H45" s="46"/>
      <c r="I45" s="11" t="b">
        <v>1</v>
      </c>
      <c r="J45" s="83" t="str">
        <f t="shared" si="5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IFERROR(__xludf.DUMMYFUNCTION("""COMPUTED_VALUE"""),"Ellesche")</f>
        <v>Ellesche</v>
      </c>
      <c r="R45" s="49">
        <f>IFERROR(__xludf.DUMMYFUNCTION("""COMPUTED_VALUE"""),748.0)</f>
        <v>748</v>
      </c>
      <c r="S45" s="49"/>
    </row>
    <row r="46">
      <c r="A46" s="43">
        <v>6.0</v>
      </c>
      <c r="B46" s="43">
        <v>5.0</v>
      </c>
      <c r="C46" s="43">
        <v>52.1184741394734</v>
      </c>
      <c r="D46" s="43">
        <v>-0.466948902672697</v>
      </c>
      <c r="E46" s="43" t="s">
        <v>98</v>
      </c>
      <c r="F46" s="44" t="s">
        <v>243</v>
      </c>
      <c r="G46" s="45" t="s">
        <v>901</v>
      </c>
      <c r="H46" s="46"/>
      <c r="I46" s="11" t="b">
        <v>1</v>
      </c>
      <c r="J46" s="83"/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IFERROR(__xludf.DUMMYFUNCTION("""COMPUTED_VALUE"""),"Aniara")</f>
        <v>Aniara</v>
      </c>
      <c r="R46" s="49">
        <f>IFERROR(__xludf.DUMMYFUNCTION("""COMPUTED_VALUE"""),7868.0)</f>
        <v>7868</v>
      </c>
      <c r="S46" s="51">
        <v>44379.92015430555</v>
      </c>
    </row>
    <row r="47">
      <c r="A47" s="43">
        <v>6.0</v>
      </c>
      <c r="B47" s="43">
        <v>6.0</v>
      </c>
      <c r="C47" s="43">
        <v>52.1184741392417</v>
      </c>
      <c r="D47" s="43">
        <v>-0.46671482571844</v>
      </c>
      <c r="E47" s="43" t="s">
        <v>103</v>
      </c>
      <c r="F47" s="44" t="s">
        <v>847</v>
      </c>
      <c r="G47" s="65" t="s">
        <v>902</v>
      </c>
      <c r="H47" s="46"/>
      <c r="I47" s="11" t="b">
        <v>1</v>
      </c>
      <c r="J47" s="83" t="str">
        <f t="shared" ref="J47:J50" si="6">if(I47=true,"",S47)</f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IFERROR(__xludf.DUMMYFUNCTION("""COMPUTED_VALUE"""),"ChudleighTraveller")</f>
        <v>ChudleighTraveller</v>
      </c>
      <c r="R47" s="49">
        <f>IFERROR(__xludf.DUMMYFUNCTION("""COMPUTED_VALUE"""),1338.0)</f>
        <v>1338</v>
      </c>
      <c r="S47" s="49"/>
    </row>
    <row r="48">
      <c r="A48" s="43">
        <v>6.0</v>
      </c>
      <c r="B48" s="43">
        <v>7.0</v>
      </c>
      <c r="C48" s="43">
        <v>52.11847413901</v>
      </c>
      <c r="D48" s="43">
        <v>-0.466480748764297</v>
      </c>
      <c r="E48" s="43" t="s">
        <v>98</v>
      </c>
      <c r="F48" s="44" t="s">
        <v>145</v>
      </c>
      <c r="G48" s="45" t="s">
        <v>903</v>
      </c>
      <c r="H48" s="46"/>
      <c r="I48" s="11" t="b">
        <v>1</v>
      </c>
      <c r="J48" s="83" t="str">
        <f t="shared" si="6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IFERROR(__xludf.DUMMYFUNCTION("""COMPUTED_VALUE"""),5204.0)</f>
        <v>5204</v>
      </c>
      <c r="S48" s="51">
        <v>44200.89533087963</v>
      </c>
    </row>
    <row r="49">
      <c r="A49" s="43">
        <v>6.0</v>
      </c>
      <c r="B49" s="43">
        <v>8.0</v>
      </c>
      <c r="C49" s="43">
        <v>52.1184741387782</v>
      </c>
      <c r="D49" s="43">
        <v>-0.46624667181004</v>
      </c>
      <c r="E49" s="43" t="s">
        <v>98</v>
      </c>
      <c r="F49" s="44" t="s">
        <v>147</v>
      </c>
      <c r="G49" s="45" t="s">
        <v>904</v>
      </c>
      <c r="H49" s="46"/>
      <c r="I49" s="11" t="b">
        <v>1</v>
      </c>
      <c r="J49" s="83" t="str">
        <f t="shared" si="6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IFERROR(__xludf.DUMMYFUNCTION("""COMPUTED_VALUE"""),8201.0)</f>
        <v>8201</v>
      </c>
      <c r="S49" s="51">
        <v>44174.75405953704</v>
      </c>
    </row>
    <row r="50">
      <c r="A50" s="43">
        <v>7.0</v>
      </c>
      <c r="B50" s="43">
        <v>2.0</v>
      </c>
      <c r="C50" s="43">
        <v>52.1183304097232</v>
      </c>
      <c r="D50" s="43">
        <v>-0.467651153915539</v>
      </c>
      <c r="E50" s="43" t="s">
        <v>103</v>
      </c>
      <c r="F50" s="44" t="s">
        <v>870</v>
      </c>
      <c r="G50" s="45" t="s">
        <v>905</v>
      </c>
      <c r="H50" s="46"/>
      <c r="I50" s="11" t="b">
        <v>1</v>
      </c>
      <c r="J50" s="83" t="str">
        <f t="shared" si="6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IFERROR(__xludf.DUMMYFUNCTION("""COMPUTED_VALUE"""),"amadoreugen")</f>
        <v>amadoreugen</v>
      </c>
      <c r="R50" s="49">
        <f>IFERROR(__xludf.DUMMYFUNCTION("""COMPUTED_VALUE"""),5822.0)</f>
        <v>5822</v>
      </c>
      <c r="S50" s="49"/>
    </row>
    <row r="51">
      <c r="A51" s="43">
        <v>7.0</v>
      </c>
      <c r="B51" s="43">
        <v>3.0</v>
      </c>
      <c r="C51" s="43">
        <v>52.1183304094915</v>
      </c>
      <c r="D51" s="43">
        <v>-0.467417077716163</v>
      </c>
      <c r="E51" s="43" t="s">
        <v>98</v>
      </c>
      <c r="F51" s="44" t="s">
        <v>130</v>
      </c>
      <c r="G51" s="45" t="s">
        <v>906</v>
      </c>
      <c r="H51" s="46"/>
      <c r="I51" s="11" t="b">
        <v>1</v>
      </c>
      <c r="J51" s="83"/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IFERROR(__xludf.DUMMYFUNCTION("""COMPUTED_VALUE"""),"lupo6")</f>
        <v>lupo6</v>
      </c>
      <c r="R51" s="49">
        <f>IFERROR(__xludf.DUMMYFUNCTION("""COMPUTED_VALUE"""),2663.0)</f>
        <v>2663</v>
      </c>
      <c r="S51" s="51">
        <v>44361.42681775463</v>
      </c>
    </row>
    <row r="52">
      <c r="A52" s="43">
        <v>7.0</v>
      </c>
      <c r="B52" s="43">
        <v>4.0</v>
      </c>
      <c r="C52" s="43">
        <v>52.1183304092598</v>
      </c>
      <c r="D52" s="43">
        <v>-0.467183001516787</v>
      </c>
      <c r="E52" s="43" t="s">
        <v>98</v>
      </c>
      <c r="F52" s="44" t="s">
        <v>99</v>
      </c>
      <c r="G52" s="45" t="s">
        <v>907</v>
      </c>
      <c r="H52" s="46"/>
      <c r="I52" s="11" t="b">
        <v>1</v>
      </c>
      <c r="J52" s="83" t="str">
        <f t="shared" ref="J52:J59" si="7">if(I52=true,"",S52)</f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IFERROR(__xludf.DUMMYFUNCTION("""COMPUTED_VALUE"""),"raunas")</f>
        <v>raunas</v>
      </c>
      <c r="R52" s="49">
        <f>IFERROR(__xludf.DUMMYFUNCTION("""COMPUTED_VALUE"""),7127.0)</f>
        <v>7127</v>
      </c>
      <c r="S52" s="49"/>
    </row>
    <row r="53">
      <c r="A53" s="43">
        <v>7.0</v>
      </c>
      <c r="B53" s="43">
        <v>5.0</v>
      </c>
      <c r="C53" s="43">
        <v>52.118330409028</v>
      </c>
      <c r="D53" s="43">
        <v>-0.46694892531741</v>
      </c>
      <c r="E53" s="43" t="s">
        <v>98</v>
      </c>
      <c r="F53" s="44" t="s">
        <v>908</v>
      </c>
      <c r="G53" s="45" t="s">
        <v>909</v>
      </c>
      <c r="H53" s="46"/>
      <c r="I53" s="11" t="b">
        <v>1</v>
      </c>
      <c r="J53" s="83" t="str">
        <f t="shared" si="7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IFERROR(__xludf.DUMMYFUNCTION("""COMPUTED_VALUE"""),"Wangotango")</f>
        <v>Wangotango</v>
      </c>
      <c r="R53" s="49">
        <f>IFERROR(__xludf.DUMMYFUNCTION("""COMPUTED_VALUE"""),1591.0)</f>
        <v>1591</v>
      </c>
      <c r="S53" s="49"/>
    </row>
    <row r="54">
      <c r="A54" s="43">
        <v>7.0</v>
      </c>
      <c r="B54" s="43">
        <v>6.0</v>
      </c>
      <c r="C54" s="43">
        <v>52.1183304087963</v>
      </c>
      <c r="D54" s="43">
        <v>-0.466714849118034</v>
      </c>
      <c r="E54" s="43" t="s">
        <v>98</v>
      </c>
      <c r="F54" s="44" t="s">
        <v>141</v>
      </c>
      <c r="G54" s="45" t="s">
        <v>910</v>
      </c>
      <c r="H54" s="46"/>
      <c r="I54" s="11" t="b">
        <v>1</v>
      </c>
      <c r="J54" s="83" t="str">
        <f t="shared" si="7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IFERROR(__xludf.DUMMYFUNCTION("""COMPUTED_VALUE"""),"cbf600")</f>
        <v>cbf600</v>
      </c>
      <c r="R54" s="49">
        <f>IFERROR(__xludf.DUMMYFUNCTION("""COMPUTED_VALUE"""),4085.0)</f>
        <v>4085</v>
      </c>
      <c r="S54" s="49"/>
    </row>
    <row r="55">
      <c r="A55" s="43">
        <v>7.0</v>
      </c>
      <c r="B55" s="43">
        <v>7.0</v>
      </c>
      <c r="C55" s="43">
        <v>52.1183304085646</v>
      </c>
      <c r="D55" s="43">
        <v>-0.466480772918657</v>
      </c>
      <c r="E55" s="43" t="s">
        <v>98</v>
      </c>
      <c r="F55" s="44" t="s">
        <v>130</v>
      </c>
      <c r="G55" s="45" t="s">
        <v>911</v>
      </c>
      <c r="H55" s="46"/>
      <c r="I55" s="11" t="b">
        <v>1</v>
      </c>
      <c r="J55" s="83" t="str">
        <f t="shared" si="7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IFERROR(__xludf.DUMMYFUNCTION("""COMPUTED_VALUE"""),"lupo6")</f>
        <v>lupo6</v>
      </c>
      <c r="R55" s="49">
        <f>IFERROR(__xludf.DUMMYFUNCTION("""COMPUTED_VALUE"""),2668.0)</f>
        <v>2668</v>
      </c>
      <c r="S55" s="49"/>
    </row>
    <row r="56">
      <c r="A56" s="43">
        <v>8.0</v>
      </c>
      <c r="B56" s="43">
        <v>3.0</v>
      </c>
      <c r="C56" s="43">
        <v>52.1181866790461</v>
      </c>
      <c r="D56" s="43">
        <v>-0.467417098848613</v>
      </c>
      <c r="E56" s="43" t="s">
        <v>98</v>
      </c>
      <c r="F56" s="44" t="s">
        <v>141</v>
      </c>
      <c r="G56" s="45" t="s">
        <v>912</v>
      </c>
      <c r="H56" s="46"/>
      <c r="I56" s="11" t="b">
        <v>1</v>
      </c>
      <c r="J56" s="83" t="str">
        <f t="shared" si="7"/>
        <v/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IFERROR(__xludf.DUMMYFUNCTION("""COMPUTED_VALUE"""),"cbf600")</f>
        <v>cbf600</v>
      </c>
      <c r="R56" s="49">
        <f>IFERROR(__xludf.DUMMYFUNCTION("""COMPUTED_VALUE"""),4086.0)</f>
        <v>4086</v>
      </c>
      <c r="S56" s="49"/>
    </row>
    <row r="57">
      <c r="A57" s="43">
        <v>8.0</v>
      </c>
      <c r="B57" s="43">
        <v>4.0</v>
      </c>
      <c r="C57" s="43">
        <v>52.1181866788143</v>
      </c>
      <c r="D57" s="43">
        <v>-0.467183023404004</v>
      </c>
      <c r="E57" s="43" t="s">
        <v>103</v>
      </c>
      <c r="F57" s="44" t="s">
        <v>182</v>
      </c>
      <c r="G57" s="45" t="s">
        <v>913</v>
      </c>
      <c r="H57" s="46"/>
      <c r="I57" s="11" t="b">
        <v>1</v>
      </c>
      <c r="J57" s="83" t="str">
        <f t="shared" si="7"/>
        <v/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IFERROR(__xludf.DUMMYFUNCTION("""COMPUTED_VALUE"""),"TheFatCats")</f>
        <v>TheFatCats</v>
      </c>
      <c r="R57" s="49">
        <f>IFERROR(__xludf.DUMMYFUNCTION("""COMPUTED_VALUE"""),4331.0)</f>
        <v>4331</v>
      </c>
      <c r="S57" s="49"/>
    </row>
    <row r="58">
      <c r="A58" s="43">
        <v>8.0</v>
      </c>
      <c r="B58" s="43">
        <v>5.0</v>
      </c>
      <c r="C58" s="43">
        <v>52.1181866785826</v>
      </c>
      <c r="D58" s="43">
        <v>-0.466948947959394</v>
      </c>
      <c r="E58" s="43" t="s">
        <v>103</v>
      </c>
      <c r="F58" s="44" t="s">
        <v>120</v>
      </c>
      <c r="G58" s="45" t="s">
        <v>914</v>
      </c>
      <c r="H58" s="46"/>
      <c r="I58" s="11" t="b">
        <v>1</v>
      </c>
      <c r="J58" s="83" t="str">
        <f t="shared" si="7"/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IFERROR(__xludf.DUMMYFUNCTION("""COMPUTED_VALUE"""),"xrayneex")</f>
        <v>xrayneex</v>
      </c>
      <c r="R58" s="49">
        <f>IFERROR(__xludf.DUMMYFUNCTION("""COMPUTED_VALUE"""),1702.0)</f>
        <v>1702</v>
      </c>
      <c r="S58" s="49"/>
    </row>
    <row r="59">
      <c r="A59" s="43">
        <v>8.0</v>
      </c>
      <c r="B59" s="43">
        <v>6.0</v>
      </c>
      <c r="C59" s="43">
        <v>52.1181866783509</v>
      </c>
      <c r="D59" s="43">
        <v>-0.466714872514785</v>
      </c>
      <c r="E59" s="43" t="s">
        <v>98</v>
      </c>
      <c r="F59" s="44" t="s">
        <v>870</v>
      </c>
      <c r="G59" s="45" t="s">
        <v>915</v>
      </c>
      <c r="H59" s="46"/>
      <c r="I59" s="11" t="b">
        <v>1</v>
      </c>
      <c r="J59" s="83" t="str">
        <f t="shared" si="7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IFERROR(__xludf.DUMMYFUNCTION("""COMPUTED_VALUE"""),"amadoreugen")</f>
        <v>amadoreugen</v>
      </c>
      <c r="R59" s="49">
        <f>IFERROR(__xludf.DUMMYFUNCTION("""COMPUTED_VALUE"""),5756.0)</f>
        <v>5756</v>
      </c>
      <c r="S59" s="49"/>
    </row>
    <row r="60">
      <c r="J60" s="83"/>
    </row>
    <row r="61" hidden="1">
      <c r="F61" s="47">
        <f t="shared" ref="F61:G61" si="8">COUNTIF(F8:F59,"")</f>
        <v>0</v>
      </c>
      <c r="G61" s="47">
        <f t="shared" si="8"/>
        <v>0</v>
      </c>
      <c r="I61" s="47">
        <f>COUNTIF(I8:I59,TRUE)</f>
        <v>52</v>
      </c>
      <c r="J61" s="83"/>
    </row>
    <row r="62" hidden="1">
      <c r="J62" s="83"/>
    </row>
    <row r="63" hidden="1">
      <c r="J63" s="83"/>
    </row>
    <row r="64">
      <c r="J64" s="83"/>
    </row>
    <row r="65">
      <c r="J65" s="83"/>
    </row>
    <row r="66">
      <c r="J66" s="83"/>
    </row>
    <row r="67">
      <c r="J67" s="83"/>
    </row>
    <row r="68">
      <c r="J68" s="83"/>
    </row>
    <row r="69">
      <c r="J69" s="83"/>
    </row>
    <row r="70">
      <c r="J70" s="83"/>
    </row>
    <row r="71">
      <c r="J71" s="83"/>
    </row>
    <row r="72">
      <c r="J72" s="83"/>
    </row>
    <row r="73">
      <c r="J73" s="83"/>
    </row>
    <row r="74">
      <c r="J74" s="83"/>
    </row>
    <row r="75">
      <c r="J75" s="83"/>
    </row>
    <row r="76">
      <c r="J76" s="83"/>
    </row>
    <row r="77">
      <c r="J77" s="83"/>
    </row>
    <row r="78">
      <c r="J78" s="83"/>
    </row>
    <row r="79">
      <c r="J79" s="83"/>
    </row>
    <row r="80">
      <c r="J80" s="83"/>
    </row>
    <row r="81">
      <c r="J81" s="83"/>
    </row>
    <row r="82">
      <c r="J82" s="83"/>
    </row>
    <row r="83">
      <c r="J83" s="83"/>
    </row>
    <row r="84">
      <c r="J84" s="83"/>
    </row>
    <row r="85">
      <c r="J85" s="83"/>
    </row>
    <row r="86">
      <c r="J86" s="83"/>
    </row>
    <row r="87">
      <c r="J87" s="83"/>
    </row>
    <row r="88">
      <c r="J88" s="83"/>
    </row>
    <row r="89">
      <c r="J89" s="83"/>
    </row>
    <row r="90">
      <c r="J90" s="83"/>
    </row>
    <row r="91">
      <c r="J91" s="83"/>
    </row>
    <row r="92">
      <c r="J92" s="83"/>
    </row>
    <row r="93">
      <c r="J93" s="83"/>
    </row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5"/>
    <hyperlink r:id="rId37" ref="O25"/>
    <hyperlink r:id="rId38" ref="G26"/>
    <hyperlink r:id="rId39" ref="O26"/>
    <hyperlink r:id="rId40" ref="G27"/>
    <hyperlink r:id="rId41" ref="O27"/>
    <hyperlink r:id="rId42" ref="G28"/>
    <hyperlink r:id="rId43" ref="O28"/>
    <hyperlink r:id="rId44" ref="G29"/>
    <hyperlink r:id="rId45" ref="O29"/>
    <hyperlink r:id="rId46" ref="G30"/>
    <hyperlink r:id="rId47" ref="O30"/>
    <hyperlink r:id="rId48" ref="G31"/>
    <hyperlink r:id="rId49" ref="O31"/>
    <hyperlink r:id="rId50" ref="G32"/>
    <hyperlink r:id="rId51" ref="O32"/>
    <hyperlink r:id="rId52" ref="G33"/>
    <hyperlink r:id="rId53" ref="O33"/>
    <hyperlink r:id="rId54" ref="G34"/>
    <hyperlink r:id="rId55" ref="O34"/>
    <hyperlink r:id="rId56" ref="G35"/>
    <hyperlink r:id="rId57" ref="O35"/>
    <hyperlink r:id="rId58" ref="G36"/>
    <hyperlink r:id="rId59" ref="O36"/>
    <hyperlink r:id="rId60" ref="G37"/>
    <hyperlink r:id="rId61" ref="O37"/>
    <hyperlink r:id="rId62" ref="G38"/>
    <hyperlink r:id="rId63" ref="O38"/>
    <hyperlink r:id="rId64" ref="G39"/>
    <hyperlink r:id="rId65" ref="O39"/>
    <hyperlink r:id="rId66" ref="G40"/>
    <hyperlink r:id="rId67" ref="O40"/>
    <hyperlink r:id="rId68" ref="G41"/>
    <hyperlink r:id="rId69" ref="O41"/>
    <hyperlink r:id="rId70" ref="G42"/>
    <hyperlink r:id="rId71" ref="O42"/>
    <hyperlink r:id="rId72" ref="G43"/>
    <hyperlink r:id="rId73" ref="O43"/>
    <hyperlink r:id="rId74" ref="G44"/>
    <hyperlink r:id="rId75" ref="O44"/>
    <hyperlink r:id="rId76" ref="G45"/>
    <hyperlink r:id="rId77" ref="O45"/>
    <hyperlink r:id="rId78" ref="G46"/>
    <hyperlink r:id="rId79" ref="O46"/>
    <hyperlink r:id="rId80" ref="G47"/>
    <hyperlink r:id="rId81" ref="O47"/>
    <hyperlink r:id="rId82" ref="G48"/>
    <hyperlink r:id="rId83" ref="O48"/>
    <hyperlink r:id="rId84" ref="G49"/>
    <hyperlink r:id="rId85" ref="O49"/>
    <hyperlink r:id="rId86" ref="G50"/>
    <hyperlink r:id="rId87" ref="O50"/>
    <hyperlink r:id="rId88" ref="G51"/>
    <hyperlink r:id="rId89" ref="O51"/>
    <hyperlink r:id="rId90" ref="G52"/>
    <hyperlink r:id="rId91" ref="O52"/>
    <hyperlink r:id="rId92" ref="G53"/>
    <hyperlink r:id="rId93" ref="O53"/>
    <hyperlink r:id="rId94" ref="G54"/>
    <hyperlink r:id="rId95" ref="O54"/>
    <hyperlink r:id="rId96" ref="G55"/>
    <hyperlink r:id="rId97" ref="O55"/>
    <hyperlink r:id="rId98" ref="G56"/>
    <hyperlink r:id="rId99" ref="O56"/>
    <hyperlink r:id="rId100" ref="G57"/>
    <hyperlink r:id="rId101" ref="O57"/>
    <hyperlink r:id="rId102" ref="G58"/>
    <hyperlink r:id="rId103" ref="O58"/>
    <hyperlink r:id="rId104" ref="G59"/>
    <hyperlink r:id="rId105" ref="O59"/>
  </hyperlinks>
  <drawing r:id="rId106"/>
  <tableParts count="1">
    <tablePart r:id="rId108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6.63"/>
    <col customWidth="1" min="2" max="2" width="8.0"/>
    <col customWidth="1" min="3" max="4" width="15.0"/>
    <col customWidth="1" min="5" max="5" width="16.5"/>
    <col customWidth="1" min="6" max="6" width="13.38"/>
    <col customWidth="1" min="7" max="7" width="44.13"/>
    <col customWidth="1" min="8" max="8" width="20.25"/>
    <col customWidth="1" min="9" max="9" width="9.2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17</v>
      </c>
      <c r="D1" s="106" t="s">
        <v>18</v>
      </c>
      <c r="E1" s="2" t="s">
        <v>79</v>
      </c>
      <c r="F1" s="11" t="s">
        <v>885</v>
      </c>
      <c r="G1" s="107" t="s">
        <v>916</v>
      </c>
      <c r="H1" s="97" t="s">
        <v>769</v>
      </c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108"/>
      <c r="D2" s="108"/>
      <c r="E2" s="2" t="s">
        <v>82</v>
      </c>
      <c r="F2" s="2"/>
      <c r="G2" s="4" t="s">
        <v>917</v>
      </c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108"/>
      <c r="D3" s="108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108"/>
      <c r="D4" s="108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109"/>
      <c r="D5" s="109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109"/>
      <c r="D6" s="109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110" t="s">
        <v>87</v>
      </c>
      <c r="D7" s="110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111">
        <v>52.6017783681849</v>
      </c>
      <c r="D8" s="111">
        <v>13.3772698762609</v>
      </c>
      <c r="E8" s="43" t="s">
        <v>98</v>
      </c>
      <c r="F8" s="44" t="s">
        <v>918</v>
      </c>
      <c r="G8" s="112" t="s">
        <v>919</v>
      </c>
      <c r="H8" s="46"/>
      <c r="I8" s="11" t="b">
        <v>1</v>
      </c>
      <c r="J8" s="47" t="str">
        <f t="shared" ref="J8:J59" si="1">if(I8=true,"",S8)</f>
        <v/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IFERROR(__xludf.DUMMYFUNCTION("""COMPUTED_VALUE"""),"5Star")</f>
        <v>5Star</v>
      </c>
      <c r="R8" s="49">
        <f>IFERROR(__xludf.DUMMYFUNCTION("""COMPUTED_VALUE"""),5652.0)</f>
        <v>5652</v>
      </c>
      <c r="S8" s="113"/>
    </row>
    <row r="9">
      <c r="A9" s="43">
        <v>1.0</v>
      </c>
      <c r="B9" s="43">
        <v>4.0</v>
      </c>
      <c r="C9" s="111">
        <v>52.6017783679491</v>
      </c>
      <c r="D9" s="111">
        <v>13.3775065275586</v>
      </c>
      <c r="E9" s="43" t="s">
        <v>98</v>
      </c>
      <c r="F9" s="44" t="s">
        <v>920</v>
      </c>
      <c r="G9" s="65" t="s">
        <v>921</v>
      </c>
      <c r="H9" s="46"/>
      <c r="I9" s="11" t="b">
        <v>1</v>
      </c>
      <c r="J9" s="47" t="str">
        <f t="shared" si="1"/>
        <v/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IFERROR(__xludf.DUMMYFUNCTION("""COMPUTED_VALUE"""),"FromTheTardis")</f>
        <v>FromTheTardis</v>
      </c>
      <c r="R9" s="49">
        <f>IFERROR(__xludf.DUMMYFUNCTION("""COMPUTED_VALUE"""),1297.0)</f>
        <v>1297</v>
      </c>
      <c r="S9" s="49"/>
    </row>
    <row r="10">
      <c r="A10" s="43">
        <v>1.0</v>
      </c>
      <c r="B10" s="43">
        <v>5.0</v>
      </c>
      <c r="C10" s="111">
        <v>52.6017783677133</v>
      </c>
      <c r="D10" s="111">
        <v>13.3777431788564</v>
      </c>
      <c r="E10" s="43" t="s">
        <v>103</v>
      </c>
      <c r="F10" s="44" t="s">
        <v>922</v>
      </c>
      <c r="G10" s="45" t="s">
        <v>923</v>
      </c>
      <c r="H10" s="46"/>
      <c r="I10" s="11" t="b">
        <v>1</v>
      </c>
      <c r="J10" s="47" t="str">
        <f t="shared" si="1"/>
        <v/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IFERROR(__xludf.DUMMYFUNCTION("""COMPUTED_VALUE"""),"DHitz")</f>
        <v>DHitz</v>
      </c>
      <c r="R10" s="49">
        <f>IFERROR(__xludf.DUMMYFUNCTION("""COMPUTED_VALUE"""),3733.0)</f>
        <v>3733</v>
      </c>
      <c r="S10" s="49"/>
    </row>
    <row r="11">
      <c r="A11" s="43">
        <v>1.0</v>
      </c>
      <c r="B11" s="43">
        <v>6.0</v>
      </c>
      <c r="C11" s="111">
        <v>52.6017783674775</v>
      </c>
      <c r="D11" s="111">
        <v>13.3779798301542</v>
      </c>
      <c r="E11" s="43" t="s">
        <v>103</v>
      </c>
      <c r="F11" s="44" t="s">
        <v>116</v>
      </c>
      <c r="G11" s="65" t="s">
        <v>924</v>
      </c>
      <c r="H11" s="46"/>
      <c r="I11" s="11" t="b">
        <v>1</v>
      </c>
      <c r="J11" s="47" t="str">
        <f t="shared" si="1"/>
        <v/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IFERROR(__xludf.DUMMYFUNCTION("""COMPUTED_VALUE"""),"fsafranek")</f>
        <v>fsafranek</v>
      </c>
      <c r="R11" s="49">
        <f>IFERROR(__xludf.DUMMYFUNCTION("""COMPUTED_VALUE"""),4141.0)</f>
        <v>4141</v>
      </c>
      <c r="S11" s="49"/>
    </row>
    <row r="12">
      <c r="A12" s="43">
        <v>2.0</v>
      </c>
      <c r="B12" s="43">
        <v>2.0</v>
      </c>
      <c r="C12" s="111">
        <v>52.6016346379753</v>
      </c>
      <c r="D12" s="111">
        <v>13.3770332039962</v>
      </c>
      <c r="E12" s="43" t="s">
        <v>98</v>
      </c>
      <c r="F12" s="44" t="s">
        <v>134</v>
      </c>
      <c r="G12" s="45" t="s">
        <v>925</v>
      </c>
      <c r="H12" s="44"/>
      <c r="I12" s="11" t="b">
        <v>1</v>
      </c>
      <c r="J12" s="47" t="str">
        <f t="shared" si="1"/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IFERROR(__xludf.DUMMYFUNCTION("""COMPUTED_VALUE"""),"Wangotango")</f>
        <v>Wangotango</v>
      </c>
      <c r="R12" s="49">
        <f>IFERROR(__xludf.DUMMYFUNCTION("""COMPUTED_VALUE"""),1169.0)</f>
        <v>1169</v>
      </c>
      <c r="S12" s="49"/>
    </row>
    <row r="13">
      <c r="A13" s="43">
        <v>2.0</v>
      </c>
      <c r="B13" s="43">
        <v>3.0</v>
      </c>
      <c r="C13" s="111">
        <v>52.6016346377395</v>
      </c>
      <c r="D13" s="111">
        <v>13.3772698545175</v>
      </c>
      <c r="E13" s="43" t="s">
        <v>98</v>
      </c>
      <c r="F13" s="11" t="s">
        <v>926</v>
      </c>
      <c r="G13" s="65" t="s">
        <v>927</v>
      </c>
      <c r="H13" s="46"/>
      <c r="I13" s="11" t="b">
        <v>1</v>
      </c>
      <c r="J13" s="47" t="str">
        <f t="shared" si="1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IFERROR(__xludf.DUMMYFUNCTION("""COMPUTED_VALUE"""),"Lanyasummer")</f>
        <v>Lanyasummer</v>
      </c>
      <c r="R13" s="49">
        <f>IFERROR(__xludf.DUMMYFUNCTION("""COMPUTED_VALUE"""),4145.0)</f>
        <v>4145</v>
      </c>
      <c r="S13" s="49"/>
    </row>
    <row r="14">
      <c r="A14" s="43">
        <v>2.0</v>
      </c>
      <c r="B14" s="43">
        <v>4.0</v>
      </c>
      <c r="C14" s="111">
        <v>52.6016346375037</v>
      </c>
      <c r="D14" s="111">
        <v>13.3775065050388</v>
      </c>
      <c r="E14" s="43" t="s">
        <v>98</v>
      </c>
      <c r="F14" s="44" t="s">
        <v>114</v>
      </c>
      <c r="G14" s="112" t="s">
        <v>928</v>
      </c>
      <c r="H14" s="44"/>
      <c r="I14" s="11" t="b">
        <v>1</v>
      </c>
      <c r="J14" s="47" t="str">
        <f t="shared" si="1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IFERROR(__xludf.DUMMYFUNCTION("""COMPUTED_VALUE"""),11202.0)</f>
        <v>11202</v>
      </c>
      <c r="S14" s="49"/>
    </row>
    <row r="15">
      <c r="A15" s="43">
        <v>2.0</v>
      </c>
      <c r="B15" s="43">
        <v>5.0</v>
      </c>
      <c r="C15" s="111">
        <v>52.6016346372679</v>
      </c>
      <c r="D15" s="111">
        <v>13.37774315556</v>
      </c>
      <c r="E15" s="43" t="s">
        <v>103</v>
      </c>
      <c r="F15" s="44" t="s">
        <v>929</v>
      </c>
      <c r="G15" s="45" t="s">
        <v>930</v>
      </c>
      <c r="H15" s="46"/>
      <c r="I15" s="11" t="b">
        <v>1</v>
      </c>
      <c r="J15" s="47" t="str">
        <f t="shared" si="1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IFERROR(__xludf.DUMMYFUNCTION("""COMPUTED_VALUE"""),"Dazzle007")</f>
        <v>Dazzle007</v>
      </c>
      <c r="R15" s="49">
        <f>IFERROR(__xludf.DUMMYFUNCTION("""COMPUTED_VALUE"""),768.0)</f>
        <v>768</v>
      </c>
      <c r="S15" s="49"/>
    </row>
    <row r="16">
      <c r="A16" s="43">
        <v>2.0</v>
      </c>
      <c r="B16" s="43">
        <v>6.0</v>
      </c>
      <c r="C16" s="111">
        <v>52.6016346370321</v>
      </c>
      <c r="D16" s="111">
        <v>13.3779798060813</v>
      </c>
      <c r="E16" s="43" t="s">
        <v>98</v>
      </c>
      <c r="F16" s="44" t="s">
        <v>178</v>
      </c>
      <c r="G16" s="45" t="s">
        <v>931</v>
      </c>
      <c r="H16" s="46"/>
      <c r="I16" s="11" t="b">
        <v>1</v>
      </c>
      <c r="J16" s="47" t="str">
        <f t="shared" si="1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IFERROR(__xludf.DUMMYFUNCTION("""COMPUTED_VALUE"""),"lison55")</f>
        <v>lison55</v>
      </c>
      <c r="R16" s="49">
        <f>IFERROR(__xludf.DUMMYFUNCTION("""COMPUTED_VALUE"""),5129.0)</f>
        <v>5129</v>
      </c>
      <c r="S16" s="49"/>
    </row>
    <row r="17">
      <c r="A17" s="43">
        <v>2.0</v>
      </c>
      <c r="B17" s="43">
        <v>7.0</v>
      </c>
      <c r="C17" s="111">
        <v>52.6016346367963</v>
      </c>
      <c r="D17" s="111">
        <v>13.3782164566026</v>
      </c>
      <c r="E17" s="43" t="s">
        <v>98</v>
      </c>
      <c r="F17" s="44" t="s">
        <v>169</v>
      </c>
      <c r="G17" s="65" t="s">
        <v>932</v>
      </c>
      <c r="H17" s="44"/>
      <c r="I17" s="11" t="b">
        <v>1</v>
      </c>
      <c r="J17" s="47" t="str">
        <f t="shared" si="1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IFERROR(__xludf.DUMMYFUNCTION("""COMPUTED_VALUE"""),"Pinkeltje")</f>
        <v>Pinkeltje</v>
      </c>
      <c r="R17" s="49">
        <f>IFERROR(__xludf.DUMMYFUNCTION("""COMPUTED_VALUE"""),1082.0)</f>
        <v>1082</v>
      </c>
      <c r="S17" s="49"/>
    </row>
    <row r="18">
      <c r="A18" s="43">
        <v>3.0</v>
      </c>
      <c r="B18" s="43">
        <v>1.0</v>
      </c>
      <c r="C18" s="111">
        <v>52.6014909077657</v>
      </c>
      <c r="D18" s="111">
        <v>13.3767965332864</v>
      </c>
      <c r="E18" s="43" t="s">
        <v>98</v>
      </c>
      <c r="F18" s="44" t="s">
        <v>933</v>
      </c>
      <c r="G18" s="52" t="s">
        <v>934</v>
      </c>
      <c r="H18" s="46"/>
      <c r="I18" s="11" t="b">
        <v>1</v>
      </c>
      <c r="J18" s="47" t="str">
        <f t="shared" si="1"/>
        <v/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IFERROR(__xludf.DUMMYFUNCTION("""COMPUTED_VALUE"""),"Bambinacattiva")</f>
        <v>Bambinacattiva</v>
      </c>
      <c r="R18" s="49">
        <f>IFERROR(__xludf.DUMMYFUNCTION("""COMPUTED_VALUE"""),706.0)</f>
        <v>706</v>
      </c>
      <c r="S18" s="49"/>
    </row>
    <row r="19">
      <c r="A19" s="43">
        <v>3.0</v>
      </c>
      <c r="B19" s="43">
        <v>2.0</v>
      </c>
      <c r="C19" s="111">
        <v>52.6014909075298</v>
      </c>
      <c r="D19" s="111">
        <v>13.3770331830312</v>
      </c>
      <c r="E19" s="43" t="s">
        <v>98</v>
      </c>
      <c r="F19" s="44" t="s">
        <v>101</v>
      </c>
      <c r="G19" s="45" t="s">
        <v>935</v>
      </c>
      <c r="H19" s="46"/>
      <c r="I19" s="11" t="b">
        <v>1</v>
      </c>
      <c r="J19" s="47" t="str">
        <f t="shared" si="1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IFERROR(__xludf.DUMMYFUNCTION("""COMPUTED_VALUE"""),"sverlaan")</f>
        <v>sverlaan</v>
      </c>
      <c r="R19" s="49">
        <f>IFERROR(__xludf.DUMMYFUNCTION("""COMPUTED_VALUE"""),4146.0)</f>
        <v>4146</v>
      </c>
      <c r="S19" s="49"/>
    </row>
    <row r="20">
      <c r="A20" s="43">
        <v>3.0</v>
      </c>
      <c r="B20" s="43">
        <v>3.0</v>
      </c>
      <c r="C20" s="111">
        <v>52.601490907294</v>
      </c>
      <c r="D20" s="111">
        <v>13.377269832776</v>
      </c>
      <c r="E20" s="43" t="s">
        <v>98</v>
      </c>
      <c r="F20" s="44" t="s">
        <v>936</v>
      </c>
      <c r="G20" s="45" t="s">
        <v>937</v>
      </c>
      <c r="H20" s="46"/>
      <c r="I20" s="11" t="b">
        <v>1</v>
      </c>
      <c r="J20" s="47" t="str">
        <f t="shared" si="1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IFERROR(__xludf.DUMMYFUNCTION("""COMPUTED_VALUE"""),"EmileP68")</f>
        <v>EmileP68</v>
      </c>
      <c r="R20" s="49">
        <f>IFERROR(__xludf.DUMMYFUNCTION("""COMPUTED_VALUE"""),2925.0)</f>
        <v>2925</v>
      </c>
      <c r="S20" s="49"/>
    </row>
    <row r="21">
      <c r="A21" s="43">
        <v>3.0</v>
      </c>
      <c r="B21" s="43">
        <v>4.0</v>
      </c>
      <c r="C21" s="111">
        <v>52.6014909070582</v>
      </c>
      <c r="D21" s="111">
        <v>13.3775064825208</v>
      </c>
      <c r="E21" s="43" t="s">
        <v>98</v>
      </c>
      <c r="F21" s="44" t="s">
        <v>938</v>
      </c>
      <c r="G21" s="45" t="s">
        <v>939</v>
      </c>
      <c r="H21" s="46"/>
      <c r="I21" s="11" t="b">
        <v>1</v>
      </c>
      <c r="J21" s="47" t="str">
        <f t="shared" si="1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IFERROR(__xludf.DUMMYFUNCTION("""COMPUTED_VALUE"""),"PawPatrolThomas")</f>
        <v>PawPatrolThomas</v>
      </c>
      <c r="R21" s="49">
        <f>IFERROR(__xludf.DUMMYFUNCTION("""COMPUTED_VALUE"""),2214.0)</f>
        <v>2214</v>
      </c>
      <c r="S21" s="49"/>
    </row>
    <row r="22">
      <c r="A22" s="43">
        <v>3.0</v>
      </c>
      <c r="B22" s="43">
        <v>5.0</v>
      </c>
      <c r="C22" s="111">
        <v>52.6014909068224</v>
      </c>
      <c r="D22" s="111">
        <v>13.3777431322656</v>
      </c>
      <c r="E22" s="43" t="s">
        <v>98</v>
      </c>
      <c r="F22" s="44" t="s">
        <v>940</v>
      </c>
      <c r="G22" s="45" t="s">
        <v>941</v>
      </c>
      <c r="H22" s="46"/>
      <c r="I22" s="11" t="b">
        <v>1</v>
      </c>
      <c r="J22" s="47" t="str">
        <f t="shared" si="1"/>
        <v/>
      </c>
      <c r="K22" s="49" t="str">
        <f>IFERROR(__xludf.DUMMYFUNCTION("IF(M22=1,IFERROR(IMPORTXML(G22, ""//p[@class='status-date']""),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IFERROR(__xludf.DUMMYFUNCTION("""COMPUTED_VALUE"""),"WiseOldWizard")</f>
        <v>WiseOldWizard</v>
      </c>
      <c r="R22" s="49">
        <f>IFERROR(__xludf.DUMMYFUNCTION("""COMPUTED_VALUE"""),3930.0)</f>
        <v>3930</v>
      </c>
      <c r="S22" s="49"/>
    </row>
    <row r="23">
      <c r="A23" s="43">
        <v>3.0</v>
      </c>
      <c r="B23" s="43">
        <v>6.0</v>
      </c>
      <c r="C23" s="111">
        <v>52.6014909065866</v>
      </c>
      <c r="D23" s="111">
        <v>13.3779797820104</v>
      </c>
      <c r="E23" s="43" t="s">
        <v>98</v>
      </c>
      <c r="F23" s="44" t="s">
        <v>942</v>
      </c>
      <c r="G23" s="54" t="s">
        <v>943</v>
      </c>
      <c r="H23" s="46"/>
      <c r="I23" s="11" t="b">
        <v>1</v>
      </c>
      <c r="J23" s="47" t="str">
        <f t="shared" si="1"/>
        <v/>
      </c>
      <c r="K23" s="49" t="str">
        <f>IFERROR(__xludf.DUMMYFUNCTION("IF(M23=1,IFERROR(IMPORTXML(G23, ""//p[@class='status-date']""),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IFERROR(__xludf.DUMMYFUNCTION("""COMPUTED_VALUE"""),"hoekraam")</f>
        <v>hoekraam</v>
      </c>
      <c r="R23" s="49">
        <f>IFERROR(__xludf.DUMMYFUNCTION("""COMPUTED_VALUE"""),6623.0)</f>
        <v>6623</v>
      </c>
      <c r="S23" s="49"/>
    </row>
    <row r="24">
      <c r="A24" s="43">
        <v>3.0</v>
      </c>
      <c r="B24" s="43">
        <v>7.0</v>
      </c>
      <c r="C24" s="111">
        <v>52.6014909063508</v>
      </c>
      <c r="D24" s="111">
        <v>13.3782164317552</v>
      </c>
      <c r="E24" s="43" t="s">
        <v>98</v>
      </c>
      <c r="F24" s="44" t="s">
        <v>120</v>
      </c>
      <c r="G24" s="45" t="s">
        <v>944</v>
      </c>
      <c r="H24" s="46"/>
      <c r="I24" s="11" t="b">
        <v>1</v>
      </c>
      <c r="J24" s="47" t="str">
        <f t="shared" si="1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IFERROR(__xludf.DUMMYFUNCTION("""COMPUTED_VALUE"""),"xrayneex")</f>
        <v>xrayneex</v>
      </c>
      <c r="R24" s="49">
        <f>IFERROR(__xludf.DUMMYFUNCTION("""COMPUTED_VALUE"""),1328.0)</f>
        <v>1328</v>
      </c>
      <c r="S24" s="49"/>
    </row>
    <row r="25">
      <c r="A25" s="43">
        <v>3.0</v>
      </c>
      <c r="B25" s="43">
        <v>8.0</v>
      </c>
      <c r="C25" s="111">
        <v>52.601490906115</v>
      </c>
      <c r="D25" s="111">
        <v>13.3784530815</v>
      </c>
      <c r="E25" s="43" t="s">
        <v>98</v>
      </c>
      <c r="F25" s="44" t="s">
        <v>157</v>
      </c>
      <c r="G25" s="45" t="s">
        <v>945</v>
      </c>
      <c r="H25" s="46"/>
      <c r="I25" s="11" t="b">
        <v>1</v>
      </c>
      <c r="J25" s="47" t="str">
        <f t="shared" si="1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IFERROR(__xludf.DUMMYFUNCTION("""COMPUTED_VALUE"""),"barefootguru")</f>
        <v>barefootguru</v>
      </c>
      <c r="R25" s="49">
        <f>IFERROR(__xludf.DUMMYFUNCTION("""COMPUTED_VALUE"""),3090.0)</f>
        <v>3090</v>
      </c>
      <c r="S25" s="49"/>
    </row>
    <row r="26">
      <c r="A26" s="43">
        <v>4.0</v>
      </c>
      <c r="B26" s="43">
        <v>1.0</v>
      </c>
      <c r="C26" s="111">
        <v>52.6013471773203</v>
      </c>
      <c r="D26" s="111">
        <v>13.3767965130964</v>
      </c>
      <c r="E26" s="43" t="s">
        <v>98</v>
      </c>
      <c r="F26" s="44" t="s">
        <v>110</v>
      </c>
      <c r="G26" s="52" t="s">
        <v>946</v>
      </c>
      <c r="H26" s="46"/>
      <c r="I26" s="11" t="b">
        <v>1</v>
      </c>
      <c r="J26" s="47" t="str">
        <f t="shared" si="1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IFERROR(__xludf.DUMMYFUNCTION("""COMPUTED_VALUE"""),"BrotherWilliam")</f>
        <v>BrotherWilliam</v>
      </c>
      <c r="R26" s="49">
        <f>IFERROR(__xludf.DUMMYFUNCTION("""COMPUTED_VALUE"""),3858.0)</f>
        <v>3858</v>
      </c>
      <c r="S26" s="49"/>
    </row>
    <row r="27">
      <c r="A27" s="43">
        <v>4.0</v>
      </c>
      <c r="B27" s="43">
        <v>2.0</v>
      </c>
      <c r="C27" s="111">
        <v>52.6013471770845</v>
      </c>
      <c r="D27" s="111">
        <v>13.3770331620646</v>
      </c>
      <c r="E27" s="43" t="s">
        <v>103</v>
      </c>
      <c r="F27" s="44" t="s">
        <v>629</v>
      </c>
      <c r="G27" s="54" t="s">
        <v>947</v>
      </c>
      <c r="H27" s="46"/>
      <c r="I27" s="11" t="b">
        <v>1</v>
      </c>
      <c r="J27" s="47" t="str">
        <f t="shared" si="1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IFERROR(__xludf.DUMMYFUNCTION("""COMPUTED_VALUE"""),"IggiePiggie")</f>
        <v>IggiePiggie</v>
      </c>
      <c r="R27" s="49">
        <f>IFERROR(__xludf.DUMMYFUNCTION("""COMPUTED_VALUE"""),1766.0)</f>
        <v>1766</v>
      </c>
      <c r="S27" s="49"/>
    </row>
    <row r="28">
      <c r="A28" s="43">
        <v>4.0</v>
      </c>
      <c r="B28" s="43">
        <v>3.0</v>
      </c>
      <c r="C28" s="111">
        <v>52.6013471768486</v>
      </c>
      <c r="D28" s="111">
        <v>13.3772698110328</v>
      </c>
      <c r="E28" s="43" t="s">
        <v>98</v>
      </c>
      <c r="F28" s="44" t="s">
        <v>112</v>
      </c>
      <c r="G28" s="52" t="s">
        <v>948</v>
      </c>
      <c r="H28" s="46"/>
      <c r="I28" s="11" t="b">
        <v>1</v>
      </c>
      <c r="J28" s="47" t="str">
        <f t="shared" si="1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IFERROR(__xludf.DUMMYFUNCTION("""COMPUTED_VALUE"""),"ArtofEco")</f>
        <v>ArtofEco</v>
      </c>
      <c r="R28" s="49">
        <f>IFERROR(__xludf.DUMMYFUNCTION("""COMPUTED_VALUE"""),2871.0)</f>
        <v>2871</v>
      </c>
      <c r="S28" s="49"/>
    </row>
    <row r="29">
      <c r="A29" s="43">
        <v>4.0</v>
      </c>
      <c r="B29" s="43">
        <v>4.0</v>
      </c>
      <c r="C29" s="111">
        <v>52.6013471766128</v>
      </c>
      <c r="D29" s="111">
        <v>13.377506460001</v>
      </c>
      <c r="E29" s="43" t="s">
        <v>98</v>
      </c>
      <c r="F29" s="44" t="s">
        <v>188</v>
      </c>
      <c r="G29" s="45" t="s">
        <v>949</v>
      </c>
      <c r="H29" s="46"/>
      <c r="I29" s="11" t="b">
        <v>1</v>
      </c>
      <c r="J29" s="47" t="str">
        <f t="shared" si="1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IFERROR(__xludf.DUMMYFUNCTION("""COMPUTED_VALUE"""),2682.0)</f>
        <v>2682</v>
      </c>
      <c r="S29" s="49"/>
    </row>
    <row r="30">
      <c r="A30" s="43">
        <v>4.0</v>
      </c>
      <c r="B30" s="43">
        <v>5.0</v>
      </c>
      <c r="C30" s="111">
        <v>52.601347176377</v>
      </c>
      <c r="D30" s="111">
        <v>13.3777431089692</v>
      </c>
      <c r="E30" s="43" t="s">
        <v>98</v>
      </c>
      <c r="F30" s="44" t="s">
        <v>950</v>
      </c>
      <c r="G30" s="45" t="s">
        <v>951</v>
      </c>
      <c r="H30" s="114"/>
      <c r="I30" s="11" t="b">
        <v>1</v>
      </c>
      <c r="J30" s="47" t="str">
        <f t="shared" si="1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IFERROR(__xludf.DUMMYFUNCTION("""COMPUTED_VALUE"""),"babyw")</f>
        <v>babyw</v>
      </c>
      <c r="R30" s="49">
        <f>IFERROR(__xludf.DUMMYFUNCTION("""COMPUTED_VALUE"""),2957.0)</f>
        <v>2957</v>
      </c>
      <c r="S30" s="49"/>
    </row>
    <row r="31">
      <c r="A31" s="43">
        <v>4.0</v>
      </c>
      <c r="B31" s="43">
        <v>6.0</v>
      </c>
      <c r="C31" s="111">
        <v>52.6013471761412</v>
      </c>
      <c r="D31" s="111">
        <v>13.3779797579375</v>
      </c>
      <c r="E31" s="43" t="s">
        <v>103</v>
      </c>
      <c r="F31" s="44" t="s">
        <v>314</v>
      </c>
      <c r="G31" s="45" t="s">
        <v>952</v>
      </c>
      <c r="H31" s="46"/>
      <c r="I31" s="11" t="b">
        <v>1</v>
      </c>
      <c r="J31" s="47" t="str">
        <f t="shared" si="1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IFERROR(__xludf.DUMMYFUNCTION("""COMPUTED_VALUE"""),"Trappertje")</f>
        <v>Trappertje</v>
      </c>
      <c r="R31" s="49">
        <f>IFERROR(__xludf.DUMMYFUNCTION("""COMPUTED_VALUE"""),4583.0)</f>
        <v>4583</v>
      </c>
      <c r="S31" s="49"/>
    </row>
    <row r="32">
      <c r="A32" s="43">
        <v>4.0</v>
      </c>
      <c r="B32" s="43">
        <v>7.0</v>
      </c>
      <c r="C32" s="111">
        <v>52.6013471759054</v>
      </c>
      <c r="D32" s="111">
        <v>13.3782164069057</v>
      </c>
      <c r="E32" s="43" t="s">
        <v>98</v>
      </c>
      <c r="F32" s="44" t="s">
        <v>319</v>
      </c>
      <c r="G32" s="45" t="s">
        <v>953</v>
      </c>
      <c r="H32" s="46"/>
      <c r="I32" s="11" t="b">
        <v>1</v>
      </c>
      <c r="J32" s="47" t="str">
        <f t="shared" si="1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IFERROR(__xludf.DUMMYFUNCTION("""COMPUTED_VALUE"""),"belladivadee")</f>
        <v>belladivadee</v>
      </c>
      <c r="R32" s="49">
        <f>IFERROR(__xludf.DUMMYFUNCTION("""COMPUTED_VALUE"""),2988.0)</f>
        <v>2988</v>
      </c>
      <c r="S32" s="49"/>
    </row>
    <row r="33">
      <c r="A33" s="43">
        <v>4.0</v>
      </c>
      <c r="B33" s="43">
        <v>8.0</v>
      </c>
      <c r="C33" s="111">
        <v>52.6013471756696</v>
      </c>
      <c r="D33" s="111">
        <v>13.3784530558739</v>
      </c>
      <c r="E33" s="43" t="s">
        <v>98</v>
      </c>
      <c r="F33" s="44" t="s">
        <v>954</v>
      </c>
      <c r="G33" s="45" t="s">
        <v>955</v>
      </c>
      <c r="H33" s="46"/>
      <c r="I33" s="11" t="b">
        <v>1</v>
      </c>
      <c r="J33" s="47" t="str">
        <f t="shared" si="1"/>
        <v/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IFERROR(__xludf.DUMMYFUNCTION("""COMPUTED_VALUE"""),"geckofreund")</f>
        <v>geckofreund</v>
      </c>
      <c r="R33" s="49">
        <f>IFERROR(__xludf.DUMMYFUNCTION("""COMPUTED_VALUE"""),4323.0)</f>
        <v>4323</v>
      </c>
      <c r="S33" s="49"/>
    </row>
    <row r="34">
      <c r="A34" s="43">
        <v>5.0</v>
      </c>
      <c r="B34" s="43">
        <v>1.0</v>
      </c>
      <c r="C34" s="111">
        <v>52.6012034468748</v>
      </c>
      <c r="D34" s="111">
        <v>13.3767964929065</v>
      </c>
      <c r="E34" s="43" t="s">
        <v>103</v>
      </c>
      <c r="F34" s="44" t="s">
        <v>956</v>
      </c>
      <c r="G34" s="45" t="s">
        <v>957</v>
      </c>
      <c r="H34" s="46"/>
      <c r="I34" s="11" t="b">
        <v>1</v>
      </c>
      <c r="J34" s="47" t="str">
        <f t="shared" si="1"/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IFERROR(__xludf.DUMMYFUNCTION("""COMPUTED_VALUE"""),"benotje")</f>
        <v>benotje</v>
      </c>
      <c r="R34" s="49">
        <f>IFERROR(__xludf.DUMMYFUNCTION("""COMPUTED_VALUE"""),1327.0)</f>
        <v>1327</v>
      </c>
      <c r="S34" s="49"/>
    </row>
    <row r="35">
      <c r="A35" s="43">
        <v>5.0</v>
      </c>
      <c r="B35" s="43">
        <v>2.0</v>
      </c>
      <c r="C35" s="111">
        <v>52.601203446639</v>
      </c>
      <c r="D35" s="111">
        <v>13.3770331410983</v>
      </c>
      <c r="E35" s="43" t="s">
        <v>98</v>
      </c>
      <c r="F35" s="44" t="s">
        <v>141</v>
      </c>
      <c r="G35" s="54" t="s">
        <v>958</v>
      </c>
      <c r="H35" s="46"/>
      <c r="I35" s="11" t="b">
        <v>1</v>
      </c>
      <c r="J35" s="47" t="str">
        <f t="shared" si="1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IFERROR(__xludf.DUMMYFUNCTION("""COMPUTED_VALUE"""),2384.0)</f>
        <v>2384</v>
      </c>
      <c r="S35" s="49"/>
    </row>
    <row r="36">
      <c r="A36" s="43">
        <v>5.0</v>
      </c>
      <c r="B36" s="43">
        <v>3.0</v>
      </c>
      <c r="C36" s="111">
        <v>52.6012034464032</v>
      </c>
      <c r="D36" s="111">
        <v>13.37726978929</v>
      </c>
      <c r="E36" s="43" t="s">
        <v>103</v>
      </c>
      <c r="F36" s="44" t="s">
        <v>149</v>
      </c>
      <c r="G36" s="45" t="s">
        <v>959</v>
      </c>
      <c r="H36" s="46"/>
      <c r="I36" s="11" t="b">
        <v>1</v>
      </c>
      <c r="J36" s="47" t="str">
        <f t="shared" si="1"/>
        <v/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IFERROR(__xludf.DUMMYFUNCTION("""COMPUTED_VALUE"""),"Bisquick2")</f>
        <v>Bisquick2</v>
      </c>
      <c r="R36" s="49">
        <f>IFERROR(__xludf.DUMMYFUNCTION("""COMPUTED_VALUE"""),3976.0)</f>
        <v>3976</v>
      </c>
      <c r="S36" s="115">
        <v>44050.0</v>
      </c>
    </row>
    <row r="37">
      <c r="A37" s="43">
        <v>5.0</v>
      </c>
      <c r="B37" s="43">
        <v>4.0</v>
      </c>
      <c r="C37" s="111">
        <v>52.6012034461674</v>
      </c>
      <c r="D37" s="111">
        <v>13.3775064374817</v>
      </c>
      <c r="E37" s="43" t="s">
        <v>98</v>
      </c>
      <c r="F37" s="44" t="s">
        <v>960</v>
      </c>
      <c r="G37" s="45" t="s">
        <v>961</v>
      </c>
      <c r="H37" s="46"/>
      <c r="I37" s="11" t="b">
        <v>1</v>
      </c>
      <c r="J37" s="47" t="str">
        <f t="shared" si="1"/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IFERROR(__xludf.DUMMYFUNCTION("""COMPUTED_VALUE"""),"ChickenRun")</f>
        <v>ChickenRun</v>
      </c>
      <c r="R37" s="49">
        <f>IFERROR(__xludf.DUMMYFUNCTION("""COMPUTED_VALUE"""),10578.0)</f>
        <v>10578</v>
      </c>
      <c r="S37" s="51">
        <v>44027.303823078706</v>
      </c>
    </row>
    <row r="38">
      <c r="A38" s="43">
        <v>5.0</v>
      </c>
      <c r="B38" s="43">
        <v>5.0</v>
      </c>
      <c r="C38" s="111">
        <v>52.6012034459316</v>
      </c>
      <c r="D38" s="111">
        <v>13.3777430856735</v>
      </c>
      <c r="E38" s="43" t="s">
        <v>98</v>
      </c>
      <c r="F38" s="44" t="s">
        <v>885</v>
      </c>
      <c r="G38" s="45" t="s">
        <v>962</v>
      </c>
      <c r="H38" s="46"/>
      <c r="I38" s="11" t="b">
        <v>1</v>
      </c>
      <c r="J38" s="47" t="str">
        <f t="shared" si="1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IFERROR(__xludf.DUMMYFUNCTION("""COMPUTED_VALUE"""),"JackSparrow")</f>
        <v>JackSparrow</v>
      </c>
      <c r="R38" s="49">
        <f>IFERROR(__xludf.DUMMYFUNCTION("""COMPUTED_VALUE"""),19344.0)</f>
        <v>19344</v>
      </c>
      <c r="S38" s="49"/>
    </row>
    <row r="39">
      <c r="A39" s="43">
        <v>5.0</v>
      </c>
      <c r="B39" s="43">
        <v>6.0</v>
      </c>
      <c r="C39" s="111">
        <v>52.6012034456957</v>
      </c>
      <c r="D39" s="111">
        <v>13.3779797338652</v>
      </c>
      <c r="E39" s="43" t="s">
        <v>98</v>
      </c>
      <c r="F39" s="44" t="s">
        <v>532</v>
      </c>
      <c r="G39" s="45" t="s">
        <v>963</v>
      </c>
      <c r="H39" s="46"/>
      <c r="I39" s="11" t="b">
        <v>1</v>
      </c>
      <c r="J39" s="47" t="str">
        <f t="shared" si="1"/>
        <v/>
      </c>
      <c r="K39" s="49" t="str">
        <f>IFERROR(__xludf.DUMMYFUNCTION("IF(M39=1,IFERROR(IMPORTXML(G39, ""//p[@class='status-date']""),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IFERROR(__xludf.DUMMYFUNCTION("""COMPUTED_VALUE"""),"MeanderingMonkeys")</f>
        <v>MeanderingMonkeys</v>
      </c>
      <c r="R39" s="49">
        <f>IFERROR(__xludf.DUMMYFUNCTION("""COMPUTED_VALUE"""),13289.0)</f>
        <v>13289</v>
      </c>
      <c r="S39" s="49"/>
    </row>
    <row r="40">
      <c r="A40" s="43">
        <v>5.0</v>
      </c>
      <c r="B40" s="43">
        <v>7.0</v>
      </c>
      <c r="C40" s="111">
        <v>52.6012034454599</v>
      </c>
      <c r="D40" s="111">
        <v>13.3782163820569</v>
      </c>
      <c r="E40" s="43" t="s">
        <v>98</v>
      </c>
      <c r="F40" s="44" t="s">
        <v>964</v>
      </c>
      <c r="G40" s="45" t="s">
        <v>965</v>
      </c>
      <c r="H40" s="46"/>
      <c r="I40" s="11" t="b">
        <v>1</v>
      </c>
      <c r="J40" s="47" t="str">
        <f t="shared" si="1"/>
        <v/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IFERROR(__xludf.DUMMYFUNCTION("""COMPUTED_VALUE"""),"Clareppuccino")</f>
        <v>Clareppuccino</v>
      </c>
      <c r="R40" s="49">
        <f>IFERROR(__xludf.DUMMYFUNCTION("""COMPUTED_VALUE"""),4003.0)</f>
        <v>4003</v>
      </c>
      <c r="S40" s="49"/>
    </row>
    <row r="41">
      <c r="A41" s="43">
        <v>5.0</v>
      </c>
      <c r="B41" s="43">
        <v>8.0</v>
      </c>
      <c r="C41" s="111">
        <v>52.6012034452241</v>
      </c>
      <c r="D41" s="111">
        <v>13.3784530302486</v>
      </c>
      <c r="E41" s="43" t="s">
        <v>98</v>
      </c>
      <c r="F41" s="44" t="s">
        <v>885</v>
      </c>
      <c r="G41" s="45" t="s">
        <v>966</v>
      </c>
      <c r="H41" s="46"/>
      <c r="I41" s="11" t="b">
        <v>1</v>
      </c>
      <c r="J41" s="47" t="str">
        <f t="shared" si="1"/>
        <v/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IFERROR(__xludf.DUMMYFUNCTION("""COMPUTED_VALUE"""),"JackSparrow")</f>
        <v>JackSparrow</v>
      </c>
      <c r="R41" s="49">
        <f>IFERROR(__xludf.DUMMYFUNCTION("""COMPUTED_VALUE"""),19419.0)</f>
        <v>19419</v>
      </c>
      <c r="S41" s="49"/>
    </row>
    <row r="42">
      <c r="A42" s="43">
        <v>6.0</v>
      </c>
      <c r="B42" s="43">
        <v>1.0</v>
      </c>
      <c r="C42" s="111">
        <v>52.6010597164294</v>
      </c>
      <c r="D42" s="111">
        <v>13.376796472718</v>
      </c>
      <c r="E42" s="43" t="s">
        <v>98</v>
      </c>
      <c r="F42" s="44" t="s">
        <v>942</v>
      </c>
      <c r="G42" s="52" t="s">
        <v>967</v>
      </c>
      <c r="H42" s="46"/>
      <c r="I42" s="11" t="b">
        <v>1</v>
      </c>
      <c r="J42" s="47" t="str">
        <f t="shared" si="1"/>
        <v/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IFERROR(__xludf.DUMMYFUNCTION("""COMPUTED_VALUE"""),"hoekraam")</f>
        <v>hoekraam</v>
      </c>
      <c r="R42" s="49">
        <f>IFERROR(__xludf.DUMMYFUNCTION("""COMPUTED_VALUE"""),6624.0)</f>
        <v>6624</v>
      </c>
      <c r="S42" s="49"/>
    </row>
    <row r="43">
      <c r="A43" s="43">
        <v>6.0</v>
      </c>
      <c r="B43" s="43">
        <v>2.0</v>
      </c>
      <c r="C43" s="111">
        <v>52.6010597161936</v>
      </c>
      <c r="D43" s="111">
        <v>13.3770331201333</v>
      </c>
      <c r="E43" s="43" t="s">
        <v>98</v>
      </c>
      <c r="F43" s="44" t="s">
        <v>190</v>
      </c>
      <c r="G43" s="52" t="s">
        <v>968</v>
      </c>
      <c r="H43" s="46"/>
      <c r="I43" s="11" t="b">
        <v>1</v>
      </c>
      <c r="J43" s="47" t="str">
        <f t="shared" si="1"/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IFERROR(__xludf.DUMMYFUNCTION("""COMPUTED_VALUE"""),"GroteSufferd")</f>
        <v>GroteSufferd</v>
      </c>
      <c r="R43" s="49">
        <f>IFERROR(__xludf.DUMMYFUNCTION("""COMPUTED_VALUE"""),300.0)</f>
        <v>300</v>
      </c>
      <c r="S43" s="49"/>
    </row>
    <row r="44">
      <c r="A44" s="43">
        <v>6.0</v>
      </c>
      <c r="B44" s="43">
        <v>3.0</v>
      </c>
      <c r="C44" s="111">
        <v>52.6010597159577</v>
      </c>
      <c r="D44" s="111">
        <v>13.3772697675485</v>
      </c>
      <c r="E44" s="43" t="s">
        <v>103</v>
      </c>
      <c r="F44" s="44" t="s">
        <v>933</v>
      </c>
      <c r="G44" s="45" t="s">
        <v>969</v>
      </c>
      <c r="H44" s="46"/>
      <c r="I44" s="11" t="b">
        <v>1</v>
      </c>
      <c r="J44" s="47" t="str">
        <f t="shared" si="1"/>
        <v/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IFERROR(__xludf.DUMMYFUNCTION("""COMPUTED_VALUE"""),"Bambinacattiva")</f>
        <v>Bambinacattiva</v>
      </c>
      <c r="R44" s="49">
        <f>IFERROR(__xludf.DUMMYFUNCTION("""COMPUTED_VALUE"""),700.0)</f>
        <v>700</v>
      </c>
      <c r="S44" s="49"/>
    </row>
    <row r="45">
      <c r="A45" s="43">
        <v>6.0</v>
      </c>
      <c r="B45" s="43">
        <v>4.0</v>
      </c>
      <c r="C45" s="111">
        <v>52.6010597157219</v>
      </c>
      <c r="D45" s="111">
        <v>13.3775064149638</v>
      </c>
      <c r="E45" s="43" t="s">
        <v>98</v>
      </c>
      <c r="F45" s="44" t="s">
        <v>942</v>
      </c>
      <c r="G45" s="65" t="s">
        <v>970</v>
      </c>
      <c r="H45" s="46"/>
      <c r="I45" s="11" t="b">
        <v>1</v>
      </c>
      <c r="J45" s="47" t="str">
        <f t="shared" si="1"/>
        <v/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IFERROR(__xludf.DUMMYFUNCTION("""COMPUTED_VALUE"""),"hoekraam")</f>
        <v>hoekraam</v>
      </c>
      <c r="R45" s="49">
        <f>IFERROR(__xludf.DUMMYFUNCTION("""COMPUTED_VALUE"""),6629.0)</f>
        <v>6629</v>
      </c>
      <c r="S45" s="49"/>
    </row>
    <row r="46">
      <c r="A46" s="43">
        <v>6.0</v>
      </c>
      <c r="B46" s="43">
        <v>5.0</v>
      </c>
      <c r="C46" s="111">
        <v>52.6010597154861</v>
      </c>
      <c r="D46" s="111">
        <v>13.377743062379</v>
      </c>
      <c r="E46" s="43" t="s">
        <v>98</v>
      </c>
      <c r="F46" s="44" t="s">
        <v>122</v>
      </c>
      <c r="G46" s="45" t="s">
        <v>971</v>
      </c>
      <c r="H46" s="46"/>
      <c r="I46" s="11" t="b">
        <v>1</v>
      </c>
      <c r="J46" s="47" t="str">
        <f t="shared" si="1"/>
        <v/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IFERROR(__xludf.DUMMYFUNCTION("""COMPUTED_VALUE"""),"Drazoria")</f>
        <v>Drazoria</v>
      </c>
      <c r="R46" s="49">
        <f>IFERROR(__xludf.DUMMYFUNCTION("""COMPUTED_VALUE"""),642.0)</f>
        <v>642</v>
      </c>
      <c r="S46" s="49"/>
    </row>
    <row r="47">
      <c r="A47" s="43">
        <v>6.0</v>
      </c>
      <c r="B47" s="43">
        <v>6.0</v>
      </c>
      <c r="C47" s="111">
        <v>52.6010597152503</v>
      </c>
      <c r="D47" s="111">
        <v>13.3779797097943</v>
      </c>
      <c r="E47" s="43" t="s">
        <v>103</v>
      </c>
      <c r="F47" s="44" t="s">
        <v>120</v>
      </c>
      <c r="G47" s="65" t="s">
        <v>972</v>
      </c>
      <c r="H47" s="46"/>
      <c r="I47" s="11" t="b">
        <v>1</v>
      </c>
      <c r="J47" s="47" t="str">
        <f t="shared" si="1"/>
        <v/>
      </c>
      <c r="K47" s="49" t="str">
        <f>IFERROR(__xludf.DUMMYFUNCTION("IF(M47=1,IFERROR(IMPORTXML(G47, ""//p[@class='status-date']""),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IFERROR(__xludf.DUMMYFUNCTION("""COMPUTED_VALUE"""),"xrayneex")</f>
        <v>xrayneex</v>
      </c>
      <c r="R47" s="49">
        <f>IFERROR(__xludf.DUMMYFUNCTION("""COMPUTED_VALUE"""),1321.0)</f>
        <v>1321</v>
      </c>
      <c r="S47" s="49"/>
    </row>
    <row r="48">
      <c r="A48" s="43">
        <v>6.0</v>
      </c>
      <c r="B48" s="43">
        <v>7.0</v>
      </c>
      <c r="C48" s="111">
        <v>52.6010597150145</v>
      </c>
      <c r="D48" s="111">
        <v>13.3782163572095</v>
      </c>
      <c r="E48" s="43" t="s">
        <v>98</v>
      </c>
      <c r="F48" s="44" t="s">
        <v>145</v>
      </c>
      <c r="G48" s="52" t="s">
        <v>973</v>
      </c>
      <c r="H48" s="46"/>
      <c r="I48" s="11" t="b">
        <v>1</v>
      </c>
      <c r="J48" s="47" t="str">
        <f t="shared" si="1"/>
        <v/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IFERROR(__xludf.DUMMYFUNCTION("""COMPUTED_VALUE"""),4046.0)</f>
        <v>4046</v>
      </c>
      <c r="S48" s="49"/>
    </row>
    <row r="49">
      <c r="A49" s="43">
        <v>6.0</v>
      </c>
      <c r="B49" s="43">
        <v>8.0</v>
      </c>
      <c r="C49" s="111">
        <v>52.6010597147787</v>
      </c>
      <c r="D49" s="111">
        <v>13.3784530046248</v>
      </c>
      <c r="E49" s="43" t="s">
        <v>98</v>
      </c>
      <c r="F49" s="44" t="s">
        <v>147</v>
      </c>
      <c r="G49" s="52" t="s">
        <v>974</v>
      </c>
      <c r="H49" s="46"/>
      <c r="I49" s="11" t="b">
        <v>1</v>
      </c>
      <c r="J49" s="47" t="str">
        <f t="shared" si="1"/>
        <v/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IFERROR(__xludf.DUMMYFUNCTION("""COMPUTED_VALUE"""),6737.0)</f>
        <v>6737</v>
      </c>
      <c r="S49" s="49"/>
    </row>
    <row r="50">
      <c r="A50" s="43">
        <v>7.0</v>
      </c>
      <c r="B50" s="43">
        <v>2.0</v>
      </c>
      <c r="C50" s="111">
        <v>52.6009159857481</v>
      </c>
      <c r="D50" s="111">
        <v>13.3770330991683</v>
      </c>
      <c r="E50" s="43" t="s">
        <v>103</v>
      </c>
      <c r="F50" s="44" t="s">
        <v>975</v>
      </c>
      <c r="G50" s="65" t="s">
        <v>976</v>
      </c>
      <c r="H50" s="56"/>
      <c r="I50" s="11" t="b">
        <v>1</v>
      </c>
      <c r="J50" s="47" t="str">
        <f t="shared" si="1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IFERROR(__xludf.DUMMYFUNCTION("""COMPUTED_VALUE"""),"amigoth2de")</f>
        <v>amigoth2de</v>
      </c>
      <c r="R50" s="49">
        <f>IFERROR(__xludf.DUMMYFUNCTION("""COMPUTED_VALUE"""),1659.0)</f>
        <v>1659</v>
      </c>
      <c r="S50" s="49"/>
    </row>
    <row r="51">
      <c r="A51" s="43">
        <v>7.0</v>
      </c>
      <c r="B51" s="43">
        <v>3.0</v>
      </c>
      <c r="C51" s="111">
        <v>52.6009159855123</v>
      </c>
      <c r="D51" s="111">
        <v>13.377269745807</v>
      </c>
      <c r="E51" s="43" t="s">
        <v>98</v>
      </c>
      <c r="F51" s="44" t="s">
        <v>977</v>
      </c>
      <c r="G51" s="52" t="s">
        <v>978</v>
      </c>
      <c r="H51" s="44"/>
      <c r="I51" s="11" t="b">
        <v>1</v>
      </c>
      <c r="J51" s="47" t="str">
        <f t="shared" si="1"/>
        <v/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IFERROR(__xludf.DUMMYFUNCTION("""COMPUTED_VALUE"""),"halizwein")</f>
        <v>halizwein</v>
      </c>
      <c r="R51" s="49">
        <f>IFERROR(__xludf.DUMMYFUNCTION("""COMPUTED_VALUE"""),11149.0)</f>
        <v>11149</v>
      </c>
      <c r="S51" s="49"/>
    </row>
    <row r="52">
      <c r="A52" s="43">
        <v>7.0</v>
      </c>
      <c r="B52" s="43">
        <v>4.0</v>
      </c>
      <c r="C52" s="111">
        <v>52.6009159852765</v>
      </c>
      <c r="D52" s="111">
        <v>13.3775063924458</v>
      </c>
      <c r="E52" s="43" t="s">
        <v>98</v>
      </c>
      <c r="F52" s="44" t="s">
        <v>124</v>
      </c>
      <c r="G52" s="45" t="s">
        <v>979</v>
      </c>
      <c r="H52" s="46"/>
      <c r="I52" s="11" t="b">
        <v>1</v>
      </c>
      <c r="J52" s="47" t="str">
        <f t="shared" si="1"/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IFERROR(__xludf.DUMMYFUNCTION("""COMPUTED_VALUE"""),"Tinake1309")</f>
        <v>Tinake1309</v>
      </c>
      <c r="R52" s="49">
        <f>IFERROR(__xludf.DUMMYFUNCTION("""COMPUTED_VALUE"""),642.0)</f>
        <v>642</v>
      </c>
      <c r="S52" s="49"/>
    </row>
    <row r="53">
      <c r="A53" s="43">
        <v>7.0</v>
      </c>
      <c r="B53" s="43">
        <v>5.0</v>
      </c>
      <c r="C53" s="111">
        <v>52.6009159850407</v>
      </c>
      <c r="D53" s="111">
        <v>13.3777430390846</v>
      </c>
      <c r="E53" s="43" t="s">
        <v>98</v>
      </c>
      <c r="F53" s="44" t="s">
        <v>126</v>
      </c>
      <c r="G53" s="45" t="s">
        <v>980</v>
      </c>
      <c r="H53" s="46"/>
      <c r="I53" s="11" t="b">
        <v>1</v>
      </c>
      <c r="J53" s="47" t="str">
        <f t="shared" si="1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IFERROR(__xludf.DUMMYFUNCTION("""COMPUTED_VALUE"""),"Berg14")</f>
        <v>Berg14</v>
      </c>
      <c r="R53" s="49">
        <f>IFERROR(__xludf.DUMMYFUNCTION("""COMPUTED_VALUE"""),428.0)</f>
        <v>428</v>
      </c>
      <c r="S53" s="49"/>
    </row>
    <row r="54">
      <c r="A54" s="43">
        <v>7.0</v>
      </c>
      <c r="B54" s="43">
        <v>6.0</v>
      </c>
      <c r="C54" s="111">
        <v>52.6009159848049</v>
      </c>
      <c r="D54" s="111">
        <v>13.3779796857234</v>
      </c>
      <c r="E54" s="43" t="s">
        <v>98</v>
      </c>
      <c r="F54" s="44" t="s">
        <v>128</v>
      </c>
      <c r="G54" s="45" t="s">
        <v>981</v>
      </c>
      <c r="H54" s="46"/>
      <c r="I54" s="11" t="b">
        <v>1</v>
      </c>
      <c r="J54" s="47" t="str">
        <f t="shared" si="1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IFERROR(__xludf.DUMMYFUNCTION("""COMPUTED_VALUE"""),"Niks13")</f>
        <v>Niks13</v>
      </c>
      <c r="R54" s="49">
        <f>IFERROR(__xludf.DUMMYFUNCTION("""COMPUTED_VALUE"""),395.0)</f>
        <v>395</v>
      </c>
      <c r="S54" s="49"/>
    </row>
    <row r="55">
      <c r="A55" s="43">
        <v>7.0</v>
      </c>
      <c r="B55" s="43">
        <v>7.0</v>
      </c>
      <c r="C55" s="111">
        <v>52.6009159845691</v>
      </c>
      <c r="D55" s="111">
        <v>13.3782163323621</v>
      </c>
      <c r="E55" s="43" t="s">
        <v>98</v>
      </c>
      <c r="F55" s="44" t="s">
        <v>80</v>
      </c>
      <c r="G55" s="45" t="s">
        <v>982</v>
      </c>
      <c r="H55" s="46"/>
      <c r="I55" s="11" t="b">
        <v>1</v>
      </c>
      <c r="J55" s="47" t="str">
        <f t="shared" si="1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IFERROR(__xludf.DUMMYFUNCTION("""COMPUTED_VALUE"""),"Derlame")</f>
        <v>Derlame</v>
      </c>
      <c r="R55" s="49">
        <f>IFERROR(__xludf.DUMMYFUNCTION("""COMPUTED_VALUE"""),12347.0)</f>
        <v>12347</v>
      </c>
      <c r="S55" s="49"/>
    </row>
    <row r="56">
      <c r="A56" s="43">
        <v>8.0</v>
      </c>
      <c r="B56" s="43">
        <v>3.0</v>
      </c>
      <c r="C56" s="111">
        <v>52.6007722550669</v>
      </c>
      <c r="D56" s="111">
        <v>13.3772697240656</v>
      </c>
      <c r="E56" s="43" t="s">
        <v>98</v>
      </c>
      <c r="F56" s="44" t="s">
        <v>885</v>
      </c>
      <c r="G56" s="45" t="s">
        <v>983</v>
      </c>
      <c r="H56" s="46"/>
      <c r="I56" s="11" t="b">
        <v>1</v>
      </c>
      <c r="J56" s="47" t="str">
        <f t="shared" si="1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IFERROR(__xludf.DUMMYFUNCTION("""COMPUTED_VALUE"""),"JackSparrow")</f>
        <v>JackSparrow</v>
      </c>
      <c r="R56" s="49">
        <f>IFERROR(__xludf.DUMMYFUNCTION("""COMPUTED_VALUE"""),19320.0)</f>
        <v>19320</v>
      </c>
      <c r="S56" s="49"/>
    </row>
    <row r="57">
      <c r="A57" s="43">
        <v>8.0</v>
      </c>
      <c r="B57" s="43">
        <v>4.0</v>
      </c>
      <c r="C57" s="111">
        <v>52.6007722548311</v>
      </c>
      <c r="D57" s="111">
        <v>13.3775063699279</v>
      </c>
      <c r="E57" s="43" t="s">
        <v>103</v>
      </c>
      <c r="F57" s="44" t="s">
        <v>243</v>
      </c>
      <c r="G57" s="65" t="s">
        <v>984</v>
      </c>
      <c r="H57" s="46"/>
      <c r="I57" s="11" t="b">
        <v>1</v>
      </c>
      <c r="J57" s="47" t="str">
        <f t="shared" si="1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IFERROR(__xludf.DUMMYFUNCTION("""COMPUTED_VALUE"""),"Aniara")</f>
        <v>Aniara</v>
      </c>
      <c r="R57" s="49">
        <f>IFERROR(__xludf.DUMMYFUNCTION("""COMPUTED_VALUE"""),6516.0)</f>
        <v>6516</v>
      </c>
      <c r="S57" s="49"/>
    </row>
    <row r="58">
      <c r="A58" s="43">
        <v>8.0</v>
      </c>
      <c r="B58" s="43">
        <v>5.0</v>
      </c>
      <c r="C58" s="111">
        <v>52.6007722545953</v>
      </c>
      <c r="D58" s="111">
        <v>13.3777430157902</v>
      </c>
      <c r="E58" s="43" t="s">
        <v>103</v>
      </c>
      <c r="F58" s="44" t="s">
        <v>985</v>
      </c>
      <c r="G58" s="45" t="s">
        <v>986</v>
      </c>
      <c r="H58" s="46"/>
      <c r="I58" s="11" t="b">
        <v>1</v>
      </c>
      <c r="J58" s="47" t="str">
        <f t="shared" si="1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IFERROR(__xludf.DUMMYFUNCTION("""COMPUTED_VALUE"""),"LonelyWalker")</f>
        <v>LonelyWalker</v>
      </c>
      <c r="R58" s="49">
        <f>IFERROR(__xludf.DUMMYFUNCTION("""COMPUTED_VALUE"""),403.0)</f>
        <v>403</v>
      </c>
      <c r="S58" s="49"/>
    </row>
    <row r="59">
      <c r="A59" s="43">
        <v>8.0</v>
      </c>
      <c r="B59" s="43">
        <v>6.0</v>
      </c>
      <c r="C59" s="111">
        <v>52.6007722543595</v>
      </c>
      <c r="D59" s="111">
        <v>13.3779796616524</v>
      </c>
      <c r="E59" s="43" t="s">
        <v>98</v>
      </c>
      <c r="F59" s="44" t="s">
        <v>885</v>
      </c>
      <c r="G59" s="45" t="s">
        <v>987</v>
      </c>
      <c r="H59" s="46"/>
      <c r="I59" s="11" t="b">
        <v>1</v>
      </c>
      <c r="J59" s="47" t="str">
        <f t="shared" si="1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IFERROR(__xludf.DUMMYFUNCTION("""COMPUTED_VALUE"""),"JackSparrow")</f>
        <v>JackSparrow</v>
      </c>
      <c r="R59" s="49">
        <f>IFERROR(__xludf.DUMMYFUNCTION("""COMPUTED_VALUE"""),19420.0)</f>
        <v>19420</v>
      </c>
      <c r="S59" s="49"/>
    </row>
    <row r="60">
      <c r="C60" s="116"/>
      <c r="D60" s="116"/>
    </row>
    <row r="61" hidden="1">
      <c r="C61" s="116"/>
      <c r="D61" s="116"/>
      <c r="F61" s="47">
        <f t="shared" ref="F61:G61" si="3">COUNTIF(F8:F59,"")</f>
        <v>0</v>
      </c>
      <c r="G61" s="47">
        <f t="shared" si="3"/>
        <v>0</v>
      </c>
      <c r="I61" s="47">
        <f>COUNTIF(I8:I59,TRUE)</f>
        <v>52</v>
      </c>
    </row>
    <row r="62" hidden="1">
      <c r="C62" s="116"/>
      <c r="D62" s="116"/>
    </row>
    <row r="63">
      <c r="C63" s="116"/>
      <c r="D63" s="116"/>
    </row>
    <row r="64">
      <c r="C64" s="116"/>
      <c r="D64" s="116"/>
    </row>
    <row r="65">
      <c r="C65" s="116"/>
      <c r="D65" s="116"/>
    </row>
    <row r="66">
      <c r="C66" s="116"/>
      <c r="D66" s="116"/>
    </row>
    <row r="67">
      <c r="C67" s="116"/>
      <c r="D67" s="116"/>
    </row>
    <row r="68">
      <c r="C68" s="116"/>
      <c r="D68" s="116"/>
    </row>
    <row r="69">
      <c r="C69" s="116"/>
      <c r="D69" s="116"/>
    </row>
    <row r="70">
      <c r="C70" s="116"/>
      <c r="D70" s="116"/>
    </row>
    <row r="71">
      <c r="C71" s="116"/>
      <c r="D71" s="116"/>
    </row>
    <row r="72">
      <c r="C72" s="116"/>
      <c r="D72" s="116"/>
    </row>
    <row r="73">
      <c r="C73" s="116"/>
      <c r="D73" s="116"/>
    </row>
    <row r="74">
      <c r="C74" s="116"/>
      <c r="D74" s="116"/>
    </row>
    <row r="75">
      <c r="C75" s="116"/>
      <c r="D75" s="116"/>
    </row>
    <row r="76">
      <c r="C76" s="116"/>
      <c r="D76" s="116"/>
    </row>
    <row r="77">
      <c r="C77" s="116"/>
      <c r="D77" s="116"/>
    </row>
    <row r="78">
      <c r="C78" s="116"/>
      <c r="D78" s="116"/>
    </row>
    <row r="79">
      <c r="C79" s="116"/>
      <c r="D79" s="116"/>
    </row>
    <row r="80">
      <c r="C80" s="116"/>
      <c r="D80" s="116"/>
    </row>
    <row r="81">
      <c r="C81" s="116"/>
      <c r="D81" s="116"/>
    </row>
    <row r="82">
      <c r="C82" s="116"/>
      <c r="D82" s="116"/>
    </row>
    <row r="83">
      <c r="C83" s="116"/>
      <c r="D83" s="116"/>
    </row>
  </sheetData>
  <mergeCells count="3">
    <mergeCell ref="B1:C1"/>
    <mergeCell ref="H1:H2"/>
    <mergeCell ref="N7:S7"/>
  </mergeCells>
  <conditionalFormatting sqref="F1 F8:F59 G51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9.25"/>
    <col customWidth="1" min="2" max="2" width="9.13"/>
    <col customWidth="1" min="3" max="3" width="13.75"/>
    <col customWidth="1" min="4" max="4" width="13.38"/>
    <col customWidth="1" min="5" max="5" width="18.63"/>
    <col customWidth="1" min="6" max="6" width="15.13"/>
    <col customWidth="1" min="7" max="7" width="37.7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23</v>
      </c>
      <c r="B1" s="37" t="s">
        <v>25</v>
      </c>
      <c r="D1" s="37"/>
      <c r="E1" s="2" t="s">
        <v>79</v>
      </c>
      <c r="F1" s="24" t="s">
        <v>166</v>
      </c>
      <c r="G1" s="69" t="s">
        <v>988</v>
      </c>
      <c r="H1" s="97" t="s">
        <v>769</v>
      </c>
      <c r="I1" s="97"/>
      <c r="J1" s="100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989</v>
      </c>
      <c r="J2" s="100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100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100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102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  <c r="J6" s="83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03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45.4694364691669</v>
      </c>
      <c r="D8" s="43">
        <v>-73.4657386896604</v>
      </c>
      <c r="E8" s="43" t="s">
        <v>98</v>
      </c>
      <c r="F8" s="44" t="s">
        <v>178</v>
      </c>
      <c r="G8" s="112" t="s">
        <v>990</v>
      </c>
      <c r="H8" s="46"/>
      <c r="I8" s="11" t="b">
        <v>1</v>
      </c>
      <c r="J8" s="83" t="str">
        <f t="shared" ref="J8:J21" si="1">if(I8=true,"",S8)</f>
        <v/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IFERROR(__xludf.DUMMYFUNCTION("""COMPUTED_VALUE"""),"lison55")</f>
        <v>lison55</v>
      </c>
      <c r="R8" s="49">
        <f>IFERROR(__xludf.DUMMYFUNCTION("""COMPUTED_VALUE"""),5264.0)</f>
        <v>5264</v>
      </c>
      <c r="S8" s="49"/>
    </row>
    <row r="9">
      <c r="A9" s="43">
        <v>1.0</v>
      </c>
      <c r="B9" s="43">
        <v>4.0</v>
      </c>
      <c r="C9" s="43">
        <v>45.4694364689837</v>
      </c>
      <c r="D9" s="43">
        <v>-73.4655337380428</v>
      </c>
      <c r="E9" s="43" t="s">
        <v>98</v>
      </c>
      <c r="F9" s="44" t="s">
        <v>166</v>
      </c>
      <c r="G9" s="112" t="s">
        <v>991</v>
      </c>
      <c r="H9" s="46"/>
      <c r="I9" s="11" t="b">
        <v>1</v>
      </c>
      <c r="J9" s="83" t="str">
        <f t="shared" si="1"/>
        <v/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IFERROR(__xludf.DUMMYFUNCTION("""COMPUTED_VALUE"""),"all0123")</f>
        <v>all0123</v>
      </c>
      <c r="R9" s="49">
        <f>IFERROR(__xludf.DUMMYFUNCTION("""COMPUTED_VALUE"""),3892.0)</f>
        <v>3892</v>
      </c>
      <c r="S9" s="49"/>
    </row>
    <row r="10">
      <c r="A10" s="43">
        <v>1.0</v>
      </c>
      <c r="B10" s="43">
        <v>5.0</v>
      </c>
      <c r="C10" s="43">
        <v>45.4694364688004</v>
      </c>
      <c r="D10" s="43">
        <v>-73.4653287864252</v>
      </c>
      <c r="E10" s="43" t="s">
        <v>103</v>
      </c>
      <c r="F10" s="44" t="s">
        <v>920</v>
      </c>
      <c r="G10" s="112" t="s">
        <v>992</v>
      </c>
      <c r="H10" s="46"/>
      <c r="I10" s="11" t="b">
        <v>1</v>
      </c>
      <c r="J10" s="83" t="str">
        <f t="shared" si="1"/>
        <v/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IFERROR(__xludf.DUMMYFUNCTION("""COMPUTED_VALUE"""),"FromTheTardis")</f>
        <v>FromTheTardis</v>
      </c>
      <c r="R10" s="49">
        <f>IFERROR(__xludf.DUMMYFUNCTION("""COMPUTED_VALUE"""),1359.0)</f>
        <v>1359</v>
      </c>
      <c r="S10" s="51"/>
    </row>
    <row r="11">
      <c r="A11" s="43">
        <v>1.0</v>
      </c>
      <c r="B11" s="43">
        <v>6.0</v>
      </c>
      <c r="C11" s="43">
        <v>45.4694364686172</v>
      </c>
      <c r="D11" s="43">
        <v>-73.4651238348076</v>
      </c>
      <c r="E11" s="43" t="s">
        <v>103</v>
      </c>
      <c r="F11" s="44" t="s">
        <v>120</v>
      </c>
      <c r="G11" s="112" t="s">
        <v>993</v>
      </c>
      <c r="H11" s="46"/>
      <c r="I11" s="11" t="b">
        <v>1</v>
      </c>
      <c r="J11" s="83" t="str">
        <f t="shared" si="1"/>
        <v/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IFERROR(__xludf.DUMMYFUNCTION("""COMPUTED_VALUE"""),"xrayneex")</f>
        <v>xrayneex</v>
      </c>
      <c r="R11" s="49">
        <f>IFERROR(__xludf.DUMMYFUNCTION("""COMPUTED_VALUE"""),1349.0)</f>
        <v>1349</v>
      </c>
      <c r="S11" s="49"/>
    </row>
    <row r="12">
      <c r="A12" s="43">
        <v>2.0</v>
      </c>
      <c r="B12" s="43">
        <v>2.0</v>
      </c>
      <c r="C12" s="43">
        <v>45.4692927389047</v>
      </c>
      <c r="D12" s="43">
        <v>-73.4659436553886</v>
      </c>
      <c r="E12" s="43" t="s">
        <v>98</v>
      </c>
      <c r="F12" s="44" t="s">
        <v>994</v>
      </c>
      <c r="G12" s="112" t="s">
        <v>995</v>
      </c>
      <c r="H12" s="44"/>
      <c r="I12" s="11" t="b">
        <v>1</v>
      </c>
      <c r="J12" s="83" t="str">
        <f t="shared" si="1"/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IFERROR(__xludf.DUMMYFUNCTION("""COMPUTED_VALUE"""),"sverlaan")</f>
        <v>sverlaan</v>
      </c>
      <c r="R12" s="49">
        <f>IFERROR(__xludf.DUMMYFUNCTION("""COMPUTED_VALUE"""),4153.0)</f>
        <v>4153</v>
      </c>
      <c r="S12" s="51">
        <v>44033.76107317129</v>
      </c>
    </row>
    <row r="13">
      <c r="A13" s="43">
        <v>2.0</v>
      </c>
      <c r="B13" s="43">
        <v>3.0</v>
      </c>
      <c r="C13" s="43">
        <v>45.4692927387215</v>
      </c>
      <c r="D13" s="43">
        <v>-73.4657387042937</v>
      </c>
      <c r="E13" s="43" t="s">
        <v>98</v>
      </c>
      <c r="F13" s="44" t="s">
        <v>936</v>
      </c>
      <c r="G13" s="112" t="s">
        <v>996</v>
      </c>
      <c r="H13" s="46"/>
      <c r="I13" s="11" t="b">
        <v>1</v>
      </c>
      <c r="J13" s="83" t="str">
        <f t="shared" si="1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IFERROR(__xludf.DUMMYFUNCTION("""COMPUTED_VALUE"""),"EmileP68")</f>
        <v>EmileP68</v>
      </c>
      <c r="R13" s="49">
        <f>IFERROR(__xludf.DUMMYFUNCTION("""COMPUTED_VALUE"""),2933.0)</f>
        <v>2933</v>
      </c>
      <c r="S13" s="51">
        <v>44033.761168784724</v>
      </c>
    </row>
    <row r="14">
      <c r="A14" s="43">
        <v>2.0</v>
      </c>
      <c r="B14" s="43">
        <v>4.0</v>
      </c>
      <c r="C14" s="43">
        <v>45.4692927385382</v>
      </c>
      <c r="D14" s="43">
        <v>-73.4655337531987</v>
      </c>
      <c r="E14" s="43" t="s">
        <v>98</v>
      </c>
      <c r="F14" s="44" t="s">
        <v>938</v>
      </c>
      <c r="G14" s="112" t="s">
        <v>997</v>
      </c>
      <c r="H14" s="46"/>
      <c r="I14" s="11" t="b">
        <v>1</v>
      </c>
      <c r="J14" s="83" t="str">
        <f t="shared" si="1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IFERROR(__xludf.DUMMYFUNCTION("""COMPUTED_VALUE"""),"PawPatrolThomas")</f>
        <v>PawPatrolThomas</v>
      </c>
      <c r="R14" s="49">
        <f>IFERROR(__xludf.DUMMYFUNCTION("""COMPUTED_VALUE"""),2237.0)</f>
        <v>2237</v>
      </c>
      <c r="S14" s="51">
        <v>44033.76122613426</v>
      </c>
    </row>
    <row r="15">
      <c r="A15" s="43">
        <v>2.0</v>
      </c>
      <c r="B15" s="43">
        <v>5.0</v>
      </c>
      <c r="C15" s="43">
        <v>45.4692927383549</v>
      </c>
      <c r="D15" s="43">
        <v>-73.4653288021037</v>
      </c>
      <c r="E15" s="43" t="s">
        <v>103</v>
      </c>
      <c r="F15" s="44" t="s">
        <v>116</v>
      </c>
      <c r="G15" s="112" t="s">
        <v>998</v>
      </c>
      <c r="H15" s="46"/>
      <c r="I15" s="11" t="b">
        <v>1</v>
      </c>
      <c r="J15" s="83" t="str">
        <f t="shared" si="1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IFERROR(__xludf.DUMMYFUNCTION("""COMPUTED_VALUE"""),4307.0)</f>
        <v>4307</v>
      </c>
      <c r="S15" s="49"/>
    </row>
    <row r="16">
      <c r="A16" s="43">
        <v>2.0</v>
      </c>
      <c r="B16" s="43">
        <v>6.0</v>
      </c>
      <c r="C16" s="43">
        <v>45.4692927381717</v>
      </c>
      <c r="D16" s="43">
        <v>-73.4651238510088</v>
      </c>
      <c r="E16" s="43" t="s">
        <v>98</v>
      </c>
      <c r="F16" s="62" t="s">
        <v>169</v>
      </c>
      <c r="G16" s="117" t="s">
        <v>999</v>
      </c>
      <c r="H16" s="46"/>
      <c r="I16" s="11" t="b">
        <v>1</v>
      </c>
      <c r="J16" s="83" t="str">
        <f t="shared" si="1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IFERROR(__xludf.DUMMYFUNCTION("""COMPUTED_VALUE"""),"Pinkeltje")</f>
        <v>Pinkeltje</v>
      </c>
      <c r="R16" s="49">
        <f>IFERROR(__xludf.DUMMYFUNCTION("""COMPUTED_VALUE"""),1137.0)</f>
        <v>1137</v>
      </c>
      <c r="S16" s="49"/>
    </row>
    <row r="17">
      <c r="A17" s="43">
        <v>2.0</v>
      </c>
      <c r="B17" s="43">
        <v>7.0</v>
      </c>
      <c r="C17" s="43">
        <v>45.4692927379884</v>
      </c>
      <c r="D17" s="43">
        <v>-73.4649188999138</v>
      </c>
      <c r="E17" s="43" t="s">
        <v>98</v>
      </c>
      <c r="F17" s="44" t="s">
        <v>918</v>
      </c>
      <c r="G17" s="112" t="s">
        <v>1000</v>
      </c>
      <c r="H17" s="46"/>
      <c r="I17" s="11" t="b">
        <v>1</v>
      </c>
      <c r="J17" s="83" t="str">
        <f t="shared" si="1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IFERROR(__xludf.DUMMYFUNCTION("""COMPUTED_VALUE"""),"5Star")</f>
        <v>5Star</v>
      </c>
      <c r="R17" s="49">
        <f>IFERROR(__xludf.DUMMYFUNCTION("""COMPUTED_VALUE"""),5704.0)</f>
        <v>5704</v>
      </c>
      <c r="S17" s="115">
        <v>44033.0</v>
      </c>
    </row>
    <row r="18">
      <c r="A18" s="43">
        <v>3.0</v>
      </c>
      <c r="B18" s="43">
        <v>1.0</v>
      </c>
      <c r="C18" s="43">
        <v>45.4691490086425</v>
      </c>
      <c r="D18" s="43">
        <v>-73.4661486200719</v>
      </c>
      <c r="E18" s="43" t="s">
        <v>98</v>
      </c>
      <c r="F18" s="44" t="s">
        <v>166</v>
      </c>
      <c r="G18" s="112" t="s">
        <v>1001</v>
      </c>
      <c r="H18" s="46"/>
      <c r="I18" s="11" t="b">
        <v>1</v>
      </c>
      <c r="J18" s="83" t="str">
        <f t="shared" si="1"/>
        <v/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IFERROR(__xludf.DUMMYFUNCTION("""COMPUTED_VALUE"""),"all0123")</f>
        <v>all0123</v>
      </c>
      <c r="R18" s="49">
        <f>IFERROR(__xludf.DUMMYFUNCTION("""COMPUTED_VALUE"""),3897.0)</f>
        <v>3897</v>
      </c>
      <c r="S18" s="49"/>
    </row>
    <row r="19">
      <c r="A19" s="43">
        <v>3.0</v>
      </c>
      <c r="B19" s="43">
        <v>2.0</v>
      </c>
      <c r="C19" s="43">
        <v>45.4691490084593</v>
      </c>
      <c r="D19" s="43">
        <v>-73.4659436694995</v>
      </c>
      <c r="E19" s="43" t="s">
        <v>98</v>
      </c>
      <c r="F19" s="61" t="s">
        <v>114</v>
      </c>
      <c r="G19" s="117" t="s">
        <v>1002</v>
      </c>
      <c r="H19" s="46"/>
      <c r="I19" s="11" t="b">
        <v>1</v>
      </c>
      <c r="J19" s="83" t="str">
        <f t="shared" si="1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IFERROR(__xludf.DUMMYFUNCTION("""COMPUTED_VALUE"""),"J1Huisman")</f>
        <v>J1Huisman</v>
      </c>
      <c r="R19" s="49">
        <f>IFERROR(__xludf.DUMMYFUNCTION("""COMPUTED_VALUE"""),11234.0)</f>
        <v>11234</v>
      </c>
      <c r="S19" s="49"/>
    </row>
    <row r="20">
      <c r="A20" s="43">
        <v>3.0</v>
      </c>
      <c r="B20" s="43">
        <v>3.0</v>
      </c>
      <c r="C20" s="43">
        <v>45.469149008276</v>
      </c>
      <c r="D20" s="43">
        <v>-73.4657387189271</v>
      </c>
      <c r="E20" s="43" t="s">
        <v>98</v>
      </c>
      <c r="F20" s="44" t="s">
        <v>110</v>
      </c>
      <c r="G20" s="117" t="s">
        <v>1003</v>
      </c>
      <c r="H20" s="46"/>
      <c r="I20" s="11" t="b">
        <v>1</v>
      </c>
      <c r="J20" s="83" t="str">
        <f t="shared" si="1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IFERROR(__xludf.DUMMYFUNCTION("""COMPUTED_VALUE"""),"BrotherWilliam")</f>
        <v>BrotherWilliam</v>
      </c>
      <c r="R20" s="49">
        <f>IFERROR(__xludf.DUMMYFUNCTION("""COMPUTED_VALUE"""),3888.0)</f>
        <v>3888</v>
      </c>
      <c r="S20" s="49"/>
    </row>
    <row r="21">
      <c r="A21" s="43">
        <v>3.0</v>
      </c>
      <c r="B21" s="43">
        <v>4.0</v>
      </c>
      <c r="C21" s="43">
        <v>45.4691490080928</v>
      </c>
      <c r="D21" s="43">
        <v>-73.4655337683548</v>
      </c>
      <c r="E21" s="43" t="s">
        <v>98</v>
      </c>
      <c r="F21" s="44" t="s">
        <v>940</v>
      </c>
      <c r="G21" s="112" t="s">
        <v>1004</v>
      </c>
      <c r="H21" s="46"/>
      <c r="I21" s="11" t="b">
        <v>1</v>
      </c>
      <c r="J21" s="83" t="str">
        <f t="shared" si="1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IFERROR(__xludf.DUMMYFUNCTION("""COMPUTED_VALUE"""),"WiseOldWizard")</f>
        <v>WiseOldWizard</v>
      </c>
      <c r="R21" s="49">
        <f>IFERROR(__xludf.DUMMYFUNCTION("""COMPUTED_VALUE"""),3968.0)</f>
        <v>3968</v>
      </c>
      <c r="S21" s="49"/>
    </row>
    <row r="22">
      <c r="A22" s="43">
        <v>3.0</v>
      </c>
      <c r="B22" s="43">
        <v>5.0</v>
      </c>
      <c r="C22" s="43">
        <v>45.4691490079095</v>
      </c>
      <c r="D22" s="43">
        <v>-73.4653288177825</v>
      </c>
      <c r="E22" s="43" t="s">
        <v>98</v>
      </c>
      <c r="F22" s="44" t="s">
        <v>112</v>
      </c>
      <c r="G22" s="117" t="s">
        <v>1005</v>
      </c>
      <c r="H22" s="46"/>
      <c r="I22" s="11" t="b">
        <v>1</v>
      </c>
      <c r="K22" s="49" t="str">
        <f>IFERROR(__xludf.DUMMYFUNCTION("IF(M22=1,IFERROR(IMPORTXML(G22, ""//p[@class='status-date']""),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IFERROR(__xludf.DUMMYFUNCTION("""COMPUTED_VALUE"""),"ArtofEco")</f>
        <v>ArtofEco</v>
      </c>
      <c r="R22" s="49">
        <f>IFERROR(__xludf.DUMMYFUNCTION("""COMPUTED_VALUE"""),2920.0)</f>
        <v>2920</v>
      </c>
      <c r="S22" s="49"/>
    </row>
    <row r="23">
      <c r="A23" s="43">
        <v>3.0</v>
      </c>
      <c r="B23" s="43">
        <v>6.0</v>
      </c>
      <c r="C23" s="43">
        <v>45.4691490077262</v>
      </c>
      <c r="D23" s="43">
        <v>-73.4651238672102</v>
      </c>
      <c r="E23" s="43" t="s">
        <v>98</v>
      </c>
      <c r="F23" s="44" t="s">
        <v>1006</v>
      </c>
      <c r="G23" s="117" t="s">
        <v>1007</v>
      </c>
      <c r="H23" s="46"/>
      <c r="I23" s="11" t="b">
        <v>1</v>
      </c>
      <c r="J23" s="83" t="str">
        <f t="shared" ref="J23:J38" si="3">if(I23=true,"",S23)</f>
        <v/>
      </c>
      <c r="K23" s="49"/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IFERROR(__xludf.DUMMYFUNCTION("""COMPUTED_VALUE"""),"Taz30")</f>
        <v>Taz30</v>
      </c>
      <c r="R23" s="49">
        <f>IFERROR(__xludf.DUMMYFUNCTION("""COMPUTED_VALUE"""),1630.0)</f>
        <v>1630</v>
      </c>
      <c r="S23" s="49"/>
    </row>
    <row r="24">
      <c r="A24" s="43">
        <v>3.0</v>
      </c>
      <c r="B24" s="43">
        <v>7.0</v>
      </c>
      <c r="C24" s="43">
        <v>45.469149007543</v>
      </c>
      <c r="D24" s="43">
        <v>-73.4649189166378</v>
      </c>
      <c r="E24" s="43" t="s">
        <v>98</v>
      </c>
      <c r="F24" s="44" t="s">
        <v>166</v>
      </c>
      <c r="G24" s="112" t="s">
        <v>1008</v>
      </c>
      <c r="H24" s="46"/>
      <c r="I24" s="11" t="b">
        <v>1</v>
      </c>
      <c r="J24" s="83" t="str">
        <f t="shared" si="3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IFERROR(__xludf.DUMMYFUNCTION("""COMPUTED_VALUE"""),"all0123")</f>
        <v>all0123</v>
      </c>
      <c r="R24" s="49">
        <f>IFERROR(__xludf.DUMMYFUNCTION("""COMPUTED_VALUE"""),3909.0)</f>
        <v>3909</v>
      </c>
      <c r="S24" s="49"/>
    </row>
    <row r="25">
      <c r="A25" s="43">
        <v>3.0</v>
      </c>
      <c r="B25" s="43">
        <v>8.0</v>
      </c>
      <c r="C25" s="43">
        <v>45.4691490073597</v>
      </c>
      <c r="D25" s="43">
        <v>-73.4647139660655</v>
      </c>
      <c r="E25" s="43" t="s">
        <v>98</v>
      </c>
      <c r="F25" s="44" t="s">
        <v>122</v>
      </c>
      <c r="G25" s="112" t="s">
        <v>1009</v>
      </c>
      <c r="H25" s="46"/>
      <c r="I25" s="11" t="b">
        <v>1</v>
      </c>
      <c r="J25" s="83" t="str">
        <f t="shared" si="3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IFERROR(__xludf.DUMMYFUNCTION("""COMPUTED_VALUE"""),"Drazoria")</f>
        <v>Drazoria</v>
      </c>
      <c r="R25" s="49">
        <f>IFERROR(__xludf.DUMMYFUNCTION("""COMPUTED_VALUE"""),735.0)</f>
        <v>735</v>
      </c>
      <c r="S25" s="51">
        <v>44033.81392071759</v>
      </c>
    </row>
    <row r="26">
      <c r="A26" s="43">
        <v>4.0</v>
      </c>
      <c r="B26" s="43">
        <v>1.0</v>
      </c>
      <c r="C26" s="43">
        <v>45.4690052781973</v>
      </c>
      <c r="D26" s="43">
        <v>-73.4661486336601</v>
      </c>
      <c r="E26" s="43" t="s">
        <v>98</v>
      </c>
      <c r="F26" s="44" t="s">
        <v>124</v>
      </c>
      <c r="G26" s="112" t="s">
        <v>1010</v>
      </c>
      <c r="H26" s="46"/>
      <c r="I26" s="11" t="b">
        <v>1</v>
      </c>
      <c r="J26" s="83" t="str">
        <f t="shared" si="3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IFERROR(__xludf.DUMMYFUNCTION("""COMPUTED_VALUE"""),"Tinake1309")</f>
        <v>Tinake1309</v>
      </c>
      <c r="R26" s="49">
        <f>IFERROR(__xludf.DUMMYFUNCTION("""COMPUTED_VALUE"""),721.0)</f>
        <v>721</v>
      </c>
      <c r="S26" s="51">
        <v>44033.81397224537</v>
      </c>
    </row>
    <row r="27">
      <c r="A27" s="43">
        <v>4.0</v>
      </c>
      <c r="B27" s="43">
        <v>2.0</v>
      </c>
      <c r="C27" s="43">
        <v>45.469005278014</v>
      </c>
      <c r="D27" s="43">
        <v>-73.4659436836103</v>
      </c>
      <c r="E27" s="43" t="s">
        <v>103</v>
      </c>
      <c r="F27" s="44" t="s">
        <v>126</v>
      </c>
      <c r="G27" s="112" t="s">
        <v>1011</v>
      </c>
      <c r="H27" s="46"/>
      <c r="I27" s="11" t="b">
        <v>1</v>
      </c>
      <c r="J27" s="83" t="str">
        <f t="shared" si="3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IFERROR(__xludf.DUMMYFUNCTION("""COMPUTED_VALUE"""),"Berg14")</f>
        <v>Berg14</v>
      </c>
      <c r="R27" s="49">
        <f>IFERROR(__xludf.DUMMYFUNCTION("""COMPUTED_VALUE"""),559.0)</f>
        <v>559</v>
      </c>
      <c r="S27" s="51">
        <v>44033.81403054398</v>
      </c>
    </row>
    <row r="28">
      <c r="A28" s="43">
        <v>4.0</v>
      </c>
      <c r="B28" s="43">
        <v>3.0</v>
      </c>
      <c r="C28" s="43">
        <v>45.4690052778308</v>
      </c>
      <c r="D28" s="43">
        <v>-73.4657387335606</v>
      </c>
      <c r="E28" s="43" t="s">
        <v>98</v>
      </c>
      <c r="F28" s="44" t="s">
        <v>128</v>
      </c>
      <c r="G28" s="112" t="s">
        <v>1012</v>
      </c>
      <c r="H28" s="46"/>
      <c r="I28" s="11" t="b">
        <v>1</v>
      </c>
      <c r="J28" s="83" t="str">
        <f t="shared" si="3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IFERROR(__xludf.DUMMYFUNCTION("""COMPUTED_VALUE"""),"Niks13")</f>
        <v>Niks13</v>
      </c>
      <c r="R28" s="49">
        <f>IFERROR(__xludf.DUMMYFUNCTION("""COMPUTED_VALUE"""),524.0)</f>
        <v>524</v>
      </c>
      <c r="S28" s="51">
        <v>44033.81406350694</v>
      </c>
    </row>
    <row r="29">
      <c r="A29" s="43">
        <v>4.0</v>
      </c>
      <c r="B29" s="43">
        <v>4.0</v>
      </c>
      <c r="C29" s="43">
        <v>45.4690052776475</v>
      </c>
      <c r="D29" s="43">
        <v>-73.4655337835108</v>
      </c>
      <c r="E29" s="43" t="s">
        <v>98</v>
      </c>
      <c r="F29" s="44" t="s">
        <v>138</v>
      </c>
      <c r="G29" s="112" t="s">
        <v>1013</v>
      </c>
      <c r="H29" s="46"/>
      <c r="I29" s="11" t="b">
        <v>1</v>
      </c>
      <c r="J29" s="83" t="str">
        <f t="shared" si="3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IFERROR(__xludf.DUMMYFUNCTION("""COMPUTED_VALUE"""),2744.0)</f>
        <v>2744</v>
      </c>
      <c r="S29" s="49"/>
    </row>
    <row r="30">
      <c r="A30" s="43">
        <v>4.0</v>
      </c>
      <c r="B30" s="43">
        <v>5.0</v>
      </c>
      <c r="C30" s="43">
        <v>45.4690052774643</v>
      </c>
      <c r="D30" s="43">
        <v>-73.4653288334611</v>
      </c>
      <c r="E30" s="43" t="s">
        <v>98</v>
      </c>
      <c r="F30" s="44" t="s">
        <v>120</v>
      </c>
      <c r="G30" s="112" t="s">
        <v>1014</v>
      </c>
      <c r="H30" s="46"/>
      <c r="I30" s="11" t="b">
        <v>1</v>
      </c>
      <c r="J30" s="83" t="str">
        <f t="shared" si="3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IFERROR(__xludf.DUMMYFUNCTION("""COMPUTED_VALUE"""),"xrayneex")</f>
        <v>xrayneex</v>
      </c>
      <c r="R30" s="49">
        <f>IFERROR(__xludf.DUMMYFUNCTION("""COMPUTED_VALUE"""),1348.0)</f>
        <v>1348</v>
      </c>
      <c r="S30" s="49"/>
    </row>
    <row r="31">
      <c r="A31" s="43">
        <v>4.0</v>
      </c>
      <c r="B31" s="43">
        <v>6.0</v>
      </c>
      <c r="C31" s="43">
        <v>45.469005277281</v>
      </c>
      <c r="D31" s="43">
        <v>-73.4651238834114</v>
      </c>
      <c r="E31" s="43" t="s">
        <v>103</v>
      </c>
      <c r="F31" s="44" t="s">
        <v>929</v>
      </c>
      <c r="G31" s="112" t="s">
        <v>1015</v>
      </c>
      <c r="H31" s="46"/>
      <c r="I31" s="11" t="b">
        <v>1</v>
      </c>
      <c r="J31" s="83" t="str">
        <f t="shared" si="3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IFERROR(__xludf.DUMMYFUNCTION("""COMPUTED_VALUE"""),"Dazzle007")</f>
        <v>Dazzle007</v>
      </c>
      <c r="R31" s="49">
        <f>IFERROR(__xludf.DUMMYFUNCTION("""COMPUTED_VALUE"""),797.0)</f>
        <v>797</v>
      </c>
      <c r="S31" s="49"/>
    </row>
    <row r="32">
      <c r="A32" s="43">
        <v>4.0</v>
      </c>
      <c r="B32" s="43">
        <v>7.0</v>
      </c>
      <c r="C32" s="43">
        <v>45.4690052770978</v>
      </c>
      <c r="D32" s="43">
        <v>-73.4649189333617</v>
      </c>
      <c r="E32" s="43" t="s">
        <v>98</v>
      </c>
      <c r="F32" s="44" t="s">
        <v>1016</v>
      </c>
      <c r="G32" s="112" t="s">
        <v>1017</v>
      </c>
      <c r="H32" s="46"/>
      <c r="I32" s="11" t="b">
        <v>1</v>
      </c>
      <c r="J32" s="83" t="str">
        <f t="shared" si="3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IFERROR(__xludf.DUMMYFUNCTION("""COMPUTED_VALUE"""),"Lylmik")</f>
        <v>Lylmik</v>
      </c>
      <c r="R32" s="49">
        <f>IFERROR(__xludf.DUMMYFUNCTION("""COMPUTED_VALUE"""),1482.0)</f>
        <v>1482</v>
      </c>
      <c r="S32" s="51">
        <v>44034.76164635416</v>
      </c>
    </row>
    <row r="33">
      <c r="A33" s="43">
        <v>4.0</v>
      </c>
      <c r="B33" s="43">
        <v>8.0</v>
      </c>
      <c r="C33" s="43">
        <v>45.4690052769145</v>
      </c>
      <c r="D33" s="43">
        <v>-73.4647139833121</v>
      </c>
      <c r="E33" s="43" t="s">
        <v>98</v>
      </c>
      <c r="F33" s="44" t="s">
        <v>1018</v>
      </c>
      <c r="G33" s="112" t="s">
        <v>1019</v>
      </c>
      <c r="H33" s="46"/>
      <c r="I33" s="11" t="b">
        <v>1</v>
      </c>
      <c r="J33" s="83" t="str">
        <f t="shared" si="3"/>
        <v/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IFERROR(__xludf.DUMMYFUNCTION("""COMPUTED_VALUE"""),"BoyBou")</f>
        <v>BoyBou</v>
      </c>
      <c r="R33" s="49">
        <f>IFERROR(__xludf.DUMMYFUNCTION("""COMPUTED_VALUE"""),3910.0)</f>
        <v>3910</v>
      </c>
      <c r="S33" s="49"/>
    </row>
    <row r="34">
      <c r="A34" s="43">
        <v>5.0</v>
      </c>
      <c r="B34" s="43">
        <v>1.0</v>
      </c>
      <c r="C34" s="43">
        <v>45.4688615477519</v>
      </c>
      <c r="D34" s="43">
        <v>-73.4661486472481</v>
      </c>
      <c r="E34" s="43" t="s">
        <v>103</v>
      </c>
      <c r="F34" s="44" t="s">
        <v>1018</v>
      </c>
      <c r="G34" s="112" t="s">
        <v>1020</v>
      </c>
      <c r="H34" s="46"/>
      <c r="I34" s="11" t="b">
        <v>1</v>
      </c>
      <c r="J34" s="83" t="str">
        <f t="shared" si="3"/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IFERROR(__xludf.DUMMYFUNCTION("""COMPUTED_VALUE"""),"BoyBou")</f>
        <v>BoyBou</v>
      </c>
      <c r="R34" s="49">
        <f>IFERROR(__xludf.DUMMYFUNCTION("""COMPUTED_VALUE"""),3907.0)</f>
        <v>3907</v>
      </c>
      <c r="S34" s="49"/>
    </row>
    <row r="35">
      <c r="A35" s="43">
        <v>5.0</v>
      </c>
      <c r="B35" s="43">
        <v>2.0</v>
      </c>
      <c r="C35" s="43">
        <v>45.4688615475686</v>
      </c>
      <c r="D35" s="43">
        <v>-73.465943697721</v>
      </c>
      <c r="E35" s="43" t="s">
        <v>98</v>
      </c>
      <c r="F35" s="44" t="s">
        <v>141</v>
      </c>
      <c r="G35" s="117" t="s">
        <v>1021</v>
      </c>
      <c r="H35" s="46"/>
      <c r="I35" s="11" t="b">
        <v>1</v>
      </c>
      <c r="J35" s="83" t="str">
        <f t="shared" si="3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IFERROR(__xludf.DUMMYFUNCTION("""COMPUTED_VALUE"""),2359.0)</f>
        <v>2359</v>
      </c>
      <c r="S35" s="49"/>
    </row>
    <row r="36">
      <c r="A36" s="43">
        <v>5.0</v>
      </c>
      <c r="B36" s="43">
        <v>3.0</v>
      </c>
      <c r="C36" s="43">
        <v>45.4688615473854</v>
      </c>
      <c r="D36" s="43">
        <v>-73.4657387481939</v>
      </c>
      <c r="E36" s="43" t="s">
        <v>103</v>
      </c>
      <c r="F36" s="44" t="s">
        <v>1022</v>
      </c>
      <c r="G36" s="112" t="s">
        <v>1023</v>
      </c>
      <c r="H36" s="46"/>
      <c r="I36" s="11" t="b">
        <v>1</v>
      </c>
      <c r="J36" s="83" t="str">
        <f t="shared" si="3"/>
        <v/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IFERROR(__xludf.DUMMYFUNCTION("""COMPUTED_VALUE"""),"Laouate")</f>
        <v>Laouate</v>
      </c>
      <c r="R36" s="49">
        <f>IFERROR(__xludf.DUMMYFUNCTION("""COMPUTED_VALUE"""),318.0)</f>
        <v>318</v>
      </c>
      <c r="S36" s="49"/>
    </row>
    <row r="37">
      <c r="A37" s="43">
        <v>5.0</v>
      </c>
      <c r="B37" s="43">
        <v>4.0</v>
      </c>
      <c r="C37" s="43">
        <v>45.4688615472021</v>
      </c>
      <c r="D37" s="43">
        <v>-73.4655337986668</v>
      </c>
      <c r="E37" s="43" t="s">
        <v>98</v>
      </c>
      <c r="F37" s="44" t="s">
        <v>166</v>
      </c>
      <c r="G37" s="112" t="s">
        <v>1024</v>
      </c>
      <c r="H37" s="46"/>
      <c r="I37" s="11" t="b">
        <v>1</v>
      </c>
      <c r="J37" s="83" t="str">
        <f t="shared" si="3"/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IFERROR(__xludf.DUMMYFUNCTION("""COMPUTED_VALUE"""),"all0123")</f>
        <v>all0123</v>
      </c>
      <c r="R37" s="49">
        <f>IFERROR(__xludf.DUMMYFUNCTION("""COMPUTED_VALUE"""),3911.0)</f>
        <v>3911</v>
      </c>
      <c r="S37" s="49"/>
    </row>
    <row r="38">
      <c r="A38" s="43">
        <v>5.0</v>
      </c>
      <c r="B38" s="43">
        <v>5.0</v>
      </c>
      <c r="C38" s="43">
        <v>45.4688615470189</v>
      </c>
      <c r="D38" s="43">
        <v>-73.4653288491397</v>
      </c>
      <c r="E38" s="43" t="s">
        <v>98</v>
      </c>
      <c r="F38" s="44" t="s">
        <v>1025</v>
      </c>
      <c r="G38" s="112" t="s">
        <v>1026</v>
      </c>
      <c r="H38" s="46"/>
      <c r="I38" s="11" t="b">
        <v>1</v>
      </c>
      <c r="J38" s="83" t="str">
        <f t="shared" si="3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IFERROR(__xludf.DUMMYFUNCTION("""COMPUTED_VALUE"""),"upapou")</f>
        <v>upapou</v>
      </c>
      <c r="R38" s="49">
        <f>IFERROR(__xludf.DUMMYFUNCTION("""COMPUTED_VALUE"""),969.0)</f>
        <v>969</v>
      </c>
      <c r="S38" s="49"/>
    </row>
    <row r="39">
      <c r="A39" s="43">
        <v>5.0</v>
      </c>
      <c r="B39" s="43">
        <v>6.0</v>
      </c>
      <c r="C39" s="43">
        <v>45.4688615468356</v>
      </c>
      <c r="D39" s="43">
        <v>-73.4651238996126</v>
      </c>
      <c r="E39" s="43" t="s">
        <v>98</v>
      </c>
      <c r="F39" s="44" t="s">
        <v>136</v>
      </c>
      <c r="G39" s="112" t="s">
        <v>1027</v>
      </c>
      <c r="H39" s="46"/>
      <c r="I39" s="11" t="b">
        <v>1</v>
      </c>
      <c r="J39" s="83"/>
      <c r="K39" s="49" t="str">
        <f>IFERROR(__xludf.DUMMYFUNCTION("IF(M39=1,IFERROR(IMPORTXML(G39, ""//p[@class='status-date']""),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IFERROR(__xludf.DUMMYFUNCTION("""COMPUTED_VALUE"""),"OdinsFiRe")</f>
        <v>OdinsFiRe</v>
      </c>
      <c r="R39" s="49">
        <f>IFERROR(__xludf.DUMMYFUNCTION("""COMPUTED_VALUE"""),1631.0)</f>
        <v>1631</v>
      </c>
      <c r="S39" s="51">
        <v>44050.80416516204</v>
      </c>
    </row>
    <row r="40">
      <c r="A40" s="43">
        <v>5.0</v>
      </c>
      <c r="B40" s="43">
        <v>7.0</v>
      </c>
      <c r="C40" s="43">
        <v>45.4688615466524</v>
      </c>
      <c r="D40" s="43">
        <v>-73.4649189500855</v>
      </c>
      <c r="E40" s="43" t="s">
        <v>98</v>
      </c>
      <c r="F40" s="44" t="s">
        <v>1028</v>
      </c>
      <c r="G40" s="112" t="s">
        <v>1029</v>
      </c>
      <c r="H40" s="118"/>
      <c r="I40" s="11" t="b">
        <v>1</v>
      </c>
      <c r="J40" s="11"/>
      <c r="K40" s="49" t="str">
        <f>IFERROR(__xludf.DUMMYFUNCTION("IF(M40=1,IFERROR(IMPORTXML(G40, ""//p[@class='status-date']""),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IFERROR(__xludf.DUMMYFUNCTION("""COMPUTED_VALUE"""),"Vanocho")</f>
        <v>Vanocho</v>
      </c>
      <c r="R40" s="49">
        <f>IFERROR(__xludf.DUMMYFUNCTION("""COMPUTED_VALUE"""),784.0)</f>
        <v>784</v>
      </c>
      <c r="S40" s="51">
        <v>44050.78782525463</v>
      </c>
    </row>
    <row r="41">
      <c r="A41" s="43">
        <v>5.0</v>
      </c>
      <c r="B41" s="43">
        <v>8.0</v>
      </c>
      <c r="C41" s="43">
        <v>45.4688615464692</v>
      </c>
      <c r="D41" s="43">
        <v>-73.4647140005583</v>
      </c>
      <c r="E41" s="43" t="s">
        <v>98</v>
      </c>
      <c r="F41" s="44" t="s">
        <v>950</v>
      </c>
      <c r="G41" s="65" t="s">
        <v>1030</v>
      </c>
      <c r="H41" s="114"/>
      <c r="I41" s="11" t="b">
        <v>1</v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IFERROR(__xludf.DUMMYFUNCTION("""COMPUTED_VALUE"""),"babyw")</f>
        <v>babyw</v>
      </c>
      <c r="R41" s="49">
        <f>IFERROR(__xludf.DUMMYFUNCTION("""COMPUTED_VALUE"""),3052.0)</f>
        <v>3052</v>
      </c>
      <c r="S41" s="51"/>
    </row>
    <row r="42">
      <c r="A42" s="43">
        <v>6.0</v>
      </c>
      <c r="B42" s="43">
        <v>1.0</v>
      </c>
      <c r="C42" s="43">
        <v>45.4687178173065</v>
      </c>
      <c r="D42" s="43">
        <v>-73.4661486608361</v>
      </c>
      <c r="E42" s="43" t="s">
        <v>98</v>
      </c>
      <c r="F42" s="44" t="s">
        <v>1031</v>
      </c>
      <c r="G42" s="112" t="s">
        <v>1032</v>
      </c>
      <c r="H42" s="46"/>
      <c r="I42" s="11" t="b">
        <v>1</v>
      </c>
      <c r="J42" s="83" t="str">
        <f t="shared" ref="J42:J43" si="4">if(I42=true,"",S42)</f>
        <v/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IFERROR(__xludf.DUMMYFUNCTION("""COMPUTED_VALUE"""),"jldh")</f>
        <v>jldh</v>
      </c>
      <c r="R42" s="49">
        <f>IFERROR(__xludf.DUMMYFUNCTION("""COMPUTED_VALUE"""),2933.0)</f>
        <v>2933</v>
      </c>
      <c r="S42" s="49"/>
    </row>
    <row r="43">
      <c r="A43" s="43">
        <v>6.0</v>
      </c>
      <c r="B43" s="43">
        <v>2.0</v>
      </c>
      <c r="C43" s="43">
        <v>45.4687178171232</v>
      </c>
      <c r="D43" s="43">
        <v>-73.4659437118315</v>
      </c>
      <c r="E43" s="43" t="s">
        <v>98</v>
      </c>
      <c r="F43" s="44" t="s">
        <v>1033</v>
      </c>
      <c r="G43" s="65" t="s">
        <v>1034</v>
      </c>
      <c r="H43" s="46"/>
      <c r="I43" s="11" t="b">
        <v>1</v>
      </c>
      <c r="J43" s="83" t="str">
        <f t="shared" si="4"/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IFERROR(__xludf.DUMMYFUNCTION("""COMPUTED_VALUE"""),"LtRangerBob")</f>
        <v>LtRangerBob</v>
      </c>
      <c r="R43" s="49">
        <f>IFERROR(__xludf.DUMMYFUNCTION("""COMPUTED_VALUE"""),2591.0)</f>
        <v>2591</v>
      </c>
      <c r="S43" s="49"/>
    </row>
    <row r="44">
      <c r="A44" s="43">
        <v>6.0</v>
      </c>
      <c r="B44" s="43">
        <v>3.0</v>
      </c>
      <c r="C44" s="43">
        <v>45.46871781694</v>
      </c>
      <c r="D44" s="43">
        <v>-73.465738762827</v>
      </c>
      <c r="E44" s="43" t="s">
        <v>103</v>
      </c>
      <c r="F44" s="44" t="s">
        <v>1035</v>
      </c>
      <c r="G44" s="112" t="s">
        <v>1036</v>
      </c>
      <c r="H44" s="46"/>
      <c r="I44" s="11" t="b">
        <v>1</v>
      </c>
      <c r="J44" s="83"/>
      <c r="K44" s="49" t="str">
        <f>IFERROR(__xludf.DUMMYFUNCTION("IF(M44=1,IFERROR(IMPORTXML(G44, ""//p[@class='status-date']""),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IFERROR(__xludf.DUMMYFUNCTION("""COMPUTED_VALUE"""),"Lanyasummer")</f>
        <v>Lanyasummer</v>
      </c>
      <c r="R44" s="49">
        <f>IFERROR(__xludf.DUMMYFUNCTION("""COMPUTED_VALUE"""),4398.0)</f>
        <v>4398</v>
      </c>
      <c r="S44" s="51">
        <v>44050.8042580787</v>
      </c>
    </row>
    <row r="45">
      <c r="A45" s="43">
        <v>6.0</v>
      </c>
      <c r="B45" s="43">
        <v>4.0</v>
      </c>
      <c r="C45" s="43">
        <v>45.4687178167567</v>
      </c>
      <c r="D45" s="43">
        <v>-73.4655338138225</v>
      </c>
      <c r="E45" s="43" t="s">
        <v>98</v>
      </c>
      <c r="F45" s="44" t="s">
        <v>1031</v>
      </c>
      <c r="G45" s="45" t="s">
        <v>1037</v>
      </c>
      <c r="H45" s="46"/>
      <c r="I45" s="11" t="b">
        <v>1</v>
      </c>
      <c r="J45" s="83" t="str">
        <f t="shared" ref="J45:J50" si="5">if(I45=true,"",S45)</f>
        <v/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IFERROR(__xludf.DUMMYFUNCTION("""COMPUTED_VALUE"""),"jldh")</f>
        <v>jldh</v>
      </c>
      <c r="R45" s="49">
        <f>IFERROR(__xludf.DUMMYFUNCTION("""COMPUTED_VALUE"""),2934.0)</f>
        <v>2934</v>
      </c>
      <c r="S45" s="49"/>
    </row>
    <row r="46">
      <c r="A46" s="43">
        <v>6.0</v>
      </c>
      <c r="B46" s="43">
        <v>5.0</v>
      </c>
      <c r="C46" s="43">
        <v>45.4687178165735</v>
      </c>
      <c r="D46" s="43">
        <v>-73.465328864818</v>
      </c>
      <c r="E46" s="43" t="s">
        <v>98</v>
      </c>
      <c r="F46" s="44" t="s">
        <v>1033</v>
      </c>
      <c r="G46" s="45" t="s">
        <v>1038</v>
      </c>
      <c r="H46" s="46"/>
      <c r="I46" s="11" t="b">
        <v>1</v>
      </c>
      <c r="J46" s="83" t="str">
        <f t="shared" si="5"/>
        <v/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IFERROR(__xludf.DUMMYFUNCTION("""COMPUTED_VALUE"""),"LtRangerBob")</f>
        <v>LtRangerBob</v>
      </c>
      <c r="R46" s="49">
        <f>IFERROR(__xludf.DUMMYFUNCTION("""COMPUTED_VALUE"""),2603.0)</f>
        <v>2603</v>
      </c>
      <c r="S46" s="49"/>
    </row>
    <row r="47">
      <c r="A47" s="43">
        <v>6.0</v>
      </c>
      <c r="B47" s="43">
        <v>6.0</v>
      </c>
      <c r="C47" s="43">
        <v>45.4687178163902</v>
      </c>
      <c r="D47" s="43">
        <v>-73.4651239158135</v>
      </c>
      <c r="E47" s="43" t="s">
        <v>103</v>
      </c>
      <c r="F47" s="44" t="s">
        <v>1039</v>
      </c>
      <c r="G47" s="117" t="s">
        <v>1040</v>
      </c>
      <c r="H47" s="46"/>
      <c r="I47" s="11" t="b">
        <v>1</v>
      </c>
      <c r="J47" s="83" t="str">
        <f t="shared" si="5"/>
        <v/>
      </c>
      <c r="K47" s="49" t="str">
        <f>IFERROR(__xludf.DUMMYFUNCTION("IF(M47=1,IFERROR(IMPORTXML(G47, ""//p[@class='status-date']""),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IFERROR(__xludf.DUMMYFUNCTION("""COMPUTED_VALUE"""),"IXE13")</f>
        <v>IXE13</v>
      </c>
      <c r="R47" s="49">
        <f>IFERROR(__xludf.DUMMYFUNCTION("""COMPUTED_VALUE"""),186.0)</f>
        <v>186</v>
      </c>
      <c r="S47" s="49"/>
    </row>
    <row r="48">
      <c r="A48" s="43">
        <v>6.0</v>
      </c>
      <c r="B48" s="43">
        <v>7.0</v>
      </c>
      <c r="C48" s="43">
        <v>45.468717816207</v>
      </c>
      <c r="D48" s="43">
        <v>-73.464918966809</v>
      </c>
      <c r="E48" s="43" t="s">
        <v>98</v>
      </c>
      <c r="F48" s="44" t="s">
        <v>145</v>
      </c>
      <c r="G48" s="117" t="s">
        <v>1041</v>
      </c>
      <c r="H48" s="46"/>
      <c r="I48" s="11" t="b">
        <v>1</v>
      </c>
      <c r="J48" s="83" t="str">
        <f t="shared" si="5"/>
        <v/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IFERROR(__xludf.DUMMYFUNCTION("""COMPUTED_VALUE"""),4170.0)</f>
        <v>4170</v>
      </c>
      <c r="S48" s="51">
        <v>44033.894408611115</v>
      </c>
    </row>
    <row r="49">
      <c r="A49" s="43">
        <v>6.0</v>
      </c>
      <c r="B49" s="43">
        <v>8.0</v>
      </c>
      <c r="C49" s="43">
        <v>45.4687178160237</v>
      </c>
      <c r="D49" s="43">
        <v>-73.4647140178045</v>
      </c>
      <c r="E49" s="43" t="s">
        <v>98</v>
      </c>
      <c r="F49" s="44" t="s">
        <v>147</v>
      </c>
      <c r="G49" s="117" t="s">
        <v>1042</v>
      </c>
      <c r="H49" s="46"/>
      <c r="I49" s="11" t="b">
        <v>1</v>
      </c>
      <c r="J49" s="83" t="str">
        <f t="shared" si="5"/>
        <v/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IFERROR(__xludf.DUMMYFUNCTION("""COMPUTED_VALUE"""),6999.0)</f>
        <v>6999</v>
      </c>
      <c r="S49" s="51">
        <v>44033.89446792824</v>
      </c>
    </row>
    <row r="50">
      <c r="A50" s="43">
        <v>7.0</v>
      </c>
      <c r="B50" s="43">
        <v>2.0</v>
      </c>
      <c r="C50" s="43">
        <v>45.4685740866778</v>
      </c>
      <c r="D50" s="43">
        <v>-73.4659437259421</v>
      </c>
      <c r="E50" s="43" t="s">
        <v>103</v>
      </c>
      <c r="F50" s="44" t="s">
        <v>1016</v>
      </c>
      <c r="G50" s="112" t="s">
        <v>1043</v>
      </c>
      <c r="H50" s="46"/>
      <c r="I50" s="11" t="b">
        <v>1</v>
      </c>
      <c r="J50" s="83" t="str">
        <f t="shared" si="5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IFERROR(__xludf.DUMMYFUNCTION("""COMPUTED_VALUE"""),"Lylmik")</f>
        <v>Lylmik</v>
      </c>
      <c r="R50" s="49">
        <f>IFERROR(__xludf.DUMMYFUNCTION("""COMPUTED_VALUE"""),1495.0)</f>
        <v>1495</v>
      </c>
      <c r="S50" s="49"/>
    </row>
    <row r="51">
      <c r="A51" s="43">
        <v>7.0</v>
      </c>
      <c r="B51" s="43">
        <v>3.0</v>
      </c>
      <c r="C51" s="43">
        <v>45.4685740864945</v>
      </c>
      <c r="D51" s="43">
        <v>-73.4657387774602</v>
      </c>
      <c r="E51" s="43" t="s">
        <v>98</v>
      </c>
      <c r="F51" s="44" t="s">
        <v>1044</v>
      </c>
      <c r="G51" s="112" t="s">
        <v>1045</v>
      </c>
      <c r="H51" s="44"/>
      <c r="I51" s="11" t="b">
        <v>1</v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IFERROR(__xludf.DUMMYFUNCTION("""COMPUTED_VALUE"""),"PinkBulldog")</f>
        <v>PinkBulldog</v>
      </c>
      <c r="R51" s="49">
        <f>IFERROR(__xludf.DUMMYFUNCTION("""COMPUTED_VALUE"""),2312.0)</f>
        <v>2312</v>
      </c>
      <c r="S51" s="49"/>
    </row>
    <row r="52">
      <c r="A52" s="43">
        <v>7.0</v>
      </c>
      <c r="B52" s="43">
        <v>4.0</v>
      </c>
      <c r="C52" s="43">
        <v>45.4685740863113</v>
      </c>
      <c r="D52" s="43">
        <v>-73.4655338289783</v>
      </c>
      <c r="E52" s="43" t="s">
        <v>98</v>
      </c>
      <c r="F52" s="44" t="s">
        <v>1046</v>
      </c>
      <c r="G52" s="112" t="s">
        <v>1047</v>
      </c>
      <c r="H52" s="46"/>
      <c r="I52" s="11" t="b">
        <v>1</v>
      </c>
      <c r="J52" s="83" t="str">
        <f t="shared" ref="J52:J59" si="6">if(I52=true,"",S52)</f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IFERROR(__xludf.DUMMYFUNCTION("""COMPUTED_VALUE"""),"Vanocho")</f>
        <v>Vanocho</v>
      </c>
      <c r="R52" s="49">
        <f>IFERROR(__xludf.DUMMYFUNCTION("""COMPUTED_VALUE"""),810.0)</f>
        <v>810</v>
      </c>
      <c r="S52" s="49"/>
    </row>
    <row r="53">
      <c r="A53" s="43">
        <v>7.0</v>
      </c>
      <c r="B53" s="43">
        <v>5.0</v>
      </c>
      <c r="C53" s="43">
        <v>45.468574086128</v>
      </c>
      <c r="D53" s="43">
        <v>-73.4653288804964</v>
      </c>
      <c r="E53" s="43" t="s">
        <v>98</v>
      </c>
      <c r="F53" s="44" t="s">
        <v>1018</v>
      </c>
      <c r="G53" s="112" t="s">
        <v>1048</v>
      </c>
      <c r="H53" s="46"/>
      <c r="I53" s="11" t="b">
        <v>1</v>
      </c>
      <c r="J53" s="83" t="str">
        <f t="shared" si="6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IFERROR(__xludf.DUMMYFUNCTION("""COMPUTED_VALUE"""),"BoyBou")</f>
        <v>BoyBou</v>
      </c>
      <c r="R53" s="49">
        <f>IFERROR(__xludf.DUMMYFUNCTION("""COMPUTED_VALUE"""),3904.0)</f>
        <v>3904</v>
      </c>
      <c r="S53" s="49"/>
    </row>
    <row r="54">
      <c r="A54" s="43">
        <v>7.0</v>
      </c>
      <c r="B54" s="43">
        <v>6.0</v>
      </c>
      <c r="C54" s="43">
        <v>45.4685740859448</v>
      </c>
      <c r="D54" s="43">
        <v>-73.4651239320145</v>
      </c>
      <c r="E54" s="43" t="s">
        <v>98</v>
      </c>
      <c r="F54" s="44" t="s">
        <v>929</v>
      </c>
      <c r="G54" s="112" t="s">
        <v>1049</v>
      </c>
      <c r="H54" s="46"/>
      <c r="I54" s="11" t="b">
        <v>1</v>
      </c>
      <c r="J54" s="83" t="str">
        <f t="shared" si="6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IFERROR(__xludf.DUMMYFUNCTION("""COMPUTED_VALUE"""),"Dazzle007")</f>
        <v>Dazzle007</v>
      </c>
      <c r="R54" s="49">
        <f>IFERROR(__xludf.DUMMYFUNCTION("""COMPUTED_VALUE"""),795.0)</f>
        <v>795</v>
      </c>
      <c r="S54" s="49"/>
    </row>
    <row r="55">
      <c r="A55" s="43">
        <v>7.0</v>
      </c>
      <c r="B55" s="43">
        <v>7.0</v>
      </c>
      <c r="C55" s="43">
        <v>45.4685740857615</v>
      </c>
      <c r="D55" s="43">
        <v>-73.4649189835327</v>
      </c>
      <c r="E55" s="43" t="s">
        <v>98</v>
      </c>
      <c r="F55" s="44" t="s">
        <v>166</v>
      </c>
      <c r="G55" s="112" t="s">
        <v>1050</v>
      </c>
      <c r="H55" s="46"/>
      <c r="I55" s="11" t="b">
        <v>1</v>
      </c>
      <c r="J55" s="83" t="str">
        <f t="shared" si="6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IFERROR(__xludf.DUMMYFUNCTION("""COMPUTED_VALUE"""),"all0123")</f>
        <v>all0123</v>
      </c>
      <c r="R55" s="49">
        <f>IFERROR(__xludf.DUMMYFUNCTION("""COMPUTED_VALUE"""),3912.0)</f>
        <v>3912</v>
      </c>
      <c r="S55" s="49"/>
    </row>
    <row r="56">
      <c r="A56" s="43">
        <v>8.0</v>
      </c>
      <c r="B56" s="43">
        <v>3.0</v>
      </c>
      <c r="C56" s="43">
        <v>45.468430356049</v>
      </c>
      <c r="D56" s="43">
        <v>-73.4657387920933</v>
      </c>
      <c r="E56" s="43" t="s">
        <v>98</v>
      </c>
      <c r="F56" s="44" t="s">
        <v>157</v>
      </c>
      <c r="G56" s="112" t="s">
        <v>1051</v>
      </c>
      <c r="H56" s="46"/>
      <c r="I56" s="11" t="b">
        <v>1</v>
      </c>
      <c r="J56" s="83" t="str">
        <f t="shared" si="6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IFERROR(__xludf.DUMMYFUNCTION("""COMPUTED_VALUE"""),"barefootguru")</f>
        <v>barefootguru</v>
      </c>
      <c r="R56" s="49">
        <f>IFERROR(__xludf.DUMMYFUNCTION("""COMPUTED_VALUE"""),3128.0)</f>
        <v>3128</v>
      </c>
      <c r="S56" s="49"/>
    </row>
    <row r="57">
      <c r="A57" s="43">
        <v>8.0</v>
      </c>
      <c r="B57" s="43">
        <v>4.0</v>
      </c>
      <c r="C57" s="43">
        <v>45.4684303558658</v>
      </c>
      <c r="D57" s="43">
        <v>-73.465533844134</v>
      </c>
      <c r="E57" s="43" t="s">
        <v>103</v>
      </c>
      <c r="F57" s="44" t="s">
        <v>166</v>
      </c>
      <c r="G57" s="112" t="s">
        <v>1052</v>
      </c>
      <c r="H57" s="46"/>
      <c r="I57" s="11" t="b">
        <v>1</v>
      </c>
      <c r="J57" s="83" t="str">
        <f t="shared" si="6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IFERROR(__xludf.DUMMYFUNCTION("""COMPUTED_VALUE"""),"all0123")</f>
        <v>all0123</v>
      </c>
      <c r="R57" s="49">
        <f>IFERROR(__xludf.DUMMYFUNCTION("""COMPUTED_VALUE"""),3932.0)</f>
        <v>3932</v>
      </c>
      <c r="S57" s="49"/>
    </row>
    <row r="58">
      <c r="A58" s="43">
        <v>8.0</v>
      </c>
      <c r="B58" s="43">
        <v>5.0</v>
      </c>
      <c r="C58" s="43">
        <v>45.4684303556826</v>
      </c>
      <c r="D58" s="43">
        <v>-73.4653288961748</v>
      </c>
      <c r="E58" s="43" t="s">
        <v>103</v>
      </c>
      <c r="F58" s="44" t="s">
        <v>319</v>
      </c>
      <c r="G58" s="112" t="s">
        <v>1053</v>
      </c>
      <c r="H58" s="46"/>
      <c r="I58" s="11" t="b">
        <v>1</v>
      </c>
      <c r="J58" s="83" t="str">
        <f t="shared" si="6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IFERROR(__xludf.DUMMYFUNCTION("""COMPUTED_VALUE"""),"belladivadee")</f>
        <v>belladivadee</v>
      </c>
      <c r="R58" s="49">
        <f>IFERROR(__xludf.DUMMYFUNCTION("""COMPUTED_VALUE"""),3081.0)</f>
        <v>3081</v>
      </c>
      <c r="S58" s="51">
        <v>44034.29680065972</v>
      </c>
    </row>
    <row r="59">
      <c r="A59" s="43">
        <v>8.0</v>
      </c>
      <c r="B59" s="43">
        <v>6.0</v>
      </c>
      <c r="C59" s="43">
        <v>45.4684303554993</v>
      </c>
      <c r="D59" s="43">
        <v>-73.4651239482155</v>
      </c>
      <c r="E59" s="43" t="s">
        <v>98</v>
      </c>
      <c r="F59" s="44" t="s">
        <v>1016</v>
      </c>
      <c r="G59" s="112" t="s">
        <v>1054</v>
      </c>
      <c r="H59" s="46"/>
      <c r="I59" s="11" t="b">
        <v>1</v>
      </c>
      <c r="J59" s="83" t="str">
        <f t="shared" si="6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IFERROR(__xludf.DUMMYFUNCTION("""COMPUTED_VALUE"""),"Lylmik")</f>
        <v>Lylmik</v>
      </c>
      <c r="R59" s="49">
        <f>IFERROR(__xludf.DUMMYFUNCTION("""COMPUTED_VALUE"""),1492.0)</f>
        <v>1492</v>
      </c>
      <c r="S59" s="49"/>
    </row>
    <row r="60">
      <c r="G60" s="119"/>
      <c r="J60" s="83"/>
    </row>
    <row r="61" hidden="1">
      <c r="F61" s="47">
        <f t="shared" ref="F61:G61" si="7">COUNTIF(F8:F59,"")</f>
        <v>0</v>
      </c>
      <c r="G61" s="119">
        <f t="shared" si="7"/>
        <v>0</v>
      </c>
      <c r="I61" s="47">
        <f>COUNTIF(I8:I59,TRUE)</f>
        <v>52</v>
      </c>
      <c r="J61" s="83"/>
    </row>
    <row r="62" hidden="1">
      <c r="G62" s="119"/>
      <c r="J62" s="83"/>
    </row>
    <row r="63">
      <c r="G63" s="119"/>
      <c r="J63" s="83"/>
    </row>
    <row r="64">
      <c r="G64" s="119"/>
      <c r="J64" s="83"/>
    </row>
    <row r="65">
      <c r="G65" s="119"/>
      <c r="J65" s="83"/>
    </row>
    <row r="66">
      <c r="G66" s="119"/>
      <c r="J66" s="83"/>
    </row>
    <row r="67">
      <c r="G67" s="119"/>
      <c r="J67" s="83"/>
    </row>
    <row r="68">
      <c r="G68" s="119"/>
      <c r="J68" s="83"/>
    </row>
    <row r="69">
      <c r="G69" s="119"/>
      <c r="J69" s="83"/>
    </row>
    <row r="70">
      <c r="G70" s="119"/>
      <c r="J70" s="83"/>
    </row>
    <row r="71">
      <c r="G71" s="119"/>
      <c r="J71" s="83"/>
    </row>
    <row r="72">
      <c r="G72" s="119"/>
      <c r="J72" s="83"/>
    </row>
    <row r="73">
      <c r="G73" s="119"/>
      <c r="J73" s="83"/>
    </row>
    <row r="74">
      <c r="G74" s="119"/>
      <c r="J74" s="83"/>
    </row>
    <row r="75">
      <c r="G75" s="119"/>
      <c r="J75" s="83"/>
    </row>
    <row r="76">
      <c r="J76" s="83"/>
    </row>
    <row r="77">
      <c r="J77" s="83"/>
    </row>
    <row r="78">
      <c r="J78" s="83"/>
    </row>
    <row r="79">
      <c r="J79" s="83"/>
    </row>
    <row r="80">
      <c r="J80" s="83"/>
    </row>
    <row r="81">
      <c r="J81" s="83"/>
    </row>
    <row r="82">
      <c r="J82" s="83"/>
    </row>
    <row r="83">
      <c r="J83" s="83"/>
    </row>
    <row r="84">
      <c r="J84" s="83"/>
    </row>
    <row r="85">
      <c r="J85" s="83"/>
    </row>
    <row r="86">
      <c r="J86" s="83"/>
    </row>
    <row r="87">
      <c r="J87" s="83"/>
    </row>
    <row r="88">
      <c r="J88" s="83"/>
    </row>
    <row r="89">
      <c r="J89" s="83"/>
    </row>
    <row r="90">
      <c r="J90" s="83"/>
    </row>
    <row r="91">
      <c r="J91" s="83"/>
    </row>
    <row r="92">
      <c r="J92" s="83"/>
    </row>
  </sheetData>
  <mergeCells count="4">
    <mergeCell ref="B1:C1"/>
    <mergeCell ref="H1:H2"/>
    <mergeCell ref="I1:I2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9.5"/>
    <col customWidth="1" min="2" max="2" width="7.75"/>
    <col customWidth="1" min="3" max="3" width="15.5"/>
    <col customWidth="1" min="4" max="4" width="15.88"/>
    <col customWidth="1" min="5" max="5" width="18.75"/>
    <col customWidth="1" min="6" max="6" width="14.5"/>
    <col customWidth="1" min="7" max="7" width="40.38"/>
    <col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33</v>
      </c>
      <c r="B1" s="37" t="s">
        <v>45</v>
      </c>
      <c r="D1" s="106"/>
      <c r="E1" s="2" t="s">
        <v>79</v>
      </c>
      <c r="F1" s="24" t="s">
        <v>188</v>
      </c>
      <c r="G1" s="76" t="s">
        <v>1055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75">
        <v>44046.764437997685</v>
      </c>
    </row>
    <row r="2">
      <c r="A2" s="2"/>
      <c r="B2" s="2"/>
      <c r="C2" s="108"/>
      <c r="D2" s="108"/>
      <c r="E2" s="2" t="s">
        <v>82</v>
      </c>
      <c r="F2" s="2"/>
      <c r="G2" s="4" t="s">
        <v>1056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108"/>
      <c r="D3" s="108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108"/>
      <c r="D4" s="108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109"/>
      <c r="D5" s="109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109"/>
      <c r="D6" s="109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110" t="s">
        <v>87</v>
      </c>
      <c r="D7" s="110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111">
        <v>-27.6780425391995</v>
      </c>
      <c r="D8" s="111">
        <v>153.055962744603</v>
      </c>
      <c r="E8" s="43" t="s">
        <v>98</v>
      </c>
      <c r="F8" s="44" t="s">
        <v>101</v>
      </c>
      <c r="G8" s="45" t="s">
        <v>1057</v>
      </c>
      <c r="H8" s="46"/>
      <c r="I8" s="11" t="b">
        <v>1</v>
      </c>
      <c r="J8" s="47" t="str">
        <f t="shared" ref="J8:J38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IFERROR(__xludf.DUMMYFUNCTION("""COMPUTED_VALUE"""),"sverlaan")</f>
        <v>sverlaan</v>
      </c>
      <c r="R8" s="49">
        <f>IFERROR(__xludf.DUMMYFUNCTION("""COMPUTED_VALUE"""),4123.0)</f>
        <v>4123</v>
      </c>
    </row>
    <row r="9">
      <c r="A9" s="43">
        <v>1.0</v>
      </c>
      <c r="B9" s="43">
        <v>4.0</v>
      </c>
      <c r="C9" s="111">
        <v>-27.678042539105</v>
      </c>
      <c r="D9" s="111">
        <v>153.05612504704</v>
      </c>
      <c r="E9" s="43" t="s">
        <v>98</v>
      </c>
      <c r="F9" s="44" t="s">
        <v>106</v>
      </c>
      <c r="G9" s="45" t="s">
        <v>1058</v>
      </c>
      <c r="H9" s="46"/>
      <c r="I9" s="11" t="b">
        <v>1</v>
      </c>
      <c r="J9" s="47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IFERROR(__xludf.DUMMYFUNCTION("""COMPUTED_VALUE"""),"EmileP68")</f>
        <v>EmileP68</v>
      </c>
      <c r="R9" s="49">
        <f>IFERROR(__xludf.DUMMYFUNCTION("""COMPUTED_VALUE"""),2893.0)</f>
        <v>2893</v>
      </c>
    </row>
    <row r="10">
      <c r="A10" s="43">
        <v>1.0</v>
      </c>
      <c r="B10" s="43">
        <v>5.0</v>
      </c>
      <c r="C10" s="111">
        <v>-27.6780425390104</v>
      </c>
      <c r="D10" s="111">
        <v>153.056287349477</v>
      </c>
      <c r="E10" s="43" t="s">
        <v>103</v>
      </c>
      <c r="F10" s="44" t="s">
        <v>219</v>
      </c>
      <c r="G10" s="45" t="s">
        <v>1059</v>
      </c>
      <c r="H10" s="46"/>
      <c r="I10" s="11" t="b">
        <v>1</v>
      </c>
      <c r="J10" s="47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IFERROR(__xludf.DUMMYFUNCTION("""COMPUTED_VALUE"""),2194.0)</f>
        <v>2194</v>
      </c>
    </row>
    <row r="11">
      <c r="A11" s="43">
        <v>1.0</v>
      </c>
      <c r="B11" s="43">
        <v>6.0</v>
      </c>
      <c r="C11" s="111">
        <v>-27.6780425389158</v>
      </c>
      <c r="D11" s="111">
        <v>153.056449651914</v>
      </c>
      <c r="E11" s="43" t="s">
        <v>103</v>
      </c>
      <c r="F11" s="44" t="s">
        <v>110</v>
      </c>
      <c r="G11" s="54" t="s">
        <v>1060</v>
      </c>
      <c r="H11" s="120"/>
      <c r="I11" s="11" t="b">
        <v>1</v>
      </c>
      <c r="J11" s="47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IFERROR(__xludf.DUMMYFUNCTION("""COMPUTED_VALUE"""),"BrotherWilliam")</f>
        <v>BrotherWilliam</v>
      </c>
      <c r="R11" s="49">
        <f>IFERROR(__xludf.DUMMYFUNCTION("""COMPUTED_VALUE"""),3878.0)</f>
        <v>3878</v>
      </c>
      <c r="S11" s="53">
        <v>44111.0</v>
      </c>
    </row>
    <row r="12">
      <c r="A12" s="43">
        <v>2.0</v>
      </c>
      <c r="B12" s="43">
        <v>2.0</v>
      </c>
      <c r="C12" s="111">
        <v>-27.6781862697395</v>
      </c>
      <c r="D12" s="111">
        <v>153.055800447931</v>
      </c>
      <c r="E12" s="43" t="s">
        <v>98</v>
      </c>
      <c r="F12" s="44" t="s">
        <v>112</v>
      </c>
      <c r="G12" s="52" t="s">
        <v>1061</v>
      </c>
      <c r="H12" s="56"/>
      <c r="I12" s="11" t="b">
        <v>1</v>
      </c>
      <c r="J12" s="47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IFERROR(__xludf.DUMMYFUNCTION("""COMPUTED_VALUE"""),"ArtofEco")</f>
        <v>ArtofEco</v>
      </c>
      <c r="R12" s="49">
        <f>IFERROR(__xludf.DUMMYFUNCTION("""COMPUTED_VALUE"""),2900.0)</f>
        <v>2900</v>
      </c>
      <c r="S12" s="53">
        <v>44111.0</v>
      </c>
    </row>
    <row r="13">
      <c r="A13" s="43">
        <v>2.0</v>
      </c>
      <c r="B13" s="43">
        <v>3.0</v>
      </c>
      <c r="C13" s="111">
        <v>-27.678186269645</v>
      </c>
      <c r="D13" s="111">
        <v>153.055962750582</v>
      </c>
      <c r="E13" s="43" t="s">
        <v>98</v>
      </c>
      <c r="F13" s="44" t="s">
        <v>122</v>
      </c>
      <c r="G13" s="52" t="s">
        <v>1062</v>
      </c>
      <c r="H13" s="56"/>
      <c r="I13" s="11" t="b">
        <v>1</v>
      </c>
      <c r="J13" s="47" t="str">
        <f t="shared" si="1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IFERROR(__xludf.DUMMYFUNCTION("""COMPUTED_VALUE"""),"Drazoria")</f>
        <v>Drazoria</v>
      </c>
      <c r="R13" s="49">
        <f>IFERROR(__xludf.DUMMYFUNCTION("""COMPUTED_VALUE"""),718.0)</f>
        <v>718</v>
      </c>
      <c r="S13" s="53">
        <v>44111.0</v>
      </c>
    </row>
    <row r="14">
      <c r="A14" s="43">
        <v>2.0</v>
      </c>
      <c r="B14" s="43">
        <v>4.0</v>
      </c>
      <c r="C14" s="111">
        <v>-27.6781862695504</v>
      </c>
      <c r="D14" s="111">
        <v>153.056125053232</v>
      </c>
      <c r="E14" s="43" t="s">
        <v>98</v>
      </c>
      <c r="F14" s="44" t="s">
        <v>124</v>
      </c>
      <c r="G14" s="45" t="s">
        <v>1063</v>
      </c>
      <c r="H14" s="44"/>
      <c r="I14" s="11" t="b">
        <v>1</v>
      </c>
      <c r="J14" s="47" t="str">
        <f t="shared" si="1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IFERROR(__xludf.DUMMYFUNCTION("""COMPUTED_VALUE"""),"Tinake1309")</f>
        <v>Tinake1309</v>
      </c>
      <c r="R14" s="49">
        <f>IFERROR(__xludf.DUMMYFUNCTION("""COMPUTED_VALUE"""),713.0)</f>
        <v>713</v>
      </c>
      <c r="S14" s="53">
        <v>44111.0</v>
      </c>
    </row>
    <row r="15">
      <c r="A15" s="43">
        <v>2.0</v>
      </c>
      <c r="B15" s="43">
        <v>5.0</v>
      </c>
      <c r="C15" s="111">
        <v>-27.6781862694558</v>
      </c>
      <c r="D15" s="111">
        <v>153.056287355883</v>
      </c>
      <c r="E15" s="43" t="s">
        <v>103</v>
      </c>
      <c r="F15" s="44" t="s">
        <v>128</v>
      </c>
      <c r="G15" s="45" t="s">
        <v>1064</v>
      </c>
      <c r="H15" s="44"/>
      <c r="I15" s="11" t="b">
        <v>1</v>
      </c>
      <c r="J15" s="47" t="str">
        <f t="shared" si="1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IFERROR(__xludf.DUMMYFUNCTION("""COMPUTED_VALUE"""),"Niks13")</f>
        <v>Niks13</v>
      </c>
      <c r="R15" s="49">
        <f>IFERROR(__xludf.DUMMYFUNCTION("""COMPUTED_VALUE"""),518.0)</f>
        <v>518</v>
      </c>
      <c r="S15" s="53">
        <v>44111.0</v>
      </c>
    </row>
    <row r="16">
      <c r="A16" s="43">
        <v>2.0</v>
      </c>
      <c r="B16" s="43">
        <v>6.0</v>
      </c>
      <c r="C16" s="111">
        <v>-27.6781862693613</v>
      </c>
      <c r="D16" s="111">
        <v>153.056449658533</v>
      </c>
      <c r="E16" s="43" t="s">
        <v>98</v>
      </c>
      <c r="F16" s="44" t="s">
        <v>126</v>
      </c>
      <c r="G16" s="45" t="s">
        <v>1065</v>
      </c>
      <c r="H16" s="44"/>
      <c r="I16" s="11" t="b">
        <v>1</v>
      </c>
      <c r="J16" s="47" t="str">
        <f t="shared" si="1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IFERROR(__xludf.DUMMYFUNCTION("""COMPUTED_VALUE"""),"Berg14")</f>
        <v>Berg14</v>
      </c>
      <c r="R16" s="49">
        <f>IFERROR(__xludf.DUMMYFUNCTION("""COMPUTED_VALUE"""),547.0)</f>
        <v>547</v>
      </c>
      <c r="S16" s="53">
        <v>44111.0</v>
      </c>
    </row>
    <row r="17">
      <c r="A17" s="43">
        <v>2.0</v>
      </c>
      <c r="B17" s="43">
        <v>7.0</v>
      </c>
      <c r="C17" s="111">
        <v>-27.6781862692667</v>
      </c>
      <c r="D17" s="111">
        <v>153.056611961184</v>
      </c>
      <c r="E17" s="43" t="s">
        <v>98</v>
      </c>
      <c r="F17" s="44" t="s">
        <v>114</v>
      </c>
      <c r="G17" s="45" t="s">
        <v>1066</v>
      </c>
      <c r="H17" s="44"/>
      <c r="I17" s="11" t="b">
        <v>1</v>
      </c>
      <c r="J17" s="47" t="str">
        <f t="shared" si="1"/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IFERROR(__xludf.DUMMYFUNCTION("""COMPUTED_VALUE"""),"J1Huisman")</f>
        <v>J1Huisman</v>
      </c>
      <c r="R17" s="49">
        <f>IFERROR(__xludf.DUMMYFUNCTION("""COMPUTED_VALUE"""),11140.0)</f>
        <v>11140</v>
      </c>
    </row>
    <row r="18">
      <c r="A18" s="43">
        <v>3.0</v>
      </c>
      <c r="B18" s="43">
        <v>1.0</v>
      </c>
      <c r="C18" s="111">
        <v>-27.6783300002795</v>
      </c>
      <c r="D18" s="111">
        <v>153.055638150834</v>
      </c>
      <c r="E18" s="43" t="s">
        <v>98</v>
      </c>
      <c r="F18" s="44" t="s">
        <v>169</v>
      </c>
      <c r="G18" s="45" t="s">
        <v>1067</v>
      </c>
      <c r="H18" s="44"/>
      <c r="I18" s="11" t="b">
        <v>1</v>
      </c>
      <c r="J18" s="47" t="str">
        <f t="shared" si="1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IFERROR(__xludf.DUMMYFUNCTION("""COMPUTED_VALUE"""),"Pinkeltje")</f>
        <v>Pinkeltje</v>
      </c>
      <c r="R18" s="49">
        <f>IFERROR(__xludf.DUMMYFUNCTION("""COMPUTED_VALUE"""),982.0)</f>
        <v>982</v>
      </c>
    </row>
    <row r="19">
      <c r="A19" s="43">
        <v>3.0</v>
      </c>
      <c r="B19" s="43">
        <v>2.0</v>
      </c>
      <c r="C19" s="111">
        <v>-27.6783300001849</v>
      </c>
      <c r="D19" s="111">
        <v>153.055800453698</v>
      </c>
      <c r="E19" s="43" t="s">
        <v>98</v>
      </c>
      <c r="F19" s="44" t="s">
        <v>885</v>
      </c>
      <c r="G19" s="45" t="s">
        <v>1068</v>
      </c>
      <c r="H19" s="46"/>
      <c r="I19" s="11" t="b">
        <v>1</v>
      </c>
      <c r="J19" s="47" t="str">
        <f t="shared" si="1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IFERROR(__xludf.DUMMYFUNCTION("""COMPUTED_VALUE"""),"JackSparrow")</f>
        <v>JackSparrow</v>
      </c>
      <c r="R19" s="49">
        <f>IFERROR(__xludf.DUMMYFUNCTION("""COMPUTED_VALUE"""),19460.0)</f>
        <v>19460</v>
      </c>
    </row>
    <row r="20">
      <c r="A20" s="43">
        <v>3.0</v>
      </c>
      <c r="B20" s="43">
        <v>3.0</v>
      </c>
      <c r="C20" s="111">
        <v>-27.6783300000904</v>
      </c>
      <c r="D20" s="111">
        <v>153.055962756562</v>
      </c>
      <c r="E20" s="43" t="s">
        <v>98</v>
      </c>
      <c r="F20" s="44" t="s">
        <v>116</v>
      </c>
      <c r="G20" s="45" t="s">
        <v>1069</v>
      </c>
      <c r="H20" s="46"/>
      <c r="I20" s="11" t="b">
        <v>1</v>
      </c>
      <c r="J20" s="47" t="str">
        <f t="shared" si="1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IFERROR(__xludf.DUMMYFUNCTION("""COMPUTED_VALUE"""),"fsafranek")</f>
        <v>fsafranek</v>
      </c>
      <c r="R20" s="49">
        <f>IFERROR(__xludf.DUMMYFUNCTION("""COMPUTED_VALUE"""),4191.0)</f>
        <v>4191</v>
      </c>
    </row>
    <row r="21">
      <c r="A21" s="43">
        <v>3.0</v>
      </c>
      <c r="B21" s="43">
        <v>4.0</v>
      </c>
      <c r="C21" s="111">
        <v>-27.6783299999958</v>
      </c>
      <c r="D21" s="111">
        <v>153.056125059426</v>
      </c>
      <c r="E21" s="43" t="s">
        <v>98</v>
      </c>
      <c r="F21" s="44" t="s">
        <v>138</v>
      </c>
      <c r="G21" s="45" t="s">
        <v>1070</v>
      </c>
      <c r="H21" s="46"/>
      <c r="I21" s="11" t="b">
        <v>1</v>
      </c>
      <c r="J21" s="47" t="str">
        <f t="shared" si="1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IFERROR(__xludf.DUMMYFUNCTION("""COMPUTED_VALUE"""),"Anetzet")</f>
        <v>Anetzet</v>
      </c>
      <c r="R21" s="49">
        <f>IFERROR(__xludf.DUMMYFUNCTION("""COMPUTED_VALUE"""),2663.0)</f>
        <v>2663</v>
      </c>
    </row>
    <row r="22">
      <c r="A22" s="43">
        <v>3.0</v>
      </c>
      <c r="B22" s="43">
        <v>5.0</v>
      </c>
      <c r="C22" s="111">
        <v>-27.6783299999013</v>
      </c>
      <c r="D22" s="111">
        <v>153.05628736229</v>
      </c>
      <c r="E22" s="43" t="s">
        <v>98</v>
      </c>
      <c r="F22" s="44" t="s">
        <v>926</v>
      </c>
      <c r="G22" s="45" t="s">
        <v>1071</v>
      </c>
      <c r="H22" s="46"/>
      <c r="I22" s="11" t="b">
        <v>1</v>
      </c>
      <c r="J22" s="47" t="str">
        <f t="shared" si="1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IFERROR(__xludf.DUMMYFUNCTION("""COMPUTED_VALUE"""),"Lanyasummer")</f>
        <v>Lanyasummer</v>
      </c>
      <c r="R22" s="49">
        <f>IFERROR(__xludf.DUMMYFUNCTION("""COMPUTED_VALUE"""),4065.0)</f>
        <v>4065</v>
      </c>
    </row>
    <row r="23">
      <c r="A23" s="43">
        <v>3.0</v>
      </c>
      <c r="B23" s="43">
        <v>6.0</v>
      </c>
      <c r="C23" s="111">
        <v>-27.6783299998067</v>
      </c>
      <c r="D23" s="111">
        <v>153.056449665155</v>
      </c>
      <c r="E23" s="43" t="s">
        <v>98</v>
      </c>
      <c r="F23" s="44" t="s">
        <v>950</v>
      </c>
      <c r="G23" s="45" t="s">
        <v>1072</v>
      </c>
      <c r="H23" s="114"/>
      <c r="I23" s="11" t="b">
        <v>1</v>
      </c>
      <c r="J23" s="47" t="str">
        <f t="shared" si="1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IFERROR(__xludf.DUMMYFUNCTION("""COMPUTED_VALUE"""),"babyw")</f>
        <v>babyw</v>
      </c>
      <c r="R23" s="49">
        <f>IFERROR(__xludf.DUMMYFUNCTION("""COMPUTED_VALUE"""),3054.0)</f>
        <v>3054</v>
      </c>
      <c r="S23" s="53">
        <v>44142.0</v>
      </c>
    </row>
    <row r="24">
      <c r="A24" s="43">
        <v>3.0</v>
      </c>
      <c r="B24" s="43">
        <v>7.0</v>
      </c>
      <c r="C24" s="111">
        <v>-27.6783299997121</v>
      </c>
      <c r="D24" s="111">
        <v>153.056611968019</v>
      </c>
      <c r="E24" s="43" t="s">
        <v>98</v>
      </c>
      <c r="F24" s="44" t="s">
        <v>920</v>
      </c>
      <c r="G24" s="45" t="s">
        <v>1073</v>
      </c>
      <c r="H24" s="46"/>
      <c r="I24" s="11" t="b">
        <v>1</v>
      </c>
      <c r="J24" s="47" t="str">
        <f t="shared" si="1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IFERROR(__xludf.DUMMYFUNCTION("""COMPUTED_VALUE"""),"FromTheTardis")</f>
        <v>FromTheTardis</v>
      </c>
      <c r="R24" s="49">
        <f>IFERROR(__xludf.DUMMYFUNCTION("""COMPUTED_VALUE"""),1354.0)</f>
        <v>1354</v>
      </c>
    </row>
    <row r="25">
      <c r="A25" s="43">
        <v>3.0</v>
      </c>
      <c r="B25" s="43">
        <v>8.0</v>
      </c>
      <c r="C25" s="111">
        <v>-27.6783299996176</v>
      </c>
      <c r="D25" s="111">
        <v>153.056774270883</v>
      </c>
      <c r="E25" s="43" t="s">
        <v>98</v>
      </c>
      <c r="F25" s="44" t="s">
        <v>933</v>
      </c>
      <c r="G25" s="45" t="s">
        <v>1074</v>
      </c>
      <c r="H25" s="46"/>
      <c r="I25" s="11" t="b">
        <v>1</v>
      </c>
      <c r="J25" s="47" t="str">
        <f t="shared" si="1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IFERROR(__xludf.DUMMYFUNCTION("""COMPUTED_VALUE"""),"Bambinacattiva")</f>
        <v>Bambinacattiva</v>
      </c>
      <c r="R25" s="49">
        <f>IFERROR(__xludf.DUMMYFUNCTION("""COMPUTED_VALUE"""),650.0)</f>
        <v>650</v>
      </c>
    </row>
    <row r="26">
      <c r="A26" s="43">
        <v>4.0</v>
      </c>
      <c r="B26" s="43">
        <v>1.0</v>
      </c>
      <c r="C26" s="111">
        <v>-27.678473730725</v>
      </c>
      <c r="D26" s="111">
        <v>153.055638156388</v>
      </c>
      <c r="E26" s="43" t="s">
        <v>98</v>
      </c>
      <c r="F26" s="44" t="s">
        <v>178</v>
      </c>
      <c r="G26" s="45" t="s">
        <v>1075</v>
      </c>
      <c r="H26" s="46"/>
      <c r="I26" s="11" t="b">
        <v>1</v>
      </c>
      <c r="J26" s="47" t="str">
        <f t="shared" si="1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IFERROR(__xludf.DUMMYFUNCTION("""COMPUTED_VALUE"""),"lison55")</f>
        <v>lison55</v>
      </c>
      <c r="R26" s="49">
        <f>IFERROR(__xludf.DUMMYFUNCTION("""COMPUTED_VALUE"""),5269.0)</f>
        <v>5269</v>
      </c>
    </row>
    <row r="27">
      <c r="A27" s="43">
        <v>4.0</v>
      </c>
      <c r="B27" s="43">
        <v>2.0</v>
      </c>
      <c r="C27" s="111">
        <v>-27.6784737306304</v>
      </c>
      <c r="D27" s="111">
        <v>153.055800459465</v>
      </c>
      <c r="E27" s="43" t="s">
        <v>103</v>
      </c>
      <c r="F27" s="44" t="s">
        <v>629</v>
      </c>
      <c r="G27" s="52" t="s">
        <v>1076</v>
      </c>
      <c r="H27" s="120"/>
      <c r="I27" s="11" t="b">
        <v>1</v>
      </c>
      <c r="J27" s="47" t="str">
        <f t="shared" si="1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IFERROR(__xludf.DUMMYFUNCTION("""COMPUTED_VALUE"""),"IggiePiggie")</f>
        <v>IggiePiggie</v>
      </c>
      <c r="R27" s="49">
        <f>IFERROR(__xludf.DUMMYFUNCTION("""COMPUTED_VALUE"""),1789.0)</f>
        <v>1789</v>
      </c>
    </row>
    <row r="28">
      <c r="A28" s="43">
        <v>4.0</v>
      </c>
      <c r="B28" s="43">
        <v>3.0</v>
      </c>
      <c r="C28" s="111">
        <v>-27.6784737305359</v>
      </c>
      <c r="D28" s="111">
        <v>153.055962762543</v>
      </c>
      <c r="E28" s="43" t="s">
        <v>98</v>
      </c>
      <c r="F28" s="44" t="s">
        <v>933</v>
      </c>
      <c r="G28" s="45" t="s">
        <v>1077</v>
      </c>
      <c r="H28" s="46"/>
      <c r="I28" s="11" t="b">
        <v>1</v>
      </c>
      <c r="J28" s="47" t="str">
        <f t="shared" si="1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IFERROR(__xludf.DUMMYFUNCTION("""COMPUTED_VALUE"""),"Bambinacattiva")</f>
        <v>Bambinacattiva</v>
      </c>
      <c r="R28" s="49">
        <f>IFERROR(__xludf.DUMMYFUNCTION("""COMPUTED_VALUE"""),656.0)</f>
        <v>656</v>
      </c>
    </row>
    <row r="29">
      <c r="A29" s="43">
        <v>4.0</v>
      </c>
      <c r="B29" s="43">
        <v>4.0</v>
      </c>
      <c r="C29" s="111">
        <v>-27.6784737304413</v>
      </c>
      <c r="D29" s="111">
        <v>153.056125065621</v>
      </c>
      <c r="E29" s="43" t="s">
        <v>98</v>
      </c>
      <c r="F29" s="44" t="s">
        <v>918</v>
      </c>
      <c r="G29" s="45" t="s">
        <v>1078</v>
      </c>
      <c r="H29" s="46"/>
      <c r="I29" s="11" t="b">
        <v>1</v>
      </c>
      <c r="J29" s="47" t="str">
        <f t="shared" si="1"/>
        <v/>
      </c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IFERROR(__xludf.DUMMYFUNCTION("""COMPUTED_VALUE"""),"5Star")</f>
        <v>5Star</v>
      </c>
      <c r="R29" s="49">
        <f>IFERROR(__xludf.DUMMYFUNCTION("""COMPUTED_VALUE"""),5583.0)</f>
        <v>5583</v>
      </c>
      <c r="S29" s="11"/>
    </row>
    <row r="30">
      <c r="A30" s="43">
        <v>4.0</v>
      </c>
      <c r="B30" s="43">
        <v>5.0</v>
      </c>
      <c r="C30" s="111">
        <v>-27.6784737303467</v>
      </c>
      <c r="D30" s="111">
        <v>153.056287368699</v>
      </c>
      <c r="E30" s="43" t="s">
        <v>98</v>
      </c>
      <c r="F30" s="44" t="s">
        <v>157</v>
      </c>
      <c r="G30" s="45" t="s">
        <v>1079</v>
      </c>
      <c r="H30" s="46"/>
      <c r="I30" s="11" t="b">
        <v>1</v>
      </c>
      <c r="J30" s="47" t="str">
        <f t="shared" si="1"/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IFERROR(__xludf.DUMMYFUNCTION("""COMPUTED_VALUE"""),"barefootguru")</f>
        <v>barefootguru</v>
      </c>
      <c r="R30" s="49">
        <f>IFERROR(__xludf.DUMMYFUNCTION("""COMPUTED_VALUE"""),3114.0)</f>
        <v>3114</v>
      </c>
    </row>
    <row r="31">
      <c r="A31" s="43">
        <v>4.0</v>
      </c>
      <c r="B31" s="43">
        <v>6.0</v>
      </c>
      <c r="C31" s="111">
        <v>-27.6784737302522</v>
      </c>
      <c r="D31" s="111">
        <v>153.056449671777</v>
      </c>
      <c r="E31" s="43" t="s">
        <v>103</v>
      </c>
      <c r="F31" s="44" t="s">
        <v>940</v>
      </c>
      <c r="G31" s="45" t="s">
        <v>1080</v>
      </c>
      <c r="H31" s="46"/>
      <c r="I31" s="11" t="b">
        <v>1</v>
      </c>
      <c r="J31" s="47" t="str">
        <f t="shared" si="1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IFERROR(__xludf.DUMMYFUNCTION("""COMPUTED_VALUE"""),"WiseOldWizard")</f>
        <v>WiseOldWizard</v>
      </c>
      <c r="R31" s="49">
        <f>IFERROR(__xludf.DUMMYFUNCTION("""COMPUTED_VALUE"""),3961.0)</f>
        <v>3961</v>
      </c>
    </row>
    <row r="32">
      <c r="A32" s="43">
        <v>4.0</v>
      </c>
      <c r="B32" s="43">
        <v>7.0</v>
      </c>
      <c r="C32" s="111">
        <v>-27.6784737301576</v>
      </c>
      <c r="D32" s="111">
        <v>153.056611974854</v>
      </c>
      <c r="E32" s="43" t="s">
        <v>98</v>
      </c>
      <c r="F32" s="44" t="s">
        <v>190</v>
      </c>
      <c r="G32" s="52" t="s">
        <v>1081</v>
      </c>
      <c r="H32" s="120"/>
      <c r="I32" s="11" t="b">
        <v>1</v>
      </c>
      <c r="J32" s="47" t="str">
        <f t="shared" si="1"/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IFERROR(__xludf.DUMMYFUNCTION("""COMPUTED_VALUE"""),"GroteSufferd")</f>
        <v>GroteSufferd</v>
      </c>
      <c r="R32" s="49">
        <f>IFERROR(__xludf.DUMMYFUNCTION("""COMPUTED_VALUE"""),367.0)</f>
        <v>367</v>
      </c>
    </row>
    <row r="33">
      <c r="A33" s="43">
        <v>4.0</v>
      </c>
      <c r="B33" s="43">
        <v>8.0</v>
      </c>
      <c r="C33" s="111">
        <v>-27.6784737300631</v>
      </c>
      <c r="D33" s="111">
        <v>153.056774277932</v>
      </c>
      <c r="E33" s="43" t="s">
        <v>98</v>
      </c>
      <c r="F33" s="44" t="s">
        <v>120</v>
      </c>
      <c r="G33" s="65" t="s">
        <v>1082</v>
      </c>
      <c r="H33" s="46"/>
      <c r="I33" s="11" t="b">
        <v>1</v>
      </c>
      <c r="J33" s="47" t="str">
        <f t="shared" si="1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IFERROR(__xludf.DUMMYFUNCTION("""COMPUTED_VALUE"""),"xrayneex")</f>
        <v>xrayneex</v>
      </c>
      <c r="R33" s="49">
        <f>IFERROR(__xludf.DUMMYFUNCTION("""COMPUTED_VALUE"""),1412.0)</f>
        <v>1412</v>
      </c>
    </row>
    <row r="34">
      <c r="A34" s="43">
        <v>5.0</v>
      </c>
      <c r="B34" s="43">
        <v>1.0</v>
      </c>
      <c r="C34" s="111">
        <v>-27.6786174611704</v>
      </c>
      <c r="D34" s="111">
        <v>153.055638161939</v>
      </c>
      <c r="E34" s="43" t="s">
        <v>103</v>
      </c>
      <c r="F34" s="44" t="s">
        <v>243</v>
      </c>
      <c r="G34" s="45" t="s">
        <v>1083</v>
      </c>
      <c r="H34" s="46"/>
      <c r="I34" s="11" t="b">
        <v>1</v>
      </c>
      <c r="J34" s="47" t="str">
        <f t="shared" si="1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IFERROR(__xludf.DUMMYFUNCTION("""COMPUTED_VALUE"""),"Aniara")</f>
        <v>Aniara</v>
      </c>
      <c r="R34" s="49">
        <f>IFERROR(__xludf.DUMMYFUNCTION("""COMPUTED_VALUE"""),6583.0)</f>
        <v>6583</v>
      </c>
    </row>
    <row r="35">
      <c r="A35" s="43">
        <v>5.0</v>
      </c>
      <c r="B35" s="43">
        <v>2.0</v>
      </c>
      <c r="C35" s="111">
        <v>-27.6786174610759</v>
      </c>
      <c r="D35" s="111">
        <v>153.05580046523</v>
      </c>
      <c r="E35" s="43" t="s">
        <v>98</v>
      </c>
      <c r="F35" s="44" t="s">
        <v>1084</v>
      </c>
      <c r="G35" s="52" t="s">
        <v>1085</v>
      </c>
      <c r="H35" s="120"/>
      <c r="I35" s="11" t="b">
        <v>1</v>
      </c>
      <c r="J35" s="47" t="str">
        <f t="shared" si="1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IFERROR(__xludf.DUMMYFUNCTION("""COMPUTED_VALUE"""),2297.0)</f>
        <v>2297</v>
      </c>
    </row>
    <row r="36">
      <c r="A36" s="43">
        <v>5.0</v>
      </c>
      <c r="B36" s="43">
        <v>3.0</v>
      </c>
      <c r="C36" s="111">
        <v>-27.6786174609813</v>
      </c>
      <c r="D36" s="111">
        <v>153.055962768521</v>
      </c>
      <c r="E36" s="43" t="s">
        <v>103</v>
      </c>
      <c r="F36" s="44" t="s">
        <v>182</v>
      </c>
      <c r="G36" s="45" t="s">
        <v>1086</v>
      </c>
      <c r="H36" s="46"/>
      <c r="I36" s="11" t="b">
        <v>1</v>
      </c>
      <c r="J36" s="47" t="str">
        <f t="shared" si="1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IFERROR(__xludf.DUMMYFUNCTION("""COMPUTED_VALUE"""),"TheFatCats")</f>
        <v>TheFatCats</v>
      </c>
      <c r="R36" s="49">
        <f>IFERROR(__xludf.DUMMYFUNCTION("""COMPUTED_VALUE"""),3639.0)</f>
        <v>3639</v>
      </c>
    </row>
    <row r="37">
      <c r="A37" s="43">
        <v>5.0</v>
      </c>
      <c r="B37" s="43">
        <v>4.0</v>
      </c>
      <c r="C37" s="111">
        <v>-27.6786174608867</v>
      </c>
      <c r="D37" s="111">
        <v>153.056125071813</v>
      </c>
      <c r="E37" s="43" t="s">
        <v>98</v>
      </c>
      <c r="F37" s="44" t="s">
        <v>879</v>
      </c>
      <c r="G37" s="45" t="s">
        <v>1087</v>
      </c>
      <c r="H37" s="46"/>
      <c r="I37" s="11" t="b">
        <v>1</v>
      </c>
      <c r="J37" s="47" t="str">
        <f t="shared" si="1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IFERROR(__xludf.DUMMYFUNCTION("""COMPUTED_VALUE"""),"Franca")</f>
        <v>Franca</v>
      </c>
      <c r="R37" s="49">
        <f>IFERROR(__xludf.DUMMYFUNCTION("""COMPUTED_VALUE"""),583.0)</f>
        <v>583</v>
      </c>
    </row>
    <row r="38">
      <c r="A38" s="43">
        <v>5.0</v>
      </c>
      <c r="B38" s="43">
        <v>5.0</v>
      </c>
      <c r="C38" s="111">
        <v>-27.6786174607922</v>
      </c>
      <c r="D38" s="111">
        <v>153.056287375104</v>
      </c>
      <c r="E38" s="43" t="s">
        <v>98</v>
      </c>
      <c r="F38" s="44" t="s">
        <v>710</v>
      </c>
      <c r="G38" s="45" t="s">
        <v>1088</v>
      </c>
      <c r="H38" s="46"/>
      <c r="I38" s="11" t="b">
        <v>1</v>
      </c>
      <c r="J38" s="47" t="str">
        <f t="shared" si="1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IFERROR(__xludf.DUMMYFUNCTION("""COMPUTED_VALUE"""),"TeamSarton")</f>
        <v>TeamSarton</v>
      </c>
      <c r="R38" s="49">
        <f>IFERROR(__xludf.DUMMYFUNCTION("""COMPUTED_VALUE"""),935.0)</f>
        <v>935</v>
      </c>
    </row>
    <row r="39">
      <c r="A39" s="43">
        <v>5.0</v>
      </c>
      <c r="B39" s="43">
        <v>6.0</v>
      </c>
      <c r="C39" s="111">
        <v>-27.6786174606976</v>
      </c>
      <c r="D39" s="111">
        <v>153.056449678395</v>
      </c>
      <c r="E39" s="43" t="s">
        <v>98</v>
      </c>
      <c r="F39" s="44" t="s">
        <v>149</v>
      </c>
      <c r="G39" s="65" t="s">
        <v>1089</v>
      </c>
      <c r="H39" s="118">
        <v>44048.0</v>
      </c>
      <c r="I39" s="11" t="b">
        <v>1</v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IFERROR(__xludf.DUMMYFUNCTION("""COMPUTED_VALUE"""),"Bisquick2")</f>
        <v>Bisquick2</v>
      </c>
      <c r="R39" s="49">
        <f>IFERROR(__xludf.DUMMYFUNCTION("""COMPUTED_VALUE"""),4232.0)</f>
        <v>4232</v>
      </c>
    </row>
    <row r="40">
      <c r="A40" s="43">
        <v>5.0</v>
      </c>
      <c r="B40" s="43">
        <v>7.0</v>
      </c>
      <c r="C40" s="111">
        <v>-27.6786174606031</v>
      </c>
      <c r="D40" s="111">
        <v>153.056611981686</v>
      </c>
      <c r="E40" s="43" t="s">
        <v>98</v>
      </c>
      <c r="F40" s="121" t="s">
        <v>182</v>
      </c>
      <c r="G40" s="122" t="s">
        <v>1090</v>
      </c>
      <c r="H40" s="46"/>
      <c r="I40" s="11" t="b">
        <v>1</v>
      </c>
      <c r="J40" s="47" t="str">
        <f t="shared" ref="J40:J59" si="3">if(I40=true,"",S40)</f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IFERROR(__xludf.DUMMYFUNCTION("""COMPUTED_VALUE"""),"TheFatCats")</f>
        <v>TheFatCats</v>
      </c>
      <c r="R40" s="49">
        <f>IFERROR(__xludf.DUMMYFUNCTION("""COMPUTED_VALUE"""),3866.0)</f>
        <v>3866</v>
      </c>
    </row>
    <row r="41">
      <c r="A41" s="43">
        <v>5.0</v>
      </c>
      <c r="B41" s="43">
        <v>8.0</v>
      </c>
      <c r="C41" s="111">
        <v>-27.6786174605085</v>
      </c>
      <c r="D41" s="111">
        <v>153.056774284978</v>
      </c>
      <c r="E41" s="43" t="s">
        <v>98</v>
      </c>
      <c r="F41" s="44" t="s">
        <v>110</v>
      </c>
      <c r="G41" s="52" t="s">
        <v>1091</v>
      </c>
      <c r="H41" s="46"/>
      <c r="I41" s="11" t="b">
        <v>1</v>
      </c>
      <c r="J41" s="47" t="str">
        <f t="shared" si="3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IFERROR(__xludf.DUMMYFUNCTION("""COMPUTED_VALUE"""),"BrotherWilliam")</f>
        <v>BrotherWilliam</v>
      </c>
      <c r="R41" s="49">
        <f>IFERROR(__xludf.DUMMYFUNCTION("""COMPUTED_VALUE"""),4138.0)</f>
        <v>4138</v>
      </c>
    </row>
    <row r="42">
      <c r="A42" s="43">
        <v>6.0</v>
      </c>
      <c r="B42" s="43">
        <v>1.0</v>
      </c>
      <c r="C42" s="111">
        <v>-27.6787611916158</v>
      </c>
      <c r="D42" s="111">
        <v>153.055638167493</v>
      </c>
      <c r="E42" s="43" t="s">
        <v>98</v>
      </c>
      <c r="F42" s="44" t="s">
        <v>1092</v>
      </c>
      <c r="G42" s="45" t="s">
        <v>1093</v>
      </c>
      <c r="H42" s="46"/>
      <c r="I42" s="11" t="b">
        <v>1</v>
      </c>
      <c r="J42" s="47" t="str">
        <f t="shared" si="3"/>
        <v/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IFERROR(__xludf.DUMMYFUNCTION("""COMPUTED_VALUE"""),"belladivadee")</f>
        <v>belladivadee</v>
      </c>
      <c r="R42" s="49">
        <f>IFERROR(__xludf.DUMMYFUNCTION("""COMPUTED_VALUE"""),2976.0)</f>
        <v>2976</v>
      </c>
      <c r="S42" s="53">
        <v>44142.0</v>
      </c>
    </row>
    <row r="43">
      <c r="A43" s="43">
        <v>6.0</v>
      </c>
      <c r="B43" s="43">
        <v>2.0</v>
      </c>
      <c r="C43" s="111">
        <v>-27.6787611915212</v>
      </c>
      <c r="D43" s="111">
        <v>153.055800470998</v>
      </c>
      <c r="E43" s="43" t="s">
        <v>98</v>
      </c>
      <c r="F43" s="44" t="s">
        <v>1094</v>
      </c>
      <c r="G43" s="45" t="s">
        <v>1095</v>
      </c>
      <c r="H43" s="46"/>
      <c r="I43" s="11" t="b">
        <v>1</v>
      </c>
      <c r="J43" s="47" t="str">
        <f t="shared" si="3"/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IFERROR(__xludf.DUMMYFUNCTION("""COMPUTED_VALUE"""),"Questing4")</f>
        <v>Questing4</v>
      </c>
      <c r="R43" s="49">
        <f>IFERROR(__xludf.DUMMYFUNCTION("""COMPUTED_VALUE"""),7158.0)</f>
        <v>7158</v>
      </c>
    </row>
    <row r="44">
      <c r="A44" s="43">
        <v>6.0</v>
      </c>
      <c r="B44" s="43">
        <v>3.0</v>
      </c>
      <c r="C44" s="111">
        <v>-27.6787611914266</v>
      </c>
      <c r="D44" s="111">
        <v>153.055962774503</v>
      </c>
      <c r="E44" s="43" t="s">
        <v>103</v>
      </c>
      <c r="F44" s="44" t="s">
        <v>140</v>
      </c>
      <c r="G44" s="45" t="s">
        <v>1096</v>
      </c>
      <c r="H44" s="46"/>
      <c r="I44" s="11" t="b">
        <v>1</v>
      </c>
      <c r="J44" s="47" t="str">
        <f t="shared" si="3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IFERROR(__xludf.DUMMYFUNCTION("""COMPUTED_VALUE"""),"Fossillady")</f>
        <v>Fossillady</v>
      </c>
      <c r="R44" s="49">
        <f>IFERROR(__xludf.DUMMYFUNCTION("""COMPUTED_VALUE"""),3396.0)</f>
        <v>3396</v>
      </c>
    </row>
    <row r="45">
      <c r="A45" s="43">
        <v>6.0</v>
      </c>
      <c r="B45" s="43">
        <v>4.0</v>
      </c>
      <c r="C45" s="111">
        <v>-27.6787611913321</v>
      </c>
      <c r="D45" s="111">
        <v>153.056125078008</v>
      </c>
      <c r="E45" s="43" t="s">
        <v>98</v>
      </c>
      <c r="F45" s="44" t="s">
        <v>1097</v>
      </c>
      <c r="G45" s="52" t="s">
        <v>1098</v>
      </c>
      <c r="H45" s="46"/>
      <c r="I45" s="11" t="b">
        <v>1</v>
      </c>
      <c r="J45" s="47" t="str">
        <f t="shared" si="3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IFERROR(__xludf.DUMMYFUNCTION("""COMPUTED_VALUE"""),"amundadus")</f>
        <v>amundadus</v>
      </c>
      <c r="R45" s="49">
        <f>IFERROR(__xludf.DUMMYFUNCTION("""COMPUTED_VALUE"""),1378.0)</f>
        <v>1378</v>
      </c>
    </row>
    <row r="46">
      <c r="A46" s="43">
        <v>6.0</v>
      </c>
      <c r="B46" s="43">
        <v>5.0</v>
      </c>
      <c r="C46" s="111">
        <v>-27.6787611912375</v>
      </c>
      <c r="D46" s="111">
        <v>153.056287381512</v>
      </c>
      <c r="E46" s="43" t="s">
        <v>98</v>
      </c>
      <c r="F46" s="44" t="s">
        <v>110</v>
      </c>
      <c r="G46" s="52" t="s">
        <v>1099</v>
      </c>
      <c r="H46" s="46"/>
      <c r="I46" s="11" t="b">
        <v>1</v>
      </c>
      <c r="J46" s="47" t="str">
        <f t="shared" si="3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IFERROR(__xludf.DUMMYFUNCTION("""COMPUTED_VALUE"""),"BrotherWilliam")</f>
        <v>BrotherWilliam</v>
      </c>
      <c r="R46" s="49">
        <f>IFERROR(__xludf.DUMMYFUNCTION("""COMPUTED_VALUE"""),4143.0)</f>
        <v>4143</v>
      </c>
    </row>
    <row r="47">
      <c r="A47" s="43">
        <v>6.0</v>
      </c>
      <c r="B47" s="43">
        <v>6.0</v>
      </c>
      <c r="C47" s="111">
        <v>-27.6787611911429</v>
      </c>
      <c r="D47" s="111">
        <v>153.056449685017</v>
      </c>
      <c r="E47" s="43" t="s">
        <v>103</v>
      </c>
      <c r="F47" s="44" t="s">
        <v>138</v>
      </c>
      <c r="G47" s="45" t="s">
        <v>1100</v>
      </c>
      <c r="H47" s="46"/>
      <c r="I47" s="11" t="b">
        <v>1</v>
      </c>
      <c r="J47" s="47" t="str">
        <f t="shared" si="3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IFERROR(__xludf.DUMMYFUNCTION("""COMPUTED_VALUE"""),"Anetzet")</f>
        <v>Anetzet</v>
      </c>
      <c r="R47" s="49">
        <f>IFERROR(__xludf.DUMMYFUNCTION("""COMPUTED_VALUE"""),2636.0)</f>
        <v>2636</v>
      </c>
    </row>
    <row r="48">
      <c r="A48" s="43">
        <v>6.0</v>
      </c>
      <c r="B48" s="43">
        <v>7.0</v>
      </c>
      <c r="C48" s="111">
        <v>-27.6787611910484</v>
      </c>
      <c r="D48" s="111">
        <v>153.056611988522</v>
      </c>
      <c r="E48" s="43" t="s">
        <v>98</v>
      </c>
      <c r="F48" s="44" t="s">
        <v>145</v>
      </c>
      <c r="G48" s="52" t="s">
        <v>1101</v>
      </c>
      <c r="H48" s="120"/>
      <c r="I48" s="11" t="b">
        <v>1</v>
      </c>
      <c r="J48" s="47" t="str">
        <f t="shared" si="3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IFERROR(__xludf.DUMMYFUNCTION("""COMPUTED_VALUE"""),4146.0)</f>
        <v>4146</v>
      </c>
    </row>
    <row r="49">
      <c r="A49" s="43">
        <v>6.0</v>
      </c>
      <c r="B49" s="43">
        <v>8.0</v>
      </c>
      <c r="C49" s="111">
        <v>-27.6787611909538</v>
      </c>
      <c r="D49" s="111">
        <v>153.056774292027</v>
      </c>
      <c r="E49" s="43" t="s">
        <v>98</v>
      </c>
      <c r="F49" s="44" t="s">
        <v>147</v>
      </c>
      <c r="G49" s="52" t="s">
        <v>1102</v>
      </c>
      <c r="H49" s="56"/>
      <c r="I49" s="11" t="b">
        <v>1</v>
      </c>
      <c r="J49" s="47" t="str">
        <f t="shared" si="3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IFERROR(__xludf.DUMMYFUNCTION("""COMPUTED_VALUE"""),6653.0)</f>
        <v>6653</v>
      </c>
    </row>
    <row r="50">
      <c r="A50" s="43">
        <v>7.0</v>
      </c>
      <c r="B50" s="43">
        <v>2.0</v>
      </c>
      <c r="C50" s="111">
        <v>-27.6789049219667</v>
      </c>
      <c r="D50" s="111">
        <v>153.055800476763</v>
      </c>
      <c r="E50" s="43" t="s">
        <v>103</v>
      </c>
      <c r="F50" s="44" t="s">
        <v>134</v>
      </c>
      <c r="G50" s="52" t="s">
        <v>1103</v>
      </c>
      <c r="H50" s="46"/>
      <c r="I50" s="11" t="b">
        <v>1</v>
      </c>
      <c r="J50" s="47" t="str">
        <f t="shared" si="3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IFERROR(__xludf.DUMMYFUNCTION("""COMPUTED_VALUE"""),"Wangotango")</f>
        <v>Wangotango</v>
      </c>
      <c r="R50" s="49">
        <f>IFERROR(__xludf.DUMMYFUNCTION("""COMPUTED_VALUE"""),1231.0)</f>
        <v>1231</v>
      </c>
    </row>
    <row r="51">
      <c r="A51" s="43">
        <v>7.0</v>
      </c>
      <c r="B51" s="43">
        <v>3.0</v>
      </c>
      <c r="C51" s="111">
        <v>-27.6789049218721</v>
      </c>
      <c r="D51" s="111">
        <v>153.055962780481</v>
      </c>
      <c r="E51" s="43" t="s">
        <v>98</v>
      </c>
      <c r="F51" s="44" t="s">
        <v>217</v>
      </c>
      <c r="G51" s="54" t="s">
        <v>1104</v>
      </c>
      <c r="H51" s="46"/>
      <c r="I51" s="11" t="b">
        <v>1</v>
      </c>
      <c r="J51" s="47" t="str">
        <f t="shared" si="3"/>
        <v/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IFERROR(__xludf.DUMMYFUNCTION("""COMPUTED_VALUE"""),"EmileP68")</f>
        <v>EmileP68</v>
      </c>
      <c r="R51" s="49">
        <f>IFERROR(__xludf.DUMMYFUNCTION("""COMPUTED_VALUE"""),3371.0)</f>
        <v>3371</v>
      </c>
      <c r="S51" s="123">
        <v>44160.66489703704</v>
      </c>
    </row>
    <row r="52">
      <c r="A52" s="43">
        <v>7.0</v>
      </c>
      <c r="B52" s="43">
        <v>4.0</v>
      </c>
      <c r="C52" s="111">
        <v>-27.6789049217775</v>
      </c>
      <c r="D52" s="111">
        <v>153.056125084199</v>
      </c>
      <c r="E52" s="43" t="s">
        <v>98</v>
      </c>
      <c r="F52" s="44" t="s">
        <v>870</v>
      </c>
      <c r="G52" s="45" t="s">
        <v>1105</v>
      </c>
      <c r="H52" s="46"/>
      <c r="I52" s="11" t="b">
        <v>1</v>
      </c>
      <c r="J52" s="47" t="str">
        <f t="shared" si="3"/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IFERROR(__xludf.DUMMYFUNCTION("""COMPUTED_VALUE"""),"amadoreugen")</f>
        <v>amadoreugen</v>
      </c>
      <c r="R52" s="49">
        <f>IFERROR(__xludf.DUMMYFUNCTION("""COMPUTED_VALUE"""),5811.0)</f>
        <v>5811</v>
      </c>
    </row>
    <row r="53">
      <c r="A53" s="43">
        <v>7.0</v>
      </c>
      <c r="B53" s="43">
        <v>5.0</v>
      </c>
      <c r="C53" s="111">
        <v>-27.678904921683</v>
      </c>
      <c r="D53" s="111">
        <v>153.056287387918</v>
      </c>
      <c r="E53" s="43" t="s">
        <v>98</v>
      </c>
      <c r="F53" s="44" t="s">
        <v>80</v>
      </c>
      <c r="G53" s="45" t="s">
        <v>1106</v>
      </c>
      <c r="H53" s="46"/>
      <c r="I53" s="11" t="b">
        <v>1</v>
      </c>
      <c r="J53" s="47" t="str">
        <f t="shared" si="3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IFERROR(__xludf.DUMMYFUNCTION("""COMPUTED_VALUE"""),"Derlame")</f>
        <v>Derlame</v>
      </c>
      <c r="R53" s="49">
        <f>IFERROR(__xludf.DUMMYFUNCTION("""COMPUTED_VALUE"""),13403.0)</f>
        <v>13403</v>
      </c>
    </row>
    <row r="54">
      <c r="A54" s="43">
        <v>7.0</v>
      </c>
      <c r="B54" s="43">
        <v>6.0</v>
      </c>
      <c r="C54" s="111">
        <v>-27.6789049215884</v>
      </c>
      <c r="D54" s="111">
        <v>153.056449691636</v>
      </c>
      <c r="E54" s="43" t="s">
        <v>98</v>
      </c>
      <c r="F54" s="44" t="s">
        <v>101</v>
      </c>
      <c r="G54" s="45" t="s">
        <v>1107</v>
      </c>
      <c r="H54" s="118">
        <v>44046.0</v>
      </c>
      <c r="I54" s="11" t="b">
        <v>1</v>
      </c>
      <c r="J54" s="47" t="str">
        <f t="shared" si="3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IFERROR(__xludf.DUMMYFUNCTION("""COMPUTED_VALUE"""),"sverlaan")</f>
        <v>sverlaan</v>
      </c>
      <c r="R54" s="49">
        <f>IFERROR(__xludf.DUMMYFUNCTION("""COMPUTED_VALUE"""),4100.0)</f>
        <v>4100</v>
      </c>
      <c r="S54" s="123">
        <v>44043.55656483796</v>
      </c>
    </row>
    <row r="55">
      <c r="A55" s="43">
        <v>7.0</v>
      </c>
      <c r="B55" s="43">
        <v>7.0</v>
      </c>
      <c r="C55" s="111">
        <v>-27.6789049214938</v>
      </c>
      <c r="D55" s="111">
        <v>153.056611995355</v>
      </c>
      <c r="E55" s="43" t="s">
        <v>98</v>
      </c>
      <c r="F55" s="44" t="s">
        <v>766</v>
      </c>
      <c r="G55" s="45" t="s">
        <v>1108</v>
      </c>
      <c r="H55" s="46"/>
      <c r="I55" s="11" t="b">
        <v>1</v>
      </c>
      <c r="J55" s="47" t="str">
        <f t="shared" si="3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IFERROR(__xludf.DUMMYFUNCTION("""COMPUTED_VALUE"""),"BartWullems")</f>
        <v>BartWullems</v>
      </c>
      <c r="R55" s="49">
        <f>IFERROR(__xludf.DUMMYFUNCTION("""COMPUTED_VALUE"""),5613.0)</f>
        <v>5613</v>
      </c>
    </row>
    <row r="56">
      <c r="A56" s="43">
        <v>8.0</v>
      </c>
      <c r="B56" s="43">
        <v>3.0</v>
      </c>
      <c r="C56" s="111">
        <v>-27.6790486523176</v>
      </c>
      <c r="D56" s="111">
        <v>153.055962786462</v>
      </c>
      <c r="E56" s="43" t="s">
        <v>98</v>
      </c>
      <c r="F56" s="44" t="s">
        <v>1109</v>
      </c>
      <c r="G56" s="45" t="s">
        <v>1110</v>
      </c>
      <c r="H56" s="44"/>
      <c r="I56" s="11" t="b">
        <v>1</v>
      </c>
      <c r="J56" s="47" t="str">
        <f t="shared" si="3"/>
        <v/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IFERROR(__xludf.DUMMYFUNCTION("""COMPUTED_VALUE"""),"ladyanneraven")</f>
        <v>ladyanneraven</v>
      </c>
      <c r="R56" s="49">
        <f>IFERROR(__xludf.DUMMYFUNCTION("""COMPUTED_VALUE"""),199.0)</f>
        <v>199</v>
      </c>
    </row>
    <row r="57">
      <c r="A57" s="43">
        <v>8.0</v>
      </c>
      <c r="B57" s="43">
        <v>4.0</v>
      </c>
      <c r="C57" s="111">
        <v>-27.679048652223</v>
      </c>
      <c r="D57" s="111">
        <v>153.056125090394</v>
      </c>
      <c r="E57" s="43" t="s">
        <v>103</v>
      </c>
      <c r="F57" s="44" t="s">
        <v>182</v>
      </c>
      <c r="G57" s="52" t="s">
        <v>1111</v>
      </c>
      <c r="H57" s="46"/>
      <c r="I57" s="11" t="b">
        <v>1</v>
      </c>
      <c r="J57" s="47" t="str">
        <f t="shared" si="3"/>
        <v/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IFERROR(__xludf.DUMMYFUNCTION("""COMPUTED_VALUE"""),"TheFatCats")</f>
        <v>TheFatCats</v>
      </c>
      <c r="R57" s="49">
        <f>IFERROR(__xludf.DUMMYFUNCTION("""COMPUTED_VALUE"""),3643.0)</f>
        <v>3643</v>
      </c>
    </row>
    <row r="58">
      <c r="A58" s="43">
        <v>8.0</v>
      </c>
      <c r="B58" s="43">
        <v>5.0</v>
      </c>
      <c r="C58" s="111">
        <v>-27.6790486521284</v>
      </c>
      <c r="D58" s="111">
        <v>153.056287394326</v>
      </c>
      <c r="E58" s="43" t="s">
        <v>103</v>
      </c>
      <c r="F58" s="44" t="s">
        <v>141</v>
      </c>
      <c r="G58" s="45" t="s">
        <v>1112</v>
      </c>
      <c r="H58" s="46"/>
      <c r="I58" s="11" t="b">
        <v>1</v>
      </c>
      <c r="J58" s="47" t="str">
        <f t="shared" si="3"/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IFERROR(__xludf.DUMMYFUNCTION("""COMPUTED_VALUE"""),"cbf600")</f>
        <v>cbf600</v>
      </c>
      <c r="R58" s="49">
        <f>IFERROR(__xludf.DUMMYFUNCTION("""COMPUTED_VALUE"""),2304.0)</f>
        <v>2304</v>
      </c>
    </row>
    <row r="59">
      <c r="A59" s="43">
        <v>8.0</v>
      </c>
      <c r="B59" s="43">
        <v>6.0</v>
      </c>
      <c r="C59" s="111">
        <v>-27.6790486520339</v>
      </c>
      <c r="D59" s="111">
        <v>153.056449698258</v>
      </c>
      <c r="E59" s="43" t="s">
        <v>98</v>
      </c>
      <c r="F59" s="44" t="s">
        <v>1113</v>
      </c>
      <c r="G59" s="54" t="s">
        <v>1114</v>
      </c>
      <c r="H59" s="46"/>
      <c r="I59" s="11" t="b">
        <v>1</v>
      </c>
      <c r="J59" s="47" t="str">
        <f t="shared" si="3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IFERROR(__xludf.DUMMYFUNCTION("""COMPUTED_VALUE"""),"OdinsFiRe")</f>
        <v>OdinsFiRe</v>
      </c>
      <c r="R59" s="49">
        <f>IFERROR(__xludf.DUMMYFUNCTION("""COMPUTED_VALUE"""),1534.0)</f>
        <v>1534</v>
      </c>
    </row>
    <row r="60">
      <c r="C60" s="116"/>
      <c r="D60" s="116"/>
    </row>
    <row r="61" hidden="1">
      <c r="C61" s="116"/>
      <c r="D61" s="116"/>
      <c r="F61" s="47">
        <f t="shared" ref="F61:G61" si="4">COUNTIF(F8:F59,"")</f>
        <v>0</v>
      </c>
      <c r="G61" s="47">
        <f t="shared" si="4"/>
        <v>0</v>
      </c>
      <c r="I61" s="47">
        <f>COUNTIF(I8:I59,TRUE)</f>
        <v>52</v>
      </c>
    </row>
    <row r="62" hidden="1">
      <c r="C62" s="116"/>
      <c r="D62" s="116"/>
    </row>
    <row r="63">
      <c r="C63" s="116"/>
      <c r="D63" s="116"/>
    </row>
    <row r="64">
      <c r="C64" s="116"/>
      <c r="D64" s="116"/>
    </row>
    <row r="65">
      <c r="C65" s="116"/>
      <c r="D65" s="116"/>
    </row>
    <row r="66" ht="41.25" customHeight="1">
      <c r="C66" s="116"/>
      <c r="D66" s="116"/>
    </row>
    <row r="67">
      <c r="C67" s="116"/>
      <c r="D67" s="116"/>
    </row>
    <row r="68">
      <c r="C68" s="116"/>
      <c r="D68" s="116"/>
    </row>
    <row r="69">
      <c r="C69" s="116"/>
      <c r="D69" s="116"/>
    </row>
    <row r="70">
      <c r="C70" s="116"/>
      <c r="D70" s="116"/>
    </row>
    <row r="71">
      <c r="C71" s="116"/>
      <c r="D71" s="116"/>
    </row>
    <row r="72">
      <c r="C72" s="116"/>
      <c r="D72" s="116"/>
    </row>
    <row r="73">
      <c r="C73" s="116"/>
      <c r="D73" s="116"/>
    </row>
    <row r="74">
      <c r="C74" s="116"/>
      <c r="D74" s="116"/>
    </row>
    <row r="75">
      <c r="C75" s="116"/>
      <c r="D75" s="116"/>
    </row>
    <row r="76">
      <c r="C76" s="116"/>
      <c r="D76" s="116"/>
    </row>
    <row r="77">
      <c r="C77" s="116"/>
      <c r="D77" s="116"/>
    </row>
    <row r="78">
      <c r="C78" s="116"/>
      <c r="D78" s="116"/>
    </row>
    <row r="79">
      <c r="C79" s="116"/>
      <c r="D79" s="116"/>
    </row>
    <row r="80">
      <c r="C80" s="116"/>
      <c r="D80" s="116"/>
    </row>
    <row r="81">
      <c r="C81" s="116"/>
      <c r="D81" s="116"/>
    </row>
    <row r="82">
      <c r="C82" s="116"/>
      <c r="D82" s="116"/>
    </row>
    <row r="83">
      <c r="C83" s="116"/>
      <c r="D83" s="116"/>
    </row>
    <row r="84">
      <c r="C84" s="116"/>
      <c r="D84" s="116"/>
    </row>
    <row r="85" ht="54.0" customHeight="1">
      <c r="C85" s="116"/>
      <c r="D85" s="116"/>
    </row>
    <row r="86">
      <c r="C86" s="116"/>
      <c r="D86" s="116"/>
    </row>
    <row r="87">
      <c r="C87" s="116"/>
      <c r="D87" s="116"/>
    </row>
    <row r="88">
      <c r="C88" s="116"/>
      <c r="D88" s="116"/>
    </row>
    <row r="89">
      <c r="C89" s="116"/>
      <c r="D89" s="116"/>
    </row>
    <row r="90">
      <c r="C90" s="116"/>
      <c r="D90" s="116"/>
    </row>
    <row r="91">
      <c r="C91" s="116"/>
      <c r="D91" s="116"/>
    </row>
    <row r="92">
      <c r="C92" s="116"/>
      <c r="D92" s="116"/>
    </row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2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38"/>
    <col customWidth="1" min="2" max="2" width="8.0"/>
    <col customWidth="1" min="4" max="4" width="13.5"/>
    <col customWidth="1" min="5" max="5" width="17.38"/>
    <col customWidth="1" min="6" max="6" width="16.63"/>
    <col customWidth="1" min="7" max="7" width="43.0"/>
    <col customWidth="1" min="8" max="8" width="16.0"/>
    <col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17</v>
      </c>
      <c r="D1" s="37" t="s">
        <v>48</v>
      </c>
      <c r="E1" s="2" t="s">
        <v>79</v>
      </c>
      <c r="F1" s="24" t="s">
        <v>157</v>
      </c>
      <c r="G1" s="124" t="s">
        <v>1115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125" t="s">
        <v>1116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126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126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127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12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50.8113386775153</v>
      </c>
      <c r="D8" s="43">
        <v>12.9543239575616</v>
      </c>
      <c r="E8" s="43" t="s">
        <v>98</v>
      </c>
      <c r="F8" s="44" t="s">
        <v>319</v>
      </c>
      <c r="G8" s="52" t="s">
        <v>1117</v>
      </c>
      <c r="H8" s="46"/>
      <c r="I8" s="11" t="b">
        <v>1</v>
      </c>
      <c r="J8" s="47" t="str">
        <f t="shared" ref="J8:J16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IFERROR(__xludf.DUMMYFUNCTION("split(G8,""/"")"),"http:")</f>
        <v>http: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IFERROR(__xludf.DUMMYFUNCTION("""COMPUTED_VALUE"""),3039.0)</f>
        <v>3039</v>
      </c>
      <c r="S8" s="51">
        <v>44057.42033954861</v>
      </c>
    </row>
    <row r="9">
      <c r="A9" s="43">
        <v>1.0</v>
      </c>
      <c r="B9" s="43">
        <v>4.0</v>
      </c>
      <c r="C9" s="43">
        <v>50.8113386772942</v>
      </c>
      <c r="D9" s="43">
        <v>12.9545514238068</v>
      </c>
      <c r="E9" s="43" t="s">
        <v>98</v>
      </c>
      <c r="F9" s="44" t="s">
        <v>101</v>
      </c>
      <c r="G9" s="45" t="s">
        <v>1118</v>
      </c>
      <c r="I9" s="11" t="b">
        <v>1</v>
      </c>
      <c r="J9" s="47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IFERROR(__xludf.DUMMYFUNCTION("""COMPUTED_VALUE"""),4394.0)</f>
        <v>4394</v>
      </c>
      <c r="S9" s="51">
        <v>44071.73089815972</v>
      </c>
    </row>
    <row r="10">
      <c r="A10" s="43">
        <v>1.0</v>
      </c>
      <c r="B10" s="43">
        <v>5.0</v>
      </c>
      <c r="C10" s="43">
        <v>50.811338677073</v>
      </c>
      <c r="D10" s="43">
        <v>12.954778890052</v>
      </c>
      <c r="E10" s="43" t="s">
        <v>103</v>
      </c>
      <c r="F10" s="44" t="s">
        <v>1119</v>
      </c>
      <c r="G10" s="45" t="s">
        <v>1120</v>
      </c>
      <c r="I10" s="11" t="b">
        <v>1</v>
      </c>
      <c r="J10" s="47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IFERROR(__xludf.DUMMYFUNCTION("""COMPUTED_VALUE"""),2451.0)</f>
        <v>2451</v>
      </c>
      <c r="S10" s="51">
        <v>44071.73079758102</v>
      </c>
    </row>
    <row r="11">
      <c r="A11" s="43">
        <v>1.0</v>
      </c>
      <c r="B11" s="43">
        <v>6.0</v>
      </c>
      <c r="C11" s="43">
        <v>50.8113386768519</v>
      </c>
      <c r="D11" s="43">
        <v>12.9550063562971</v>
      </c>
      <c r="E11" s="43" t="s">
        <v>103</v>
      </c>
      <c r="F11" s="44" t="s">
        <v>217</v>
      </c>
      <c r="G11" s="45" t="s">
        <v>1121</v>
      </c>
      <c r="I11" s="11" t="b">
        <v>1</v>
      </c>
      <c r="J11" s="47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IFERROR(__xludf.DUMMYFUNCTION("""COMPUTED_VALUE"""),3155.0)</f>
        <v>3155</v>
      </c>
      <c r="S11" s="51">
        <v>44071.73081833334</v>
      </c>
    </row>
    <row r="12">
      <c r="A12" s="43">
        <v>2.0</v>
      </c>
      <c r="B12" s="43">
        <v>2.0</v>
      </c>
      <c r="C12" s="43">
        <v>50.811194947291</v>
      </c>
      <c r="D12" s="43">
        <v>12.9540964724183</v>
      </c>
      <c r="E12" s="43" t="s">
        <v>98</v>
      </c>
      <c r="F12" s="44" t="s">
        <v>1122</v>
      </c>
      <c r="G12" s="45" t="s">
        <v>1123</v>
      </c>
      <c r="H12" s="44"/>
      <c r="I12" s="11" t="b">
        <v>1</v>
      </c>
      <c r="J12" s="47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IFERROR(__xludf.DUMMYFUNCTION("""COMPUTED_VALUE"""),"Drazoria")</f>
        <v>Drazoria</v>
      </c>
      <c r="R12" s="49">
        <f>IFERROR(__xludf.DUMMYFUNCTION("""COMPUTED_VALUE"""),761.0)</f>
        <v>761</v>
      </c>
      <c r="S12" s="51">
        <v>44055.86240453704</v>
      </c>
    </row>
    <row r="13">
      <c r="A13" s="43">
        <v>2.0</v>
      </c>
      <c r="B13" s="43">
        <v>3.0</v>
      </c>
      <c r="C13" s="43">
        <v>50.8111949470699</v>
      </c>
      <c r="D13" s="43">
        <v>12.9543239379636</v>
      </c>
      <c r="E13" s="43" t="s">
        <v>98</v>
      </c>
      <c r="F13" s="44" t="s">
        <v>1124</v>
      </c>
      <c r="G13" s="45" t="s">
        <v>1125</v>
      </c>
      <c r="H13" s="46"/>
      <c r="I13" s="11" t="b">
        <v>1</v>
      </c>
      <c r="J13" s="47" t="str">
        <f t="shared" si="1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IFERROR(__xludf.DUMMYFUNCTION("""COMPUTED_VALUE"""),"Tinake1309")</f>
        <v>Tinake1309</v>
      </c>
      <c r="R13" s="49">
        <f>IFERROR(__xludf.DUMMYFUNCTION("""COMPUTED_VALUE"""),754.0)</f>
        <v>754</v>
      </c>
      <c r="S13" s="51">
        <v>44055.86253216435</v>
      </c>
    </row>
    <row r="14">
      <c r="A14" s="43">
        <v>2.0</v>
      </c>
      <c r="B14" s="43">
        <v>4.0</v>
      </c>
      <c r="C14" s="43">
        <v>50.8111949468487</v>
      </c>
      <c r="D14" s="43">
        <v>12.9545514035089</v>
      </c>
      <c r="E14" s="43" t="s">
        <v>98</v>
      </c>
      <c r="F14" s="44" t="s">
        <v>1126</v>
      </c>
      <c r="G14" s="45" t="s">
        <v>1127</v>
      </c>
      <c r="H14" s="46"/>
      <c r="I14" s="11" t="b">
        <v>1</v>
      </c>
      <c r="J14" s="47" t="str">
        <f t="shared" si="1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IFERROR(__xludf.DUMMYFUNCTION("""COMPUTED_VALUE"""),"Niks13")</f>
        <v>Niks13</v>
      </c>
      <c r="R14" s="49">
        <f>IFERROR(__xludf.DUMMYFUNCTION("""COMPUTED_VALUE"""),581.0)</f>
        <v>581</v>
      </c>
      <c r="S14" s="51">
        <v>44055.86255078704</v>
      </c>
    </row>
    <row r="15">
      <c r="A15" s="43">
        <v>2.0</v>
      </c>
      <c r="B15" s="43">
        <v>5.0</v>
      </c>
      <c r="C15" s="43">
        <v>50.8111949466276</v>
      </c>
      <c r="D15" s="43">
        <v>12.9547788690542</v>
      </c>
      <c r="E15" s="43" t="s">
        <v>103</v>
      </c>
      <c r="F15" s="44" t="s">
        <v>1128</v>
      </c>
      <c r="G15" s="45" t="s">
        <v>1129</v>
      </c>
      <c r="H15" s="46"/>
      <c r="I15" s="11" t="b">
        <v>1</v>
      </c>
      <c r="J15" s="47" t="str">
        <f t="shared" si="1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IFERROR(__xludf.DUMMYFUNCTION("""COMPUTED_VALUE"""),"Berg14")</f>
        <v>Berg14</v>
      </c>
      <c r="R15" s="49">
        <f>IFERROR(__xludf.DUMMYFUNCTION("""COMPUTED_VALUE"""),594.0)</f>
        <v>594</v>
      </c>
      <c r="S15" s="51">
        <v>44055.86257208334</v>
      </c>
    </row>
    <row r="16">
      <c r="A16" s="43">
        <v>2.0</v>
      </c>
      <c r="B16" s="43">
        <v>6.0</v>
      </c>
      <c r="C16" s="43">
        <v>50.8111949464065</v>
      </c>
      <c r="D16" s="43">
        <v>12.9550063345996</v>
      </c>
      <c r="E16" s="43" t="s">
        <v>98</v>
      </c>
      <c r="F16" s="44" t="s">
        <v>120</v>
      </c>
      <c r="G16" s="45" t="s">
        <v>1130</v>
      </c>
      <c r="H16" s="46"/>
      <c r="I16" s="11" t="b">
        <v>1</v>
      </c>
      <c r="J16" s="47" t="str">
        <f t="shared" si="1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IFERROR(__xludf.DUMMYFUNCTION("""COMPUTED_VALUE"""),"xrayneex")</f>
        <v>xrayneex</v>
      </c>
      <c r="R16" s="49">
        <f>IFERROR(__xludf.DUMMYFUNCTION("""COMPUTED_VALUE"""),1398.0)</f>
        <v>1398</v>
      </c>
      <c r="S16" s="49"/>
    </row>
    <row r="17">
      <c r="A17" s="43">
        <v>2.0</v>
      </c>
      <c r="B17" s="43">
        <v>7.0</v>
      </c>
      <c r="C17" s="43">
        <v>50.8111949461853</v>
      </c>
      <c r="D17" s="43">
        <v>12.9552338001449</v>
      </c>
      <c r="E17" s="43" t="s">
        <v>98</v>
      </c>
      <c r="F17" s="44" t="s">
        <v>116</v>
      </c>
      <c r="G17" s="45" t="s">
        <v>1131</v>
      </c>
      <c r="H17" s="44"/>
      <c r="I17" s="11" t="b">
        <v>1</v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IFERROR(__xludf.DUMMYFUNCTION("""COMPUTED_VALUE"""),"fsafranek")</f>
        <v>fsafranek</v>
      </c>
      <c r="R17" s="49">
        <f>IFERROR(__xludf.DUMMYFUNCTION("""COMPUTED_VALUE"""),4409.0)</f>
        <v>4409</v>
      </c>
      <c r="S17" s="51">
        <v>44110.51143708333</v>
      </c>
    </row>
    <row r="18">
      <c r="A18" s="43">
        <v>3.0</v>
      </c>
      <c r="B18" s="43">
        <v>1.0</v>
      </c>
      <c r="C18" s="43">
        <v>50.8110512170667</v>
      </c>
      <c r="D18" s="43">
        <v>12.9538689886767</v>
      </c>
      <c r="E18" s="43" t="s">
        <v>98</v>
      </c>
      <c r="F18" s="44" t="s">
        <v>918</v>
      </c>
      <c r="G18" s="45" t="s">
        <v>1132</v>
      </c>
      <c r="H18" s="46"/>
      <c r="I18" s="11" t="b">
        <v>1</v>
      </c>
      <c r="J18" s="47" t="str">
        <f t="shared" ref="J18:J59" si="3">if(I18=true,"",S18)</f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IFERROR(__xludf.DUMMYFUNCTION("""COMPUTED_VALUE"""),"5Star")</f>
        <v>5Star</v>
      </c>
      <c r="R18" s="49">
        <f>IFERROR(__xludf.DUMMYFUNCTION("""COMPUTED_VALUE"""),5839.0)</f>
        <v>5839</v>
      </c>
      <c r="S18" s="51">
        <v>44055.73871805555</v>
      </c>
    </row>
    <row r="19">
      <c r="A19" s="43">
        <v>3.0</v>
      </c>
      <c r="B19" s="43">
        <v>2.0</v>
      </c>
      <c r="C19" s="43">
        <v>50.8110512168456</v>
      </c>
      <c r="D19" s="43">
        <v>12.9540964535221</v>
      </c>
      <c r="E19" s="43" t="s">
        <v>98</v>
      </c>
      <c r="F19" s="44" t="s">
        <v>182</v>
      </c>
      <c r="G19" s="45" t="s">
        <v>1133</v>
      </c>
      <c r="H19" s="46"/>
      <c r="I19" s="11" t="b">
        <v>1</v>
      </c>
      <c r="J19" s="47" t="str">
        <f t="shared" si="3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IFERROR(__xludf.DUMMYFUNCTION("""COMPUTED_VALUE"""),"TheFatCats")</f>
        <v>TheFatCats</v>
      </c>
      <c r="R19" s="49">
        <f>IFERROR(__xludf.DUMMYFUNCTION("""COMPUTED_VALUE"""),3465.0)</f>
        <v>3465</v>
      </c>
      <c r="S19" s="49"/>
    </row>
    <row r="20">
      <c r="A20" s="43">
        <v>3.0</v>
      </c>
      <c r="B20" s="43">
        <v>3.0</v>
      </c>
      <c r="C20" s="43">
        <v>50.8110512166245</v>
      </c>
      <c r="D20" s="43">
        <v>12.9543239183676</v>
      </c>
      <c r="E20" s="43" t="s">
        <v>98</v>
      </c>
      <c r="F20" s="44" t="s">
        <v>136</v>
      </c>
      <c r="G20" s="45" t="s">
        <v>1134</v>
      </c>
      <c r="H20" s="44" t="s">
        <v>1135</v>
      </c>
      <c r="I20" s="11" t="b">
        <v>1</v>
      </c>
      <c r="J20" s="47" t="str">
        <f t="shared" si="3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IFERROR(__xludf.DUMMYFUNCTION("""COMPUTED_VALUE"""),"OdinsFiRe")</f>
        <v>OdinsFiRe</v>
      </c>
      <c r="R20" s="49">
        <f>IFERROR(__xludf.DUMMYFUNCTION("""COMPUTED_VALUE"""),1637.0)</f>
        <v>1637</v>
      </c>
      <c r="S20" s="51">
        <v>44056.84346891203</v>
      </c>
    </row>
    <row r="21">
      <c r="A21" s="43">
        <v>3.0</v>
      </c>
      <c r="B21" s="43">
        <v>4.0</v>
      </c>
      <c r="C21" s="43">
        <v>50.8110512164034</v>
      </c>
      <c r="D21" s="43">
        <v>12.9545513832131</v>
      </c>
      <c r="E21" s="43" t="s">
        <v>98</v>
      </c>
      <c r="F21" s="61" t="s">
        <v>114</v>
      </c>
      <c r="G21" s="52" t="s">
        <v>1136</v>
      </c>
      <c r="H21" s="46"/>
      <c r="I21" s="11" t="b">
        <v>1</v>
      </c>
      <c r="J21" s="47" t="str">
        <f t="shared" si="3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IFERROR(__xludf.DUMMYFUNCTION("""COMPUTED_VALUE"""),"J1Huisman")</f>
        <v>J1Huisman</v>
      </c>
      <c r="R21" s="49">
        <f>IFERROR(__xludf.DUMMYFUNCTION("""COMPUTED_VALUE"""),11416.0)</f>
        <v>11416</v>
      </c>
      <c r="S21" s="49"/>
    </row>
    <row r="22">
      <c r="A22" s="43">
        <v>3.0</v>
      </c>
      <c r="B22" s="43">
        <v>5.0</v>
      </c>
      <c r="C22" s="43">
        <v>50.8110512161822</v>
      </c>
      <c r="D22" s="43">
        <v>12.9547788480585</v>
      </c>
      <c r="E22" s="43" t="s">
        <v>98</v>
      </c>
      <c r="F22" s="44" t="s">
        <v>182</v>
      </c>
      <c r="G22" s="45" t="s">
        <v>1137</v>
      </c>
      <c r="H22" s="46"/>
      <c r="I22" s="11" t="b">
        <v>1</v>
      </c>
      <c r="J22" s="47" t="str">
        <f t="shared" si="3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IFERROR(__xludf.DUMMYFUNCTION("""COMPUTED_VALUE"""),"TheFatCats")</f>
        <v>TheFatCats</v>
      </c>
      <c r="R22" s="49">
        <f>IFERROR(__xludf.DUMMYFUNCTION("""COMPUTED_VALUE"""),3484.0)</f>
        <v>3484</v>
      </c>
      <c r="S22" s="49"/>
    </row>
    <row r="23">
      <c r="A23" s="43">
        <v>3.0</v>
      </c>
      <c r="B23" s="43">
        <v>6.0</v>
      </c>
      <c r="C23" s="43">
        <v>50.8110512159611</v>
      </c>
      <c r="D23" s="43">
        <v>12.9550063129039</v>
      </c>
      <c r="E23" s="43" t="s">
        <v>98</v>
      </c>
      <c r="F23" s="44" t="s">
        <v>136</v>
      </c>
      <c r="G23" s="45" t="s">
        <v>1138</v>
      </c>
      <c r="H23" s="44" t="s">
        <v>1139</v>
      </c>
      <c r="I23" s="11" t="b">
        <v>1</v>
      </c>
      <c r="J23" s="47" t="str">
        <f t="shared" si="3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IFERROR(__xludf.DUMMYFUNCTION("""COMPUTED_VALUE"""),"OdinsFiRe")</f>
        <v>OdinsFiRe</v>
      </c>
      <c r="R23" s="49">
        <f>IFERROR(__xludf.DUMMYFUNCTION("""COMPUTED_VALUE"""),1639.0)</f>
        <v>1639</v>
      </c>
      <c r="S23" s="51">
        <v>44056.84371271991</v>
      </c>
    </row>
    <row r="24">
      <c r="A24" s="43">
        <v>3.0</v>
      </c>
      <c r="B24" s="43">
        <v>7.0</v>
      </c>
      <c r="C24" s="43">
        <v>50.81105121574</v>
      </c>
      <c r="D24" s="43">
        <v>12.9552337777493</v>
      </c>
      <c r="E24" s="43" t="s">
        <v>98</v>
      </c>
      <c r="F24" s="62" t="s">
        <v>169</v>
      </c>
      <c r="G24" s="52" t="s">
        <v>1140</v>
      </c>
      <c r="H24" s="46"/>
      <c r="I24" s="11" t="b">
        <v>1</v>
      </c>
      <c r="J24" s="47" t="str">
        <f t="shared" si="3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IFERROR(__xludf.DUMMYFUNCTION("""COMPUTED_VALUE"""),"Pinkeltje")</f>
        <v>Pinkeltje</v>
      </c>
      <c r="R24" s="49">
        <f>IFERROR(__xludf.DUMMYFUNCTION("""COMPUTED_VALUE"""),1287.0)</f>
        <v>1287</v>
      </c>
      <c r="S24" s="49"/>
    </row>
    <row r="25">
      <c r="A25" s="43">
        <v>3.0</v>
      </c>
      <c r="B25" s="43">
        <v>8.0</v>
      </c>
      <c r="C25" s="43">
        <v>50.8110512155188</v>
      </c>
      <c r="D25" s="43">
        <v>12.9554612425946</v>
      </c>
      <c r="E25" s="43" t="s">
        <v>98</v>
      </c>
      <c r="F25" s="44" t="s">
        <v>157</v>
      </c>
      <c r="G25" s="45" t="s">
        <v>1141</v>
      </c>
      <c r="H25" s="46"/>
      <c r="I25" s="11" t="b">
        <v>1</v>
      </c>
      <c r="J25" s="47" t="str">
        <f t="shared" si="3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IFERROR(__xludf.DUMMYFUNCTION("""COMPUTED_VALUE"""),"barefootguru")</f>
        <v>barefootguru</v>
      </c>
      <c r="R25" s="49">
        <f>IFERROR(__xludf.DUMMYFUNCTION("""COMPUTED_VALUE"""),3144.0)</f>
        <v>3144</v>
      </c>
      <c r="S25" s="49"/>
    </row>
    <row r="26">
      <c r="A26" s="43">
        <v>4.0</v>
      </c>
      <c r="B26" s="43">
        <v>1.0</v>
      </c>
      <c r="C26" s="43">
        <v>50.8109074866212</v>
      </c>
      <c r="D26" s="43">
        <v>12.9538689704775</v>
      </c>
      <c r="E26" s="43" t="s">
        <v>98</v>
      </c>
      <c r="F26" s="44" t="s">
        <v>134</v>
      </c>
      <c r="G26" s="45" t="s">
        <v>1142</v>
      </c>
      <c r="H26" s="46"/>
      <c r="I26" s="11" t="b">
        <v>1</v>
      </c>
      <c r="J26" s="47" t="str">
        <f t="shared" si="3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IFERROR(__xludf.DUMMYFUNCTION("""COMPUTED_VALUE"""),"Wangotango")</f>
        <v>Wangotango</v>
      </c>
      <c r="R26" s="49">
        <f>IFERROR(__xludf.DUMMYFUNCTION("""COMPUTED_VALUE"""),1273.0)</f>
        <v>1273</v>
      </c>
      <c r="S26" s="49"/>
    </row>
    <row r="27">
      <c r="A27" s="43">
        <v>4.0</v>
      </c>
      <c r="B27" s="43">
        <v>2.0</v>
      </c>
      <c r="C27" s="43">
        <v>50.8109074864001</v>
      </c>
      <c r="D27" s="43">
        <v>12.954096434623</v>
      </c>
      <c r="E27" s="43" t="s">
        <v>103</v>
      </c>
      <c r="F27" s="44" t="s">
        <v>629</v>
      </c>
      <c r="G27" s="52" t="s">
        <v>1143</v>
      </c>
      <c r="H27" s="46"/>
      <c r="I27" s="11" t="b">
        <v>1</v>
      </c>
      <c r="J27" s="47" t="str">
        <f t="shared" si="3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IFERROR(__xludf.DUMMYFUNCTION("""COMPUTED_VALUE"""),"IggiePiggie")</f>
        <v>IggiePiggie</v>
      </c>
      <c r="R27" s="49">
        <f>IFERROR(__xludf.DUMMYFUNCTION("""COMPUTED_VALUE"""),1878.0)</f>
        <v>1878</v>
      </c>
      <c r="S27" s="49"/>
    </row>
    <row r="28">
      <c r="A28" s="43">
        <v>4.0</v>
      </c>
      <c r="B28" s="43">
        <v>3.0</v>
      </c>
      <c r="C28" s="43">
        <v>50.810907486179</v>
      </c>
      <c r="D28" s="43">
        <v>12.9543238987685</v>
      </c>
      <c r="E28" s="43" t="s">
        <v>98</v>
      </c>
      <c r="F28" s="44" t="s">
        <v>110</v>
      </c>
      <c r="G28" s="52" t="s">
        <v>1144</v>
      </c>
      <c r="H28" s="46"/>
      <c r="I28" s="11" t="b">
        <v>1</v>
      </c>
      <c r="J28" s="47" t="str">
        <f t="shared" si="3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IFERROR(__xludf.DUMMYFUNCTION("""COMPUTED_VALUE"""),"BrotherWilliam")</f>
        <v>BrotherWilliam</v>
      </c>
      <c r="R28" s="49">
        <f>IFERROR(__xludf.DUMMYFUNCTION("""COMPUTED_VALUE"""),4045.0)</f>
        <v>4045</v>
      </c>
      <c r="S28" s="49"/>
    </row>
    <row r="29">
      <c r="A29" s="43">
        <v>4.0</v>
      </c>
      <c r="B29" s="43">
        <v>4.0</v>
      </c>
      <c r="C29" s="43">
        <v>50.8109074859579</v>
      </c>
      <c r="D29" s="43">
        <v>12.954551362914</v>
      </c>
      <c r="E29" s="43" t="s">
        <v>98</v>
      </c>
      <c r="F29" s="44" t="s">
        <v>188</v>
      </c>
      <c r="G29" s="45" t="s">
        <v>1145</v>
      </c>
      <c r="H29" s="46"/>
      <c r="I29" s="11" t="b">
        <v>1</v>
      </c>
      <c r="J29" s="47" t="str">
        <f t="shared" si="3"/>
        <v/>
      </c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IFERROR(__xludf.DUMMYFUNCTION("""COMPUTED_VALUE"""),2878.0)</f>
        <v>2878</v>
      </c>
      <c r="S29" s="49"/>
    </row>
    <row r="30">
      <c r="A30" s="43">
        <v>4.0</v>
      </c>
      <c r="B30" s="43">
        <v>5.0</v>
      </c>
      <c r="C30" s="43">
        <v>50.8109074857367</v>
      </c>
      <c r="D30" s="43">
        <v>12.9547788270595</v>
      </c>
      <c r="E30" s="43" t="s">
        <v>98</v>
      </c>
      <c r="F30" s="44" t="s">
        <v>940</v>
      </c>
      <c r="G30" s="45" t="s">
        <v>1146</v>
      </c>
      <c r="H30" s="46"/>
      <c r="I30" s="11" t="b">
        <v>1</v>
      </c>
      <c r="J30" s="47" t="str">
        <f t="shared" si="3"/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IFERROR(__xludf.DUMMYFUNCTION("""COMPUTED_VALUE"""),"WiseOldWizard")</f>
        <v>WiseOldWizard</v>
      </c>
      <c r="R30" s="49">
        <f>IFERROR(__xludf.DUMMYFUNCTION("""COMPUTED_VALUE"""),3991.0)</f>
        <v>3991</v>
      </c>
      <c r="S30" s="51">
        <v>44055.73878375</v>
      </c>
    </row>
    <row r="31">
      <c r="A31" s="43">
        <v>4.0</v>
      </c>
      <c r="B31" s="43">
        <v>6.0</v>
      </c>
      <c r="C31" s="43">
        <v>50.8109074855156</v>
      </c>
      <c r="D31" s="43">
        <v>12.9550062912049</v>
      </c>
      <c r="E31" s="43" t="s">
        <v>103</v>
      </c>
      <c r="F31" s="44" t="s">
        <v>112</v>
      </c>
      <c r="G31" s="52" t="s">
        <v>1147</v>
      </c>
      <c r="H31" s="46"/>
      <c r="I31" s="11" t="b">
        <v>1</v>
      </c>
      <c r="J31" s="47" t="str">
        <f t="shared" si="3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IFERROR(__xludf.DUMMYFUNCTION("""COMPUTED_VALUE"""),"ArtofEco")</f>
        <v>ArtofEco</v>
      </c>
      <c r="R31" s="49">
        <f>IFERROR(__xludf.DUMMYFUNCTION("""COMPUTED_VALUE"""),2978.0)</f>
        <v>2978</v>
      </c>
      <c r="S31" s="49"/>
    </row>
    <row r="32">
      <c r="A32" s="43">
        <v>4.0</v>
      </c>
      <c r="B32" s="43">
        <v>7.0</v>
      </c>
      <c r="C32" s="43">
        <v>50.8109074852945</v>
      </c>
      <c r="D32" s="43">
        <v>12.9552337553504</v>
      </c>
      <c r="E32" s="43" t="s">
        <v>98</v>
      </c>
      <c r="F32" s="44" t="s">
        <v>926</v>
      </c>
      <c r="G32" s="45" t="s">
        <v>1148</v>
      </c>
      <c r="H32" s="44" t="s">
        <v>1149</v>
      </c>
      <c r="I32" s="11" t="b">
        <v>1</v>
      </c>
      <c r="J32" s="47" t="str">
        <f t="shared" si="3"/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IFERROR(__xludf.DUMMYFUNCTION("""COMPUTED_VALUE"""),"Lanyasummer")</f>
        <v>Lanyasummer</v>
      </c>
      <c r="R32" s="49">
        <f>IFERROR(__xludf.DUMMYFUNCTION("""COMPUTED_VALUE"""),4434.0)</f>
        <v>4434</v>
      </c>
      <c r="S32" s="49"/>
    </row>
    <row r="33">
      <c r="A33" s="43">
        <v>4.0</v>
      </c>
      <c r="B33" s="43">
        <v>8.0</v>
      </c>
      <c r="C33" s="43">
        <v>50.8109074850733</v>
      </c>
      <c r="D33" s="43">
        <v>12.9554612194959</v>
      </c>
      <c r="E33" s="43" t="s">
        <v>98</v>
      </c>
      <c r="F33" s="44" t="s">
        <v>950</v>
      </c>
      <c r="G33" s="45" t="s">
        <v>1150</v>
      </c>
      <c r="H33" s="46"/>
      <c r="I33" s="11" t="b">
        <v>1</v>
      </c>
      <c r="J33" s="47" t="str">
        <f t="shared" si="3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IFERROR(__xludf.DUMMYFUNCTION("""COMPUTED_VALUE"""),"babyw")</f>
        <v>babyw</v>
      </c>
      <c r="R33" s="49">
        <f>IFERROR(__xludf.DUMMYFUNCTION("""COMPUTED_VALUE"""),3127.0)</f>
        <v>3127</v>
      </c>
      <c r="S33" s="49"/>
    </row>
    <row r="34">
      <c r="A34" s="43">
        <v>5.0</v>
      </c>
      <c r="B34" s="43">
        <v>1.0</v>
      </c>
      <c r="C34" s="43">
        <v>50.8107637561758</v>
      </c>
      <c r="D34" s="43">
        <v>12.9538689522796</v>
      </c>
      <c r="E34" s="43" t="s">
        <v>103</v>
      </c>
      <c r="F34" s="44" t="s">
        <v>178</v>
      </c>
      <c r="G34" s="45" t="s">
        <v>1151</v>
      </c>
      <c r="H34" s="46"/>
      <c r="I34" s="11" t="b">
        <v>1</v>
      </c>
      <c r="J34" s="47" t="str">
        <f t="shared" si="3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IFERROR(__xludf.DUMMYFUNCTION("""COMPUTED_VALUE"""),"lison55")</f>
        <v>lison55</v>
      </c>
      <c r="R34" s="49">
        <f>IFERROR(__xludf.DUMMYFUNCTION("""COMPUTED_VALUE"""),5412.0)</f>
        <v>5412</v>
      </c>
      <c r="S34" s="49"/>
    </row>
    <row r="35">
      <c r="A35" s="43">
        <v>5.0</v>
      </c>
      <c r="B35" s="43">
        <v>2.0</v>
      </c>
      <c r="C35" s="43">
        <v>50.8107637559547</v>
      </c>
      <c r="D35" s="43">
        <v>12.9540964157251</v>
      </c>
      <c r="E35" s="43" t="s">
        <v>98</v>
      </c>
      <c r="F35" s="44" t="s">
        <v>141</v>
      </c>
      <c r="G35" s="52" t="s">
        <v>1152</v>
      </c>
      <c r="H35" s="46"/>
      <c r="I35" s="11" t="b">
        <v>1</v>
      </c>
      <c r="J35" s="47" t="str">
        <f t="shared" si="3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IFERROR(__xludf.DUMMYFUNCTION("""COMPUTED_VALUE"""),2411.0)</f>
        <v>2411</v>
      </c>
      <c r="S35" s="49"/>
    </row>
    <row r="36">
      <c r="A36" s="43">
        <v>5.0</v>
      </c>
      <c r="B36" s="43">
        <v>3.0</v>
      </c>
      <c r="C36" s="43">
        <v>50.8107637557336</v>
      </c>
      <c r="D36" s="43">
        <v>12.9543238791707</v>
      </c>
      <c r="E36" s="43" t="s">
        <v>103</v>
      </c>
      <c r="F36" s="44" t="s">
        <v>920</v>
      </c>
      <c r="G36" s="45" t="s">
        <v>1153</v>
      </c>
      <c r="H36" s="46"/>
      <c r="I36" s="11" t="b">
        <v>1</v>
      </c>
      <c r="J36" s="47" t="str">
        <f t="shared" si="3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IFERROR(__xludf.DUMMYFUNCTION("""COMPUTED_VALUE"""),"FromTheTardis")</f>
        <v>FromTheTardis</v>
      </c>
      <c r="R36" s="49">
        <f>IFERROR(__xludf.DUMMYFUNCTION("""COMPUTED_VALUE"""),1411.0)</f>
        <v>1411</v>
      </c>
      <c r="S36" s="49"/>
    </row>
    <row r="37">
      <c r="A37" s="43">
        <v>5.0</v>
      </c>
      <c r="B37" s="43">
        <v>4.0</v>
      </c>
      <c r="C37" s="43">
        <v>50.8107637555125</v>
      </c>
      <c r="D37" s="43">
        <v>12.9545513426162</v>
      </c>
      <c r="E37" s="43" t="s">
        <v>98</v>
      </c>
      <c r="F37" s="44" t="s">
        <v>190</v>
      </c>
      <c r="G37" s="52" t="s">
        <v>1154</v>
      </c>
      <c r="H37" s="46"/>
      <c r="I37" s="11" t="b">
        <v>1</v>
      </c>
      <c r="J37" s="47" t="str">
        <f t="shared" si="3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IFERROR(__xludf.DUMMYFUNCTION("""COMPUTED_VALUE"""),"GroteSufferd")</f>
        <v>GroteSufferd</v>
      </c>
      <c r="R37" s="49">
        <f>IFERROR(__xludf.DUMMYFUNCTION("""COMPUTED_VALUE"""),402.0)</f>
        <v>402</v>
      </c>
      <c r="S37" s="49"/>
    </row>
    <row r="38">
      <c r="A38" s="43">
        <v>5.0</v>
      </c>
      <c r="B38" s="43">
        <v>5.0</v>
      </c>
      <c r="C38" s="43">
        <v>50.8107637552913</v>
      </c>
      <c r="D38" s="43">
        <v>12.9547788060617</v>
      </c>
      <c r="E38" s="43" t="s">
        <v>98</v>
      </c>
      <c r="F38" s="44" t="s">
        <v>532</v>
      </c>
      <c r="G38" s="45" t="s">
        <v>1155</v>
      </c>
      <c r="H38" s="46"/>
      <c r="I38" s="11" t="b">
        <v>1</v>
      </c>
      <c r="J38" s="47" t="str">
        <f t="shared" si="3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IFERROR(__xludf.DUMMYFUNCTION("""COMPUTED_VALUE"""),"MeanderingMonkeys")</f>
        <v>MeanderingMonkeys</v>
      </c>
      <c r="R38" s="49">
        <f>IFERROR(__xludf.DUMMYFUNCTION("""COMPUTED_VALUE"""),17482.0)</f>
        <v>17482</v>
      </c>
      <c r="S38" s="49"/>
    </row>
    <row r="39">
      <c r="A39" s="43">
        <v>5.0</v>
      </c>
      <c r="B39" s="43">
        <v>6.0</v>
      </c>
      <c r="C39" s="43">
        <v>50.8107637550702</v>
      </c>
      <c r="D39" s="43">
        <v>12.9550062695072</v>
      </c>
      <c r="E39" s="43" t="s">
        <v>98</v>
      </c>
      <c r="F39" s="44" t="s">
        <v>766</v>
      </c>
      <c r="G39" s="45" t="s">
        <v>1156</v>
      </c>
      <c r="H39" s="46"/>
      <c r="I39" s="11" t="b">
        <v>1</v>
      </c>
      <c r="J39" s="47" t="str">
        <f t="shared" si="3"/>
        <v/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IFERROR(__xludf.DUMMYFUNCTION("""COMPUTED_VALUE"""),"BartWullems")</f>
        <v>BartWullems</v>
      </c>
      <c r="R39" s="49">
        <f>IFERROR(__xludf.DUMMYFUNCTION("""COMPUTED_VALUE"""),5607.0)</f>
        <v>5607</v>
      </c>
      <c r="S39" s="49"/>
    </row>
    <row r="40">
      <c r="A40" s="43">
        <v>5.0</v>
      </c>
      <c r="B40" s="43">
        <v>7.0</v>
      </c>
      <c r="C40" s="43">
        <v>50.8107637548491</v>
      </c>
      <c r="D40" s="43">
        <v>12.9552337329528</v>
      </c>
      <c r="E40" s="43" t="s">
        <v>98</v>
      </c>
      <c r="F40" s="44" t="s">
        <v>140</v>
      </c>
      <c r="G40" s="45" t="s">
        <v>1157</v>
      </c>
      <c r="H40" s="46"/>
      <c r="I40" s="11" t="b">
        <v>1</v>
      </c>
      <c r="J40" s="47" t="str">
        <f t="shared" si="3"/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IFERROR(__xludf.DUMMYFUNCTION("""COMPUTED_VALUE"""),"Fossillady")</f>
        <v>Fossillady</v>
      </c>
      <c r="R40" s="49">
        <f>IFERROR(__xludf.DUMMYFUNCTION("""COMPUTED_VALUE"""),3391.0)</f>
        <v>3391</v>
      </c>
      <c r="S40" s="49"/>
    </row>
    <row r="41">
      <c r="A41" s="43">
        <v>5.0</v>
      </c>
      <c r="B41" s="43">
        <v>8.0</v>
      </c>
      <c r="C41" s="43">
        <v>50.8107637546279</v>
      </c>
      <c r="D41" s="43">
        <v>12.9554611963983</v>
      </c>
      <c r="E41" s="43" t="s">
        <v>98</v>
      </c>
      <c r="F41" s="44" t="s">
        <v>243</v>
      </c>
      <c r="G41" s="45" t="s">
        <v>1158</v>
      </c>
      <c r="H41" s="46"/>
      <c r="I41" s="11" t="b">
        <v>1</v>
      </c>
      <c r="J41" s="47" t="str">
        <f t="shared" si="3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IFERROR(__xludf.DUMMYFUNCTION("""COMPUTED_VALUE"""),"Aniara")</f>
        <v>Aniara</v>
      </c>
      <c r="R41" s="49">
        <f>IFERROR(__xludf.DUMMYFUNCTION("""COMPUTED_VALUE"""),6946.0)</f>
        <v>6946</v>
      </c>
      <c r="S41" s="49"/>
    </row>
    <row r="42">
      <c r="A42" s="43">
        <v>6.0</v>
      </c>
      <c r="B42" s="43">
        <v>1.0</v>
      </c>
      <c r="C42" s="43">
        <v>50.8106200257304</v>
      </c>
      <c r="D42" s="43">
        <v>12.953868934082</v>
      </c>
      <c r="E42" s="43" t="s">
        <v>98</v>
      </c>
      <c r="F42" s="44" t="s">
        <v>149</v>
      </c>
      <c r="G42" s="45" t="s">
        <v>1159</v>
      </c>
      <c r="H42" s="46"/>
      <c r="I42" s="11" t="b">
        <v>1</v>
      </c>
      <c r="J42" s="47" t="str">
        <f t="shared" si="3"/>
        <v/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IFERROR(__xludf.DUMMYFUNCTION("""COMPUTED_VALUE"""),4551.0)</f>
        <v>4551</v>
      </c>
      <c r="S42" s="49"/>
    </row>
    <row r="43">
      <c r="A43" s="43">
        <v>6.0</v>
      </c>
      <c r="B43" s="43">
        <v>2.0</v>
      </c>
      <c r="C43" s="43">
        <v>50.8106200255092</v>
      </c>
      <c r="D43" s="43">
        <v>12.9540963968277</v>
      </c>
      <c r="E43" s="43" t="s">
        <v>98</v>
      </c>
      <c r="F43" s="44" t="s">
        <v>870</v>
      </c>
      <c r="G43" s="45" t="s">
        <v>1160</v>
      </c>
      <c r="H43" s="44"/>
      <c r="I43" s="11" t="b">
        <v>1</v>
      </c>
      <c r="J43" s="47" t="str">
        <f t="shared" si="3"/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IFERROR(__xludf.DUMMYFUNCTION("""COMPUTED_VALUE"""),"amadoreugen")</f>
        <v>amadoreugen</v>
      </c>
      <c r="R43" s="49">
        <f>IFERROR(__xludf.DUMMYFUNCTION("""COMPUTED_VALUE"""),5768.0)</f>
        <v>5768</v>
      </c>
      <c r="S43" s="51">
        <v>44185.39884605324</v>
      </c>
    </row>
    <row r="44">
      <c r="A44" s="43">
        <v>6.0</v>
      </c>
      <c r="B44" s="43">
        <v>3.0</v>
      </c>
      <c r="C44" s="43">
        <v>50.8106200252881</v>
      </c>
      <c r="D44" s="43">
        <v>12.9543238595733</v>
      </c>
      <c r="E44" s="43" t="s">
        <v>103</v>
      </c>
      <c r="F44" s="44" t="s">
        <v>1161</v>
      </c>
      <c r="G44" s="45" t="s">
        <v>1162</v>
      </c>
      <c r="H44" s="46"/>
      <c r="I44" s="11" t="b">
        <v>1</v>
      </c>
      <c r="J44" s="47" t="str">
        <f t="shared" si="3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IFERROR(__xludf.DUMMYFUNCTION("""COMPUTED_VALUE"""),"denali0407")</f>
        <v>denali0407</v>
      </c>
      <c r="R44" s="49">
        <f>IFERROR(__xludf.DUMMYFUNCTION("""COMPUTED_VALUE"""),14436.0)</f>
        <v>14436</v>
      </c>
      <c r="S44" s="49"/>
    </row>
    <row r="45">
      <c r="A45" s="43">
        <v>6.0</v>
      </c>
      <c r="B45" s="43">
        <v>4.0</v>
      </c>
      <c r="C45" s="43">
        <v>50.810620025067</v>
      </c>
      <c r="D45" s="43">
        <v>12.954551322319</v>
      </c>
      <c r="E45" s="43" t="s">
        <v>98</v>
      </c>
      <c r="F45" s="44" t="s">
        <v>874</v>
      </c>
      <c r="G45" s="45" t="s">
        <v>1163</v>
      </c>
      <c r="H45" s="46"/>
      <c r="I45" s="11" t="b">
        <v>1</v>
      </c>
      <c r="J45" s="47" t="str">
        <f t="shared" si="3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IFERROR(__xludf.DUMMYFUNCTION("""COMPUTED_VALUE"""),"Krauseengineer")</f>
        <v>Krauseengineer</v>
      </c>
      <c r="R45" s="49">
        <f>IFERROR(__xludf.DUMMYFUNCTION("""COMPUTED_VALUE"""),2428.0)</f>
        <v>2428</v>
      </c>
      <c r="S45" s="49"/>
    </row>
    <row r="46">
      <c r="A46" s="43">
        <v>6.0</v>
      </c>
      <c r="B46" s="43">
        <v>5.0</v>
      </c>
      <c r="C46" s="43">
        <v>50.8106200248458</v>
      </c>
      <c r="D46" s="43">
        <v>12.9547787850647</v>
      </c>
      <c r="E46" s="43" t="s">
        <v>98</v>
      </c>
      <c r="F46" s="44" t="s">
        <v>254</v>
      </c>
      <c r="G46" s="45" t="s">
        <v>1164</v>
      </c>
      <c r="H46" s="46"/>
      <c r="I46" s="11" t="b">
        <v>1</v>
      </c>
      <c r="J46" s="47" t="str">
        <f t="shared" si="3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IFERROR(__xludf.DUMMYFUNCTION("""COMPUTED_VALUE"""),"wally62")</f>
        <v>wally62</v>
      </c>
      <c r="R46" s="49">
        <f>IFERROR(__xludf.DUMMYFUNCTION("""COMPUTED_VALUE"""),4432.0)</f>
        <v>4432</v>
      </c>
      <c r="S46" s="49"/>
    </row>
    <row r="47">
      <c r="A47" s="43">
        <v>6.0</v>
      </c>
      <c r="B47" s="43">
        <v>6.0</v>
      </c>
      <c r="C47" s="43">
        <v>50.8106200246247</v>
      </c>
      <c r="D47" s="43">
        <v>12.9550062478103</v>
      </c>
      <c r="E47" s="43" t="s">
        <v>103</v>
      </c>
      <c r="F47" s="44" t="s">
        <v>1165</v>
      </c>
      <c r="G47" s="45" t="s">
        <v>1166</v>
      </c>
      <c r="H47" s="46"/>
      <c r="I47" s="11" t="b">
        <v>1</v>
      </c>
      <c r="J47" s="47" t="str">
        <f t="shared" si="3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IFERROR(__xludf.DUMMYFUNCTION("""COMPUTED_VALUE"""),"Derlame")</f>
        <v>Derlame</v>
      </c>
      <c r="R47" s="49">
        <f>IFERROR(__xludf.DUMMYFUNCTION("""COMPUTED_VALUE"""),12633.0)</f>
        <v>12633</v>
      </c>
      <c r="S47" s="51">
        <v>44056.702530787035</v>
      </c>
    </row>
    <row r="48">
      <c r="A48" s="43">
        <v>6.0</v>
      </c>
      <c r="B48" s="43">
        <v>7.0</v>
      </c>
      <c r="C48" s="43">
        <v>50.8106200244036</v>
      </c>
      <c r="D48" s="43">
        <v>12.955233710556</v>
      </c>
      <c r="E48" s="43" t="s">
        <v>98</v>
      </c>
      <c r="F48" s="44" t="s">
        <v>145</v>
      </c>
      <c r="G48" s="52" t="s">
        <v>1167</v>
      </c>
      <c r="H48" s="46"/>
      <c r="I48" s="11" t="b">
        <v>1</v>
      </c>
      <c r="J48" s="47" t="str">
        <f t="shared" si="3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IFERROR(__xludf.DUMMYFUNCTION("""COMPUTED_VALUE"""),4234.0)</f>
        <v>4234</v>
      </c>
      <c r="S48" s="51">
        <v>44055.7382803588</v>
      </c>
    </row>
    <row r="49">
      <c r="A49" s="43">
        <v>6.0</v>
      </c>
      <c r="B49" s="43">
        <v>8.0</v>
      </c>
      <c r="C49" s="43">
        <v>50.8106200241825</v>
      </c>
      <c r="D49" s="43">
        <v>12.9554611733017</v>
      </c>
      <c r="E49" s="43" t="s">
        <v>98</v>
      </c>
      <c r="F49" s="44" t="s">
        <v>147</v>
      </c>
      <c r="G49" s="52" t="s">
        <v>1168</v>
      </c>
      <c r="H49" s="46"/>
      <c r="I49" s="11" t="b">
        <v>1</v>
      </c>
      <c r="J49" s="47" t="str">
        <f t="shared" si="3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IFERROR(__xludf.DUMMYFUNCTION("""COMPUTED_VALUE"""),6605.0)</f>
        <v>6605</v>
      </c>
      <c r="S49" s="51">
        <v>44055.83145366899</v>
      </c>
    </row>
    <row r="50">
      <c r="A50" s="43">
        <v>7.0</v>
      </c>
      <c r="B50" s="43">
        <v>2.0</v>
      </c>
      <c r="C50" s="43">
        <v>50.8104762950638</v>
      </c>
      <c r="D50" s="43">
        <v>12.9540963779315</v>
      </c>
      <c r="E50" s="43" t="s">
        <v>103</v>
      </c>
      <c r="F50" s="44" t="s">
        <v>182</v>
      </c>
      <c r="G50" s="45" t="s">
        <v>1169</v>
      </c>
      <c r="H50" s="46"/>
      <c r="I50" s="11" t="b">
        <v>1</v>
      </c>
      <c r="J50" s="47" t="str">
        <f t="shared" si="3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IFERROR(__xludf.DUMMYFUNCTION("""COMPUTED_VALUE"""),"TheFatCats")</f>
        <v>TheFatCats</v>
      </c>
      <c r="R50" s="49">
        <f>IFERROR(__xludf.DUMMYFUNCTION("""COMPUTED_VALUE"""),3486.0)</f>
        <v>3486</v>
      </c>
      <c r="S50" s="49"/>
    </row>
    <row r="51">
      <c r="A51" s="43">
        <v>7.0</v>
      </c>
      <c r="B51" s="43">
        <v>3.0</v>
      </c>
      <c r="C51" s="43">
        <v>50.8104762948426</v>
      </c>
      <c r="D51" s="43">
        <v>12.9543238399774</v>
      </c>
      <c r="E51" s="43" t="s">
        <v>98</v>
      </c>
      <c r="F51" s="43" t="s">
        <v>108</v>
      </c>
      <c r="G51" s="45" t="s">
        <v>1170</v>
      </c>
      <c r="H51" s="46"/>
      <c r="I51" s="11" t="b">
        <v>1</v>
      </c>
      <c r="J51" s="47" t="str">
        <f t="shared" si="3"/>
        <v/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IFERROR(__xludf.DUMMYFUNCTION("""COMPUTED_VALUE"""),"Bungle")</f>
        <v>Bungle</v>
      </c>
      <c r="R51" s="49">
        <f>IFERROR(__xludf.DUMMYFUNCTION("""COMPUTED_VALUE"""),3149.0)</f>
        <v>3149</v>
      </c>
      <c r="S51" s="49"/>
    </row>
    <row r="52">
      <c r="A52" s="43">
        <v>7.0</v>
      </c>
      <c r="B52" s="43">
        <v>4.0</v>
      </c>
      <c r="C52" s="43">
        <v>50.8104762946215</v>
      </c>
      <c r="D52" s="43">
        <v>12.9545513020232</v>
      </c>
      <c r="E52" s="43" t="s">
        <v>98</v>
      </c>
      <c r="F52" s="43" t="s">
        <v>887</v>
      </c>
      <c r="G52" s="45" t="s">
        <v>1171</v>
      </c>
      <c r="H52" s="46"/>
      <c r="I52" s="11" t="b">
        <v>1</v>
      </c>
      <c r="J52" s="47" t="str">
        <f t="shared" si="3"/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IFERROR(__xludf.DUMMYFUNCTION("""COMPUTED_VALUE"""),"mding4gold")</f>
        <v>mding4gold</v>
      </c>
      <c r="R52" s="49">
        <f>IFERROR(__xludf.DUMMYFUNCTION("""COMPUTED_VALUE"""),4864.0)</f>
        <v>4864</v>
      </c>
      <c r="S52" s="49"/>
    </row>
    <row r="53">
      <c r="A53" s="43">
        <v>7.0</v>
      </c>
      <c r="B53" s="43">
        <v>5.0</v>
      </c>
      <c r="C53" s="43">
        <v>50.8104762944004</v>
      </c>
      <c r="D53" s="43">
        <v>12.954778764069</v>
      </c>
      <c r="E53" s="43" t="s">
        <v>98</v>
      </c>
      <c r="F53" s="44" t="s">
        <v>116</v>
      </c>
      <c r="G53" s="65" t="s">
        <v>1172</v>
      </c>
      <c r="H53" s="46"/>
      <c r="I53" s="11" t="b">
        <v>1</v>
      </c>
      <c r="J53" s="47" t="str">
        <f t="shared" si="3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IFERROR(__xludf.DUMMYFUNCTION("""COMPUTED_VALUE"""),"fsafranek")</f>
        <v>fsafranek</v>
      </c>
      <c r="R53" s="49">
        <f>IFERROR(__xludf.DUMMYFUNCTION("""COMPUTED_VALUE"""),4294.0)</f>
        <v>4294</v>
      </c>
      <c r="S53" s="49"/>
    </row>
    <row r="54">
      <c r="A54" s="43">
        <v>7.0</v>
      </c>
      <c r="B54" s="43">
        <v>6.0</v>
      </c>
      <c r="C54" s="43">
        <v>50.8104762941792</v>
      </c>
      <c r="D54" s="43">
        <v>12.9550062261148</v>
      </c>
      <c r="E54" s="43" t="s">
        <v>98</v>
      </c>
      <c r="F54" s="129" t="s">
        <v>182</v>
      </c>
      <c r="G54" s="45" t="s">
        <v>1173</v>
      </c>
      <c r="H54" s="46"/>
      <c r="I54" s="11" t="b">
        <v>1</v>
      </c>
      <c r="J54" s="47" t="str">
        <f t="shared" si="3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IFERROR(__xludf.DUMMYFUNCTION("""COMPUTED_VALUE"""),"TheFatCats")</f>
        <v>TheFatCats</v>
      </c>
      <c r="R54" s="49">
        <f>IFERROR(__xludf.DUMMYFUNCTION("""COMPUTED_VALUE"""),3871.0)</f>
        <v>3871</v>
      </c>
      <c r="S54" s="49"/>
    </row>
    <row r="55">
      <c r="A55" s="43">
        <v>7.0</v>
      </c>
      <c r="B55" s="43">
        <v>7.0</v>
      </c>
      <c r="C55" s="43">
        <v>50.8104762939581</v>
      </c>
      <c r="D55" s="43">
        <v>12.9552336881606</v>
      </c>
      <c r="E55" s="43" t="s">
        <v>98</v>
      </c>
      <c r="F55" s="44" t="s">
        <v>870</v>
      </c>
      <c r="G55" s="45" t="s">
        <v>1174</v>
      </c>
      <c r="H55" s="46"/>
      <c r="I55" s="11" t="b">
        <v>1</v>
      </c>
      <c r="J55" s="47" t="str">
        <f t="shared" si="3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IFERROR(__xludf.DUMMYFUNCTION("""COMPUTED_VALUE"""),"amadoreugen")</f>
        <v>amadoreugen</v>
      </c>
      <c r="R55" s="49">
        <f>IFERROR(__xludf.DUMMYFUNCTION("""COMPUTED_VALUE"""),5767.0)</f>
        <v>5767</v>
      </c>
      <c r="S55" s="49"/>
    </row>
    <row r="56">
      <c r="A56" s="43">
        <v>8.0</v>
      </c>
      <c r="B56" s="43">
        <v>3.0</v>
      </c>
      <c r="C56" s="43">
        <v>50.8103325643972</v>
      </c>
      <c r="D56" s="43">
        <v>12.9543238203814</v>
      </c>
      <c r="E56" s="43" t="s">
        <v>98</v>
      </c>
      <c r="F56" s="44" t="s">
        <v>190</v>
      </c>
      <c r="G56" s="52" t="s">
        <v>1175</v>
      </c>
      <c r="H56" s="46"/>
      <c r="I56" s="11" t="b">
        <v>1</v>
      </c>
      <c r="J56" s="47" t="str">
        <f t="shared" si="3"/>
        <v/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IFERROR(__xludf.DUMMYFUNCTION("""COMPUTED_VALUE"""),"GroteSufferd")</f>
        <v>GroteSufferd</v>
      </c>
      <c r="R56" s="49">
        <f>IFERROR(__xludf.DUMMYFUNCTION("""COMPUTED_VALUE"""),487.0)</f>
        <v>487</v>
      </c>
      <c r="S56" s="49"/>
    </row>
    <row r="57">
      <c r="A57" s="43">
        <v>8.0</v>
      </c>
      <c r="B57" s="43">
        <v>4.0</v>
      </c>
      <c r="C57" s="43">
        <v>50.8103325641761</v>
      </c>
      <c r="D57" s="43">
        <v>12.9545512817273</v>
      </c>
      <c r="E57" s="43" t="s">
        <v>103</v>
      </c>
      <c r="F57" s="44" t="s">
        <v>1176</v>
      </c>
      <c r="G57" s="52" t="s">
        <v>1177</v>
      </c>
      <c r="H57" s="46"/>
      <c r="I57" s="11" t="b">
        <v>1</v>
      </c>
      <c r="J57" s="47" t="str">
        <f t="shared" si="3"/>
        <v/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IFERROR(__xludf.DUMMYFUNCTION("""COMPUTED_VALUE"""),"BrotherWilliam")</f>
        <v>BrotherWilliam</v>
      </c>
      <c r="R57" s="49">
        <f>IFERROR(__xludf.DUMMYFUNCTION("""COMPUTED_VALUE"""),4277.0)</f>
        <v>4277</v>
      </c>
      <c r="S57" s="49"/>
    </row>
    <row r="58">
      <c r="A58" s="43">
        <v>8.0</v>
      </c>
      <c r="B58" s="43">
        <v>5.0</v>
      </c>
      <c r="C58" s="43">
        <v>50.8103325639549</v>
      </c>
      <c r="D58" s="43">
        <v>12.9547787430733</v>
      </c>
      <c r="E58" s="43" t="s">
        <v>103</v>
      </c>
      <c r="F58" s="44" t="s">
        <v>112</v>
      </c>
      <c r="G58" s="52" t="s">
        <v>1178</v>
      </c>
      <c r="H58" s="46"/>
      <c r="I58" s="11" t="b">
        <v>1</v>
      </c>
      <c r="J58" s="47" t="str">
        <f t="shared" si="3"/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IFERROR(__xludf.DUMMYFUNCTION("""COMPUTED_VALUE"""),"ArtofEco")</f>
        <v>ArtofEco</v>
      </c>
      <c r="R58" s="49">
        <f>IFERROR(__xludf.DUMMYFUNCTION("""COMPUTED_VALUE"""),3081.0)</f>
        <v>3081</v>
      </c>
      <c r="S58" s="49"/>
    </row>
    <row r="59">
      <c r="A59" s="43">
        <v>8.0</v>
      </c>
      <c r="B59" s="43">
        <v>6.0</v>
      </c>
      <c r="C59" s="43">
        <v>50.8103325637338</v>
      </c>
      <c r="D59" s="43">
        <v>12.9550062044193</v>
      </c>
      <c r="E59" s="43" t="s">
        <v>98</v>
      </c>
      <c r="F59" s="44" t="s">
        <v>140</v>
      </c>
      <c r="G59" s="45" t="s">
        <v>1179</v>
      </c>
      <c r="H59" s="46"/>
      <c r="I59" s="11" t="b">
        <v>1</v>
      </c>
      <c r="J59" s="47" t="str">
        <f t="shared" si="3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IFERROR(__xludf.DUMMYFUNCTION("""COMPUTED_VALUE"""),"Fossillady")</f>
        <v>Fossillady</v>
      </c>
      <c r="R59" s="49">
        <f>IFERROR(__xludf.DUMMYFUNCTION("""COMPUTED_VALUE"""),3478.0)</f>
        <v>3478</v>
      </c>
      <c r="S59" s="49"/>
    </row>
    <row r="61" hidden="1">
      <c r="F61" s="47">
        <f t="shared" ref="F61:G61" si="4">COUNTIF(F8:F59,"")</f>
        <v>0</v>
      </c>
      <c r="G61" s="47">
        <f t="shared" si="4"/>
        <v>0</v>
      </c>
      <c r="I61" s="47">
        <f>COUNTIF(I8:I59,TRUE)</f>
        <v>52</v>
      </c>
    </row>
    <row r="62" hidden="1"/>
    <row r="70" ht="51.75" customHeight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63"/>
    <col customWidth="1" min="2" max="2" width="9.63"/>
    <col customWidth="1" min="3" max="3" width="13.63"/>
    <col customWidth="1" min="4" max="4" width="14.0"/>
    <col customWidth="1" min="5" max="5" width="17.0"/>
    <col customWidth="1" min="6" max="6" width="14.75"/>
    <col customWidth="1" min="7" max="7" width="38.25"/>
    <col customWidth="1" min="8" max="8" width="16.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20</v>
      </c>
      <c r="B1" s="37" t="s">
        <v>49</v>
      </c>
      <c r="D1" s="37"/>
      <c r="E1" s="2" t="s">
        <v>79</v>
      </c>
      <c r="F1" s="11" t="s">
        <v>182</v>
      </c>
      <c r="G1" s="65" t="s">
        <v>1180</v>
      </c>
      <c r="H1" s="97" t="s">
        <v>769</v>
      </c>
      <c r="I1" s="2"/>
      <c r="J1" s="100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1181</v>
      </c>
      <c r="I2" s="2"/>
      <c r="J2" s="100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100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100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102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  <c r="J6" s="83"/>
    </row>
    <row r="7">
      <c r="A7" s="130" t="s">
        <v>85</v>
      </c>
      <c r="B7" s="130" t="s">
        <v>86</v>
      </c>
      <c r="C7" s="130" t="s">
        <v>87</v>
      </c>
      <c r="D7" s="130" t="s">
        <v>88</v>
      </c>
      <c r="E7" s="130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03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33.2087897565325</v>
      </c>
      <c r="D8" s="43">
        <v>-116.341278584711</v>
      </c>
      <c r="E8" s="43" t="s">
        <v>98</v>
      </c>
      <c r="F8" s="44" t="s">
        <v>1092</v>
      </c>
      <c r="G8" s="45" t="s">
        <v>1182</v>
      </c>
      <c r="H8" s="46"/>
      <c r="I8" s="11" t="b">
        <v>1</v>
      </c>
      <c r="J8" s="83" t="str">
        <f t="shared" ref="J8:J14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IFERROR(__xludf.DUMMYFUNCTION("""COMPUTED_VALUE"""),3147.0)</f>
        <v>3147</v>
      </c>
      <c r="S8" s="51">
        <v>44200.887168113426</v>
      </c>
    </row>
    <row r="9">
      <c r="A9" s="43">
        <v>1.0</v>
      </c>
      <c r="B9" s="43">
        <v>4.0</v>
      </c>
      <c r="C9" s="43">
        <v>33.2087897564145</v>
      </c>
      <c r="D9" s="43">
        <v>-116.341106798134</v>
      </c>
      <c r="E9" s="43" t="s">
        <v>98</v>
      </c>
      <c r="F9" s="44" t="s">
        <v>101</v>
      </c>
      <c r="G9" s="45" t="s">
        <v>1183</v>
      </c>
      <c r="H9" s="46"/>
      <c r="I9" s="11" t="b">
        <v>1</v>
      </c>
      <c r="J9" s="83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IFERROR(__xludf.DUMMYFUNCTION("""COMPUTED_VALUE"""),5176.0)</f>
        <v>5176</v>
      </c>
      <c r="S9" s="51">
        <v>44200.88722309028</v>
      </c>
    </row>
    <row r="10">
      <c r="A10" s="43">
        <v>1.0</v>
      </c>
      <c r="B10" s="43">
        <v>5.0</v>
      </c>
      <c r="C10" s="43">
        <v>33.2087897562965</v>
      </c>
      <c r="D10" s="43">
        <v>-116.340935011557</v>
      </c>
      <c r="E10" s="43" t="s">
        <v>103</v>
      </c>
      <c r="F10" s="44" t="s">
        <v>1119</v>
      </c>
      <c r="G10" s="45" t="s">
        <v>1184</v>
      </c>
      <c r="H10" s="46"/>
      <c r="I10" s="11" t="b">
        <v>1</v>
      </c>
      <c r="J10" s="83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IFERROR(__xludf.DUMMYFUNCTION("""COMPUTED_VALUE"""),2993.0)</f>
        <v>2993</v>
      </c>
      <c r="S10" s="51">
        <v>44200.887249120366</v>
      </c>
    </row>
    <row r="11">
      <c r="A11" s="43">
        <v>1.0</v>
      </c>
      <c r="B11" s="43">
        <v>6.0</v>
      </c>
      <c r="C11" s="43">
        <v>33.2087897561785</v>
      </c>
      <c r="D11" s="43">
        <v>-116.340763224979</v>
      </c>
      <c r="E11" s="43" t="s">
        <v>103</v>
      </c>
      <c r="F11" s="44" t="s">
        <v>217</v>
      </c>
      <c r="G11" s="45" t="s">
        <v>1185</v>
      </c>
      <c r="H11" s="46"/>
      <c r="I11" s="11" t="b">
        <v>1</v>
      </c>
      <c r="J11" s="83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IFERROR(__xludf.DUMMYFUNCTION("""COMPUTED_VALUE"""),3528.0)</f>
        <v>3528</v>
      </c>
      <c r="S11" s="51">
        <v>44200.88728517361</v>
      </c>
    </row>
    <row r="12">
      <c r="A12" s="43">
        <v>2.0</v>
      </c>
      <c r="B12" s="43">
        <v>2.0</v>
      </c>
      <c r="C12" s="43">
        <v>33.208646026205</v>
      </c>
      <c r="D12" s="43">
        <v>-116.341450378905</v>
      </c>
      <c r="E12" s="43" t="s">
        <v>98</v>
      </c>
      <c r="F12" s="44" t="s">
        <v>110</v>
      </c>
      <c r="G12" s="45" t="s">
        <v>1186</v>
      </c>
      <c r="H12" s="44"/>
      <c r="I12" s="11" t="b">
        <v>1</v>
      </c>
      <c r="J12" s="83" t="str">
        <f t="shared" si="1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IFERROR(__xludf.DUMMYFUNCTION("""COMPUTED_VALUE"""),4292.0)</f>
        <v>4292</v>
      </c>
      <c r="S12" s="49"/>
    </row>
    <row r="13">
      <c r="A13" s="43">
        <v>2.0</v>
      </c>
      <c r="B13" s="43">
        <v>3.0</v>
      </c>
      <c r="C13" s="43">
        <v>33.208646026087</v>
      </c>
      <c r="D13" s="43">
        <v>-116.34127859261</v>
      </c>
      <c r="E13" s="43" t="s">
        <v>98</v>
      </c>
      <c r="F13" s="44" t="s">
        <v>112</v>
      </c>
      <c r="G13" s="52" t="s">
        <v>1187</v>
      </c>
      <c r="H13" s="46"/>
      <c r="I13" s="11" t="b">
        <v>1</v>
      </c>
      <c r="J13" s="83" t="str">
        <f t="shared" si="1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IFERROR(__xludf.DUMMYFUNCTION("""COMPUTED_VALUE"""),3118.0)</f>
        <v>3118</v>
      </c>
      <c r="S13" s="49"/>
    </row>
    <row r="14">
      <c r="A14" s="43">
        <v>2.0</v>
      </c>
      <c r="B14" s="43">
        <v>4.0</v>
      </c>
      <c r="C14" s="43">
        <v>33.208646025969</v>
      </c>
      <c r="D14" s="43">
        <v>-116.341106806315</v>
      </c>
      <c r="E14" s="43" t="s">
        <v>98</v>
      </c>
      <c r="F14" s="62" t="s">
        <v>114</v>
      </c>
      <c r="G14" s="52" t="s">
        <v>1188</v>
      </c>
      <c r="H14" s="46"/>
      <c r="I14" s="11" t="b">
        <v>1</v>
      </c>
      <c r="J14" s="83" t="str">
        <f t="shared" si="1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IFERROR(__xludf.DUMMYFUNCTION("""COMPUTED_VALUE"""),12030.0)</f>
        <v>12030</v>
      </c>
      <c r="S14" s="49"/>
    </row>
    <row r="15">
      <c r="A15" s="43">
        <v>2.0</v>
      </c>
      <c r="B15" s="43">
        <v>5.0</v>
      </c>
      <c r="C15" s="43">
        <v>33.208646025851</v>
      </c>
      <c r="D15" s="43">
        <v>-116.340935020019</v>
      </c>
      <c r="E15" s="43" t="s">
        <v>103</v>
      </c>
      <c r="F15" s="44" t="s">
        <v>116</v>
      </c>
      <c r="G15" s="45" t="s">
        <v>1189</v>
      </c>
      <c r="H15" s="44"/>
      <c r="I15" s="11" t="b">
        <v>1</v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IFERROR(__xludf.DUMMYFUNCTION("""COMPUTED_VALUE"""),4980.0)</f>
        <v>4980</v>
      </c>
      <c r="S15" s="51">
        <v>44255.62578552084</v>
      </c>
    </row>
    <row r="16">
      <c r="A16" s="43">
        <v>2.0</v>
      </c>
      <c r="B16" s="43">
        <v>6.0</v>
      </c>
      <c r="C16" s="43">
        <v>33.208646025733</v>
      </c>
      <c r="D16" s="43">
        <v>-116.340763233724</v>
      </c>
      <c r="E16" s="43" t="s">
        <v>98</v>
      </c>
      <c r="F16" s="44" t="s">
        <v>207</v>
      </c>
      <c r="G16" s="52" t="s">
        <v>1190</v>
      </c>
      <c r="H16" s="46"/>
      <c r="I16" s="11" t="b">
        <v>1</v>
      </c>
      <c r="J16" s="83" t="str">
        <f t="shared" ref="J16:J54" si="3">if(I16=true,"",S16)</f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IFERROR(__xludf.DUMMYFUNCTION("""COMPUTED_VALUE"""),"5Star")</f>
        <v>5Star</v>
      </c>
      <c r="R16" s="49">
        <f>IFERROR(__xludf.DUMMYFUNCTION("""COMPUTED_VALUE"""),6176.0)</f>
        <v>6176</v>
      </c>
      <c r="S16" s="51">
        <v>44200.888473831015</v>
      </c>
    </row>
    <row r="17">
      <c r="A17" s="43">
        <v>2.0</v>
      </c>
      <c r="B17" s="43">
        <v>7.0</v>
      </c>
      <c r="C17" s="43">
        <v>33.208646025615</v>
      </c>
      <c r="D17" s="43">
        <v>-116.340591447428</v>
      </c>
      <c r="E17" s="43" t="s">
        <v>98</v>
      </c>
      <c r="F17" s="61" t="s">
        <v>169</v>
      </c>
      <c r="G17" s="52" t="s">
        <v>1191</v>
      </c>
      <c r="H17" s="46"/>
      <c r="I17" s="11" t="b">
        <v>1</v>
      </c>
      <c r="J17" s="83" t="str">
        <f t="shared" si="3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IFERROR(__xludf.DUMMYFUNCTION("""COMPUTED_VALUE"""),"Pinkeltje")</f>
        <v>Pinkeltje</v>
      </c>
      <c r="R17" s="49">
        <f>IFERROR(__xludf.DUMMYFUNCTION("""COMPUTED_VALUE"""),1758.0)</f>
        <v>1758</v>
      </c>
      <c r="S17" s="49"/>
    </row>
    <row r="18">
      <c r="A18" s="43">
        <v>3.0</v>
      </c>
      <c r="B18" s="43">
        <v>1.0</v>
      </c>
      <c r="C18" s="43">
        <v>33.2085022958776</v>
      </c>
      <c r="D18" s="43">
        <v>-116.341622172535</v>
      </c>
      <c r="E18" s="43" t="s">
        <v>98</v>
      </c>
      <c r="F18" s="44" t="s">
        <v>1122</v>
      </c>
      <c r="G18" s="45" t="s">
        <v>1192</v>
      </c>
      <c r="H18" s="46"/>
      <c r="I18" s="11" t="b">
        <v>1</v>
      </c>
      <c r="J18" s="83" t="str">
        <f t="shared" si="3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IFERROR(__xludf.DUMMYFUNCTION("""COMPUTED_VALUE"""),"Drazoria")</f>
        <v>Drazoria</v>
      </c>
      <c r="R18" s="49">
        <f>IFERROR(__xludf.DUMMYFUNCTION("""COMPUTED_VALUE"""),1015.0)</f>
        <v>1015</v>
      </c>
      <c r="S18" s="51">
        <v>44201.011166076394</v>
      </c>
    </row>
    <row r="19">
      <c r="A19" s="43">
        <v>3.0</v>
      </c>
      <c r="B19" s="43">
        <v>2.0</v>
      </c>
      <c r="C19" s="43">
        <v>33.2085022957596</v>
      </c>
      <c r="D19" s="43">
        <v>-116.341450386522</v>
      </c>
      <c r="E19" s="43" t="s">
        <v>98</v>
      </c>
      <c r="F19" s="44" t="s">
        <v>1124</v>
      </c>
      <c r="G19" s="45" t="s">
        <v>1193</v>
      </c>
      <c r="H19" s="46"/>
      <c r="I19" s="11" t="b">
        <v>1</v>
      </c>
      <c r="J19" s="83" t="str">
        <f t="shared" si="3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IFERROR(__xludf.DUMMYFUNCTION("""COMPUTED_VALUE"""),"Tinake1309")</f>
        <v>Tinake1309</v>
      </c>
      <c r="R19" s="49">
        <f>IFERROR(__xludf.DUMMYFUNCTION("""COMPUTED_VALUE"""),992.0)</f>
        <v>992</v>
      </c>
      <c r="S19" s="51">
        <v>44201.01122373843</v>
      </c>
    </row>
    <row r="20">
      <c r="A20" s="43">
        <v>3.0</v>
      </c>
      <c r="B20" s="43">
        <v>3.0</v>
      </c>
      <c r="C20" s="43">
        <v>33.2085022956416</v>
      </c>
      <c r="D20" s="43">
        <v>-116.341278600508</v>
      </c>
      <c r="E20" s="43" t="s">
        <v>98</v>
      </c>
      <c r="F20" s="44" t="s">
        <v>1128</v>
      </c>
      <c r="G20" s="45" t="s">
        <v>1194</v>
      </c>
      <c r="H20" s="46"/>
      <c r="I20" s="11" t="b">
        <v>1</v>
      </c>
      <c r="J20" s="83" t="str">
        <f t="shared" si="3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IFERROR(__xludf.DUMMYFUNCTION("""COMPUTED_VALUE"""),"Berg14")</f>
        <v>Berg14</v>
      </c>
      <c r="R20" s="49">
        <f>IFERROR(__xludf.DUMMYFUNCTION("""COMPUTED_VALUE"""),759.0)</f>
        <v>759</v>
      </c>
      <c r="S20" s="51">
        <v>44201.011257465274</v>
      </c>
    </row>
    <row r="21">
      <c r="A21" s="43">
        <v>3.0</v>
      </c>
      <c r="B21" s="43">
        <v>4.0</v>
      </c>
      <c r="C21" s="43">
        <v>33.2085022955236</v>
      </c>
      <c r="D21" s="43">
        <v>-116.341106814495</v>
      </c>
      <c r="E21" s="43" t="s">
        <v>98</v>
      </c>
      <c r="F21" s="44" t="s">
        <v>1126</v>
      </c>
      <c r="G21" s="45" t="s">
        <v>1195</v>
      </c>
      <c r="H21" s="46"/>
      <c r="I21" s="11" t="b">
        <v>1</v>
      </c>
      <c r="J21" s="83" t="str">
        <f t="shared" si="3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IFERROR(__xludf.DUMMYFUNCTION("""COMPUTED_VALUE"""),"Niks13")</f>
        <v>Niks13</v>
      </c>
      <c r="R21" s="49">
        <f>IFERROR(__xludf.DUMMYFUNCTION("""COMPUTED_VALUE"""),776.0)</f>
        <v>776</v>
      </c>
      <c r="S21" s="51">
        <v>44201.01129177083</v>
      </c>
    </row>
    <row r="22">
      <c r="A22" s="43">
        <v>3.0</v>
      </c>
      <c r="B22" s="43">
        <v>5.0</v>
      </c>
      <c r="C22" s="43">
        <v>33.2085022954056</v>
      </c>
      <c r="D22" s="43">
        <v>-116.340935028482</v>
      </c>
      <c r="E22" s="43" t="s">
        <v>98</v>
      </c>
      <c r="F22" s="44" t="s">
        <v>182</v>
      </c>
      <c r="G22" s="45" t="s">
        <v>1196</v>
      </c>
      <c r="H22" s="46"/>
      <c r="I22" s="11" t="b">
        <v>1</v>
      </c>
      <c r="J22" s="83" t="str">
        <f t="shared" si="3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IFERROR(__xludf.DUMMYFUNCTION("""COMPUTED_VALUE"""),"TheFatCats")</f>
        <v>TheFatCats</v>
      </c>
      <c r="R22" s="49">
        <f>IFERROR(__xludf.DUMMYFUNCTION("""COMPUTED_VALUE"""),4516.0)</f>
        <v>4516</v>
      </c>
      <c r="S22" s="49"/>
    </row>
    <row r="23">
      <c r="A23" s="43">
        <v>3.0</v>
      </c>
      <c r="B23" s="43">
        <v>6.0</v>
      </c>
      <c r="C23" s="43">
        <v>33.2085022952875</v>
      </c>
      <c r="D23" s="43">
        <v>-116.340763242469</v>
      </c>
      <c r="E23" s="43" t="s">
        <v>98</v>
      </c>
      <c r="F23" s="44" t="s">
        <v>1197</v>
      </c>
      <c r="G23" s="45" t="s">
        <v>1198</v>
      </c>
      <c r="H23" s="46"/>
      <c r="I23" s="11" t="b">
        <v>1</v>
      </c>
      <c r="J23" s="83" t="str">
        <f t="shared" si="3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IFERROR(__xludf.DUMMYFUNCTION("""COMPUTED_VALUE"""),"KublaKhan")</f>
        <v>KublaKhan</v>
      </c>
      <c r="R23" s="49">
        <f>IFERROR(__xludf.DUMMYFUNCTION("""COMPUTED_VALUE"""),775.0)</f>
        <v>775</v>
      </c>
      <c r="S23" s="49"/>
    </row>
    <row r="24">
      <c r="A24" s="43">
        <v>3.0</v>
      </c>
      <c r="B24" s="43">
        <v>7.0</v>
      </c>
      <c r="C24" s="43">
        <v>33.2085022951695</v>
      </c>
      <c r="D24" s="43">
        <v>-116.340591456455</v>
      </c>
      <c r="E24" s="43" t="s">
        <v>98</v>
      </c>
      <c r="F24" s="44" t="s">
        <v>136</v>
      </c>
      <c r="G24" s="45" t="s">
        <v>1199</v>
      </c>
      <c r="H24" s="46"/>
      <c r="I24" s="11" t="b">
        <v>1</v>
      </c>
      <c r="J24" s="83" t="str">
        <f t="shared" si="3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IFERROR(__xludf.DUMMYFUNCTION("""COMPUTED_VALUE"""),"OdinsFiRe")</f>
        <v>OdinsFiRe</v>
      </c>
      <c r="R24" s="49">
        <f>IFERROR(__xludf.DUMMYFUNCTION("""COMPUTED_VALUE"""),1978.0)</f>
        <v>1978</v>
      </c>
      <c r="S24" s="49"/>
    </row>
    <row r="25">
      <c r="A25" s="43">
        <v>3.0</v>
      </c>
      <c r="B25" s="43">
        <v>8.0</v>
      </c>
      <c r="C25" s="43">
        <v>33.2085022950515</v>
      </c>
      <c r="D25" s="43">
        <v>-116.340419670442</v>
      </c>
      <c r="E25" s="43" t="s">
        <v>98</v>
      </c>
      <c r="F25" s="44" t="s">
        <v>182</v>
      </c>
      <c r="G25" s="45" t="s">
        <v>1200</v>
      </c>
      <c r="H25" s="46"/>
      <c r="I25" s="11" t="b">
        <v>1</v>
      </c>
      <c r="J25" s="83" t="str">
        <f t="shared" si="3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IFERROR(__xludf.DUMMYFUNCTION("""COMPUTED_VALUE"""),"TheFatCats")</f>
        <v>TheFatCats</v>
      </c>
      <c r="R25" s="49">
        <f>IFERROR(__xludf.DUMMYFUNCTION("""COMPUTED_VALUE"""),4519.0)</f>
        <v>4519</v>
      </c>
      <c r="S25" s="49"/>
    </row>
    <row r="26">
      <c r="A26" s="43">
        <v>4.0</v>
      </c>
      <c r="B26" s="43">
        <v>1.0</v>
      </c>
      <c r="C26" s="43">
        <v>33.2083585654322</v>
      </c>
      <c r="D26" s="43">
        <v>-116.34162217987</v>
      </c>
      <c r="E26" s="43" t="s">
        <v>98</v>
      </c>
      <c r="F26" s="44" t="s">
        <v>1201</v>
      </c>
      <c r="G26" s="45" t="s">
        <v>1202</v>
      </c>
      <c r="H26" s="46"/>
      <c r="I26" s="11" t="b">
        <v>1</v>
      </c>
      <c r="J26" s="83" t="str">
        <f t="shared" si="3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IFERROR(__xludf.DUMMYFUNCTION("""COMPUTED_VALUE"""),"MurphyLM")</f>
        <v>MurphyLM</v>
      </c>
      <c r="R26" s="49">
        <f>IFERROR(__xludf.DUMMYFUNCTION("""COMPUTED_VALUE"""),173.0)</f>
        <v>173</v>
      </c>
      <c r="S26" s="51">
        <v>44200.888539583335</v>
      </c>
    </row>
    <row r="27">
      <c r="A27" s="43">
        <v>4.0</v>
      </c>
      <c r="B27" s="43">
        <v>2.0</v>
      </c>
      <c r="C27" s="43">
        <v>33.2083585653141</v>
      </c>
      <c r="D27" s="43">
        <v>-116.341450394139</v>
      </c>
      <c r="E27" s="43" t="s">
        <v>103</v>
      </c>
      <c r="F27" s="44" t="s">
        <v>120</v>
      </c>
      <c r="G27" s="45" t="s">
        <v>1203</v>
      </c>
      <c r="H27" s="46"/>
      <c r="I27" s="11" t="b">
        <v>1</v>
      </c>
      <c r="J27" s="83" t="str">
        <f t="shared" si="3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IFERROR(__xludf.DUMMYFUNCTION("""COMPUTED_VALUE"""),"xrayneex")</f>
        <v>xrayneex</v>
      </c>
      <c r="R27" s="49">
        <f>IFERROR(__xludf.DUMMYFUNCTION("""COMPUTED_VALUE"""),1830.0)</f>
        <v>1830</v>
      </c>
      <c r="S27" s="49"/>
    </row>
    <row r="28">
      <c r="A28" s="43">
        <v>4.0</v>
      </c>
      <c r="B28" s="43">
        <v>3.0</v>
      </c>
      <c r="C28" s="43">
        <v>33.2083585651961</v>
      </c>
      <c r="D28" s="43">
        <v>-116.341278608407</v>
      </c>
      <c r="E28" s="43" t="s">
        <v>98</v>
      </c>
      <c r="F28" s="44" t="s">
        <v>140</v>
      </c>
      <c r="G28" s="45" t="s">
        <v>1204</v>
      </c>
      <c r="H28" s="46"/>
      <c r="I28" s="11" t="b">
        <v>1</v>
      </c>
      <c r="J28" s="83" t="str">
        <f t="shared" si="3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IFERROR(__xludf.DUMMYFUNCTION("""COMPUTED_VALUE"""),"Fossillady")</f>
        <v>Fossillady</v>
      </c>
      <c r="R28" s="49">
        <f>IFERROR(__xludf.DUMMYFUNCTION("""COMPUTED_VALUE"""),4019.0)</f>
        <v>4019</v>
      </c>
      <c r="S28" s="49"/>
    </row>
    <row r="29">
      <c r="A29" s="43">
        <v>4.0</v>
      </c>
      <c r="B29" s="43">
        <v>4.0</v>
      </c>
      <c r="C29" s="43">
        <v>33.2083585650781</v>
      </c>
      <c r="D29" s="43">
        <v>-116.341106822676</v>
      </c>
      <c r="E29" s="43" t="s">
        <v>98</v>
      </c>
      <c r="F29" s="44" t="s">
        <v>138</v>
      </c>
      <c r="G29" s="45" t="s">
        <v>1205</v>
      </c>
      <c r="H29" s="46"/>
      <c r="I29" s="11" t="b">
        <v>1</v>
      </c>
      <c r="J29" s="83" t="str">
        <f t="shared" si="3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IFERROR(__xludf.DUMMYFUNCTION("""COMPUTED_VALUE"""),3560.0)</f>
        <v>3560</v>
      </c>
      <c r="S29" s="49"/>
    </row>
    <row r="30">
      <c r="A30" s="43">
        <v>4.0</v>
      </c>
      <c r="B30" s="43">
        <v>5.0</v>
      </c>
      <c r="C30" s="43">
        <v>33.2083585649601</v>
      </c>
      <c r="D30" s="43">
        <v>-116.340935036945</v>
      </c>
      <c r="E30" s="43" t="s">
        <v>98</v>
      </c>
      <c r="F30" s="44" t="s">
        <v>190</v>
      </c>
      <c r="G30" s="52" t="s">
        <v>1206</v>
      </c>
      <c r="H30" s="46"/>
      <c r="I30" s="11" t="b">
        <v>1</v>
      </c>
      <c r="J30" s="83" t="str">
        <f t="shared" si="3"/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IFERROR(__xludf.DUMMYFUNCTION("""COMPUTED_VALUE"""),"GroteSufferd")</f>
        <v>GroteSufferd</v>
      </c>
      <c r="R30" s="49">
        <f>IFERROR(__xludf.DUMMYFUNCTION("""COMPUTED_VALUE"""),533.0)</f>
        <v>533</v>
      </c>
      <c r="S30" s="49"/>
    </row>
    <row r="31">
      <c r="A31" s="43">
        <v>4.0</v>
      </c>
      <c r="B31" s="43">
        <v>6.0</v>
      </c>
      <c r="C31" s="43">
        <v>33.2083585648421</v>
      </c>
      <c r="D31" s="43">
        <v>-116.340763251214</v>
      </c>
      <c r="E31" s="43" t="s">
        <v>103</v>
      </c>
      <c r="F31" s="44" t="s">
        <v>178</v>
      </c>
      <c r="G31" s="45" t="s">
        <v>1207</v>
      </c>
      <c r="H31" s="46"/>
      <c r="I31" s="11" t="b">
        <v>1</v>
      </c>
      <c r="J31" s="83" t="str">
        <f t="shared" si="3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IFERROR(__xludf.DUMMYFUNCTION("""COMPUTED_VALUE"""),"lison55")</f>
        <v>lison55</v>
      </c>
      <c r="R31" s="49">
        <f>IFERROR(__xludf.DUMMYFUNCTION("""COMPUTED_VALUE"""),5903.0)</f>
        <v>5903</v>
      </c>
      <c r="S31" s="49"/>
    </row>
    <row r="32">
      <c r="A32" s="43">
        <v>4.0</v>
      </c>
      <c r="B32" s="43">
        <v>7.0</v>
      </c>
      <c r="C32" s="43">
        <v>33.2083585647241</v>
      </c>
      <c r="D32" s="43">
        <v>-116.340591465483</v>
      </c>
      <c r="E32" s="43" t="s">
        <v>98</v>
      </c>
      <c r="F32" s="44" t="s">
        <v>112</v>
      </c>
      <c r="G32" s="52" t="s">
        <v>1208</v>
      </c>
      <c r="H32" s="46"/>
      <c r="I32" s="11" t="b">
        <v>1</v>
      </c>
      <c r="J32" s="83" t="str">
        <f t="shared" si="3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IFERROR(__xludf.DUMMYFUNCTION("""COMPUTED_VALUE"""),"ArtofEco")</f>
        <v>ArtofEco</v>
      </c>
      <c r="R32" s="49">
        <f>IFERROR(__xludf.DUMMYFUNCTION("""COMPUTED_VALUE"""),3142.0)</f>
        <v>3142</v>
      </c>
      <c r="S32" s="49"/>
    </row>
    <row r="33">
      <c r="A33" s="43">
        <v>4.0</v>
      </c>
      <c r="B33" s="43">
        <v>8.0</v>
      </c>
      <c r="C33" s="43">
        <v>33.2083585646061</v>
      </c>
      <c r="D33" s="43">
        <v>-116.340419679752</v>
      </c>
      <c r="E33" s="43" t="s">
        <v>98</v>
      </c>
      <c r="F33" s="44" t="s">
        <v>110</v>
      </c>
      <c r="G33" s="52" t="s">
        <v>1209</v>
      </c>
      <c r="H33" s="46"/>
      <c r="I33" s="11" t="b">
        <v>1</v>
      </c>
      <c r="J33" s="83" t="str">
        <f t="shared" si="3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IFERROR(__xludf.DUMMYFUNCTION("""COMPUTED_VALUE"""),"BrotherWilliam")</f>
        <v>BrotherWilliam</v>
      </c>
      <c r="R33" s="49">
        <f>IFERROR(__xludf.DUMMYFUNCTION("""COMPUTED_VALUE"""),4442.0)</f>
        <v>4442</v>
      </c>
      <c r="S33" s="49"/>
    </row>
    <row r="34">
      <c r="A34" s="43">
        <v>5.0</v>
      </c>
      <c r="B34" s="43">
        <v>1.0</v>
      </c>
      <c r="C34" s="43">
        <v>33.2082148349867</v>
      </c>
      <c r="D34" s="43">
        <v>-116.341622187204</v>
      </c>
      <c r="E34" s="43" t="s">
        <v>103</v>
      </c>
      <c r="F34" s="44" t="s">
        <v>314</v>
      </c>
      <c r="G34" s="45" t="s">
        <v>1210</v>
      </c>
      <c r="H34" s="46"/>
      <c r="I34" s="11" t="b">
        <v>1</v>
      </c>
      <c r="J34" s="83" t="str">
        <f t="shared" si="3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IFERROR(__xludf.DUMMYFUNCTION("""COMPUTED_VALUE"""),"Trappertje")</f>
        <v>Trappertje</v>
      </c>
      <c r="R34" s="49">
        <f>IFERROR(__xludf.DUMMYFUNCTION("""COMPUTED_VALUE"""),5605.0)</f>
        <v>5605</v>
      </c>
      <c r="S34" s="49"/>
    </row>
    <row r="35">
      <c r="A35" s="43">
        <v>5.0</v>
      </c>
      <c r="B35" s="43">
        <v>2.0</v>
      </c>
      <c r="C35" s="43">
        <v>33.2082148348687</v>
      </c>
      <c r="D35" s="43">
        <v>-116.341450401754</v>
      </c>
      <c r="E35" s="43" t="s">
        <v>98</v>
      </c>
      <c r="F35" s="44" t="s">
        <v>141</v>
      </c>
      <c r="G35" s="52" t="s">
        <v>1211</v>
      </c>
      <c r="H35" s="46"/>
      <c r="I35" s="11" t="b">
        <v>1</v>
      </c>
      <c r="J35" s="83" t="str">
        <f t="shared" si="3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IFERROR(__xludf.DUMMYFUNCTION("""COMPUTED_VALUE"""),2670.0)</f>
        <v>2670</v>
      </c>
      <c r="S35" s="51">
        <v>44200.887568136575</v>
      </c>
    </row>
    <row r="36">
      <c r="A36" s="43">
        <v>5.0</v>
      </c>
      <c r="B36" s="43">
        <v>3.0</v>
      </c>
      <c r="C36" s="43">
        <v>33.2082148347507</v>
      </c>
      <c r="D36" s="43">
        <v>-116.341278616305</v>
      </c>
      <c r="E36" s="43" t="s">
        <v>103</v>
      </c>
      <c r="F36" s="44" t="s">
        <v>1212</v>
      </c>
      <c r="G36" s="45" t="s">
        <v>1213</v>
      </c>
      <c r="H36" s="46"/>
      <c r="I36" s="11" t="b">
        <v>1</v>
      </c>
      <c r="J36" s="83" t="str">
        <f t="shared" si="3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IFERROR(__xludf.DUMMYFUNCTION("""COMPUTED_VALUE"""),"Mallet75")</f>
        <v>Mallet75</v>
      </c>
      <c r="R36" s="49">
        <f>IFERROR(__xludf.DUMMYFUNCTION("""COMPUTED_VALUE"""),785.0)</f>
        <v>785</v>
      </c>
      <c r="S36" s="49"/>
    </row>
    <row r="37">
      <c r="A37" s="43">
        <v>5.0</v>
      </c>
      <c r="B37" s="43">
        <v>4.0</v>
      </c>
      <c r="C37" s="43">
        <v>33.2082148346327</v>
      </c>
      <c r="D37" s="43">
        <v>-116.341106830856</v>
      </c>
      <c r="E37" s="43" t="s">
        <v>98</v>
      </c>
      <c r="F37" s="44" t="s">
        <v>1214</v>
      </c>
      <c r="G37" s="45" t="s">
        <v>1215</v>
      </c>
      <c r="H37" s="46"/>
      <c r="I37" s="11" t="b">
        <v>1</v>
      </c>
      <c r="J37" s="83" t="str">
        <f t="shared" si="3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IFERROR(__xludf.DUMMYFUNCTION("""COMPUTED_VALUE"""),"habu")</f>
        <v>habu</v>
      </c>
      <c r="R37" s="49">
        <f>IFERROR(__xludf.DUMMYFUNCTION("""COMPUTED_VALUE"""),11227.0)</f>
        <v>11227</v>
      </c>
      <c r="S37" s="49"/>
    </row>
    <row r="38">
      <c r="A38" s="43">
        <v>5.0</v>
      </c>
      <c r="B38" s="43">
        <v>5.0</v>
      </c>
      <c r="C38" s="43">
        <v>33.2082148345147</v>
      </c>
      <c r="D38" s="43">
        <v>-116.340935045407</v>
      </c>
      <c r="E38" s="43" t="s">
        <v>98</v>
      </c>
      <c r="F38" s="44" t="s">
        <v>157</v>
      </c>
      <c r="G38" s="45" t="s">
        <v>1216</v>
      </c>
      <c r="H38" s="46"/>
      <c r="I38" s="11" t="b">
        <v>1</v>
      </c>
      <c r="J38" s="83" t="str">
        <f t="shared" si="3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IFERROR(__xludf.DUMMYFUNCTION("""COMPUTED_VALUE"""),"barefootguru")</f>
        <v>barefootguru</v>
      </c>
      <c r="R38" s="49">
        <f>IFERROR(__xludf.DUMMYFUNCTION("""COMPUTED_VALUE"""),3277.0)</f>
        <v>3277</v>
      </c>
      <c r="S38" s="49"/>
    </row>
    <row r="39">
      <c r="A39" s="43">
        <v>5.0</v>
      </c>
      <c r="B39" s="43">
        <v>6.0</v>
      </c>
      <c r="C39" s="43">
        <v>33.2082148343966</v>
      </c>
      <c r="D39" s="43">
        <v>-116.340763259958</v>
      </c>
      <c r="E39" s="43" t="s">
        <v>98</v>
      </c>
      <c r="F39" s="44" t="s">
        <v>1217</v>
      </c>
      <c r="G39" s="45" t="s">
        <v>1218</v>
      </c>
      <c r="H39" s="46"/>
      <c r="I39" s="11" t="b">
        <v>1</v>
      </c>
      <c r="J39" s="83" t="str">
        <f t="shared" si="3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IFERROR(__xludf.DUMMYFUNCTION("""COMPUTED_VALUE"""),"mrsg9064")</f>
        <v>mrsg9064</v>
      </c>
      <c r="R39" s="49">
        <f>IFERROR(__xludf.DUMMYFUNCTION("""COMPUTED_VALUE"""),8544.0)</f>
        <v>8544</v>
      </c>
      <c r="S39" s="49"/>
    </row>
    <row r="40">
      <c r="A40" s="43">
        <v>5.0</v>
      </c>
      <c r="B40" s="43">
        <v>7.0</v>
      </c>
      <c r="C40" s="43">
        <v>33.2082148342786</v>
      </c>
      <c r="D40" s="43">
        <v>-116.340591474509</v>
      </c>
      <c r="E40" s="43" t="s">
        <v>98</v>
      </c>
      <c r="F40" s="44" t="s">
        <v>120</v>
      </c>
      <c r="G40" s="45" t="s">
        <v>1219</v>
      </c>
      <c r="H40" s="46"/>
      <c r="I40" s="11" t="b">
        <v>1</v>
      </c>
      <c r="J40" s="83" t="str">
        <f t="shared" si="3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IFERROR(__xludf.DUMMYFUNCTION("""COMPUTED_VALUE"""),"xrayneex")</f>
        <v>xrayneex</v>
      </c>
      <c r="R40" s="49">
        <f>IFERROR(__xludf.DUMMYFUNCTION("""COMPUTED_VALUE"""),1851.0)</f>
        <v>1851</v>
      </c>
      <c r="S40" s="49"/>
    </row>
    <row r="41">
      <c r="A41" s="43">
        <v>5.0</v>
      </c>
      <c r="B41" s="43">
        <v>8.0</v>
      </c>
      <c r="C41" s="43">
        <v>33.2082148341606</v>
      </c>
      <c r="D41" s="43">
        <v>-116.34041968906</v>
      </c>
      <c r="E41" s="43" t="s">
        <v>98</v>
      </c>
      <c r="F41" s="44" t="s">
        <v>1220</v>
      </c>
      <c r="G41" s="52" t="s">
        <v>1221</v>
      </c>
      <c r="H41" s="46"/>
      <c r="I41" s="11" t="b">
        <v>1</v>
      </c>
      <c r="J41" s="83" t="str">
        <f t="shared" si="3"/>
        <v/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IFERROR(__xludf.DUMMYFUNCTION("""COMPUTED_VALUE"""),"Mcpo")</f>
        <v>Mcpo</v>
      </c>
      <c r="R41" s="49">
        <f>IFERROR(__xludf.DUMMYFUNCTION("""COMPUTED_VALUE"""),166.0)</f>
        <v>166</v>
      </c>
      <c r="S41" s="49"/>
    </row>
    <row r="42">
      <c r="A42" s="43">
        <v>6.0</v>
      </c>
      <c r="B42" s="43">
        <v>1.0</v>
      </c>
      <c r="C42" s="43">
        <v>33.2080711045413</v>
      </c>
      <c r="D42" s="43">
        <v>-116.341622194537</v>
      </c>
      <c r="E42" s="43" t="s">
        <v>98</v>
      </c>
      <c r="F42" s="44" t="s">
        <v>149</v>
      </c>
      <c r="G42" s="45" t="s">
        <v>1222</v>
      </c>
      <c r="H42" s="46"/>
      <c r="I42" s="11" t="b">
        <v>1</v>
      </c>
      <c r="J42" s="83" t="str">
        <f t="shared" si="3"/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IFERROR(__xludf.DUMMYFUNCTION("""COMPUTED_VALUE"""),4811.0)</f>
        <v>4811</v>
      </c>
      <c r="S42" s="49"/>
    </row>
    <row r="43">
      <c r="A43" s="43">
        <v>6.0</v>
      </c>
      <c r="B43" s="43">
        <v>2.0</v>
      </c>
      <c r="C43" s="43">
        <v>33.2080711044232</v>
      </c>
      <c r="D43" s="43">
        <v>-116.34145040937</v>
      </c>
      <c r="E43" s="43" t="s">
        <v>98</v>
      </c>
      <c r="F43" s="44" t="s">
        <v>182</v>
      </c>
      <c r="G43" s="45" t="s">
        <v>1223</v>
      </c>
      <c r="H43" s="46"/>
      <c r="I43" s="11" t="b">
        <v>1</v>
      </c>
      <c r="J43" s="83" t="str">
        <f t="shared" si="3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IFERROR(__xludf.DUMMYFUNCTION("""COMPUTED_VALUE"""),"TheFatCats")</f>
        <v>TheFatCats</v>
      </c>
      <c r="R43" s="49">
        <f>IFERROR(__xludf.DUMMYFUNCTION("""COMPUTED_VALUE"""),4525.0)</f>
        <v>4525</v>
      </c>
      <c r="S43" s="49"/>
    </row>
    <row r="44">
      <c r="A44" s="43">
        <v>6.0</v>
      </c>
      <c r="B44" s="43">
        <v>3.0</v>
      </c>
      <c r="C44" s="43">
        <v>33.2080711043052</v>
      </c>
      <c r="D44" s="43">
        <v>-116.341278624203</v>
      </c>
      <c r="E44" s="43" t="s">
        <v>103</v>
      </c>
      <c r="F44" s="44" t="s">
        <v>1197</v>
      </c>
      <c r="G44" s="45" t="s">
        <v>1224</v>
      </c>
      <c r="H44" s="46"/>
      <c r="I44" s="11" t="b">
        <v>1</v>
      </c>
      <c r="J44" s="83" t="str">
        <f t="shared" si="3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IFERROR(__xludf.DUMMYFUNCTION("""COMPUTED_VALUE"""),"KublaKhan")</f>
        <v>KublaKhan</v>
      </c>
      <c r="R44" s="49">
        <f>IFERROR(__xludf.DUMMYFUNCTION("""COMPUTED_VALUE"""),778.0)</f>
        <v>778</v>
      </c>
      <c r="S44" s="49"/>
    </row>
    <row r="45">
      <c r="A45" s="43">
        <v>6.0</v>
      </c>
      <c r="B45" s="43">
        <v>4.0</v>
      </c>
      <c r="C45" s="43">
        <v>33.2080711041872</v>
      </c>
      <c r="D45" s="43">
        <v>-116.341106839036</v>
      </c>
      <c r="E45" s="43" t="s">
        <v>98</v>
      </c>
      <c r="F45" s="44" t="s">
        <v>116</v>
      </c>
      <c r="G45" s="45" t="s">
        <v>1225</v>
      </c>
      <c r="H45" s="46"/>
      <c r="I45" s="11" t="b">
        <v>1</v>
      </c>
      <c r="J45" s="83" t="str">
        <f t="shared" si="3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IFERROR(__xludf.DUMMYFUNCTION("""COMPUTED_VALUE"""),"fsafranek")</f>
        <v>fsafranek</v>
      </c>
      <c r="R45" s="49">
        <f>IFERROR(__xludf.DUMMYFUNCTION("""COMPUTED_VALUE"""),5167.0)</f>
        <v>5167</v>
      </c>
      <c r="S45" s="49"/>
    </row>
    <row r="46">
      <c r="A46" s="43">
        <v>6.0</v>
      </c>
      <c r="B46" s="43">
        <v>5.0</v>
      </c>
      <c r="C46" s="43">
        <v>33.2080711040692</v>
      </c>
      <c r="D46" s="43">
        <v>-116.340935053869</v>
      </c>
      <c r="E46" s="43" t="s">
        <v>98</v>
      </c>
      <c r="F46" s="44" t="s">
        <v>182</v>
      </c>
      <c r="G46" s="45" t="s">
        <v>1226</v>
      </c>
      <c r="H46" s="46"/>
      <c r="I46" s="11" t="b">
        <v>1</v>
      </c>
      <c r="J46" s="83" t="str">
        <f t="shared" si="3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IFERROR(__xludf.DUMMYFUNCTION("""COMPUTED_VALUE"""),"TheFatCats")</f>
        <v>TheFatCats</v>
      </c>
      <c r="R46" s="49">
        <f>IFERROR(__xludf.DUMMYFUNCTION("""COMPUTED_VALUE"""),4564.0)</f>
        <v>4564</v>
      </c>
      <c r="S46" s="49"/>
    </row>
    <row r="47">
      <c r="A47" s="43">
        <v>6.0</v>
      </c>
      <c r="B47" s="43">
        <v>6.0</v>
      </c>
      <c r="C47" s="43">
        <v>33.2080711039512</v>
      </c>
      <c r="D47" s="43">
        <v>-116.340763268702</v>
      </c>
      <c r="E47" s="43" t="s">
        <v>103</v>
      </c>
      <c r="F47" s="44" t="s">
        <v>1197</v>
      </c>
      <c r="G47" s="45" t="s">
        <v>1227</v>
      </c>
      <c r="H47" s="46"/>
      <c r="I47" s="11" t="b">
        <v>1</v>
      </c>
      <c r="J47" s="83" t="str">
        <f t="shared" si="3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IFERROR(__xludf.DUMMYFUNCTION("""COMPUTED_VALUE"""),"KublaKhan")</f>
        <v>KublaKhan</v>
      </c>
      <c r="R47" s="49">
        <f>IFERROR(__xludf.DUMMYFUNCTION("""COMPUTED_VALUE"""),782.0)</f>
        <v>782</v>
      </c>
      <c r="S47" s="49"/>
    </row>
    <row r="48">
      <c r="A48" s="43">
        <v>6.0</v>
      </c>
      <c r="B48" s="43">
        <v>7.0</v>
      </c>
      <c r="C48" s="43">
        <v>33.2080711038332</v>
      </c>
      <c r="D48" s="43">
        <v>-116.340591483535</v>
      </c>
      <c r="E48" s="43" t="s">
        <v>98</v>
      </c>
      <c r="F48" s="44" t="s">
        <v>145</v>
      </c>
      <c r="G48" s="45" t="s">
        <v>1228</v>
      </c>
      <c r="H48" s="46"/>
      <c r="I48" s="11" t="b">
        <v>1</v>
      </c>
      <c r="J48" s="83" t="str">
        <f t="shared" si="3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IFERROR(__xludf.DUMMYFUNCTION("""COMPUTED_VALUE"""),4758.0)</f>
        <v>4758</v>
      </c>
      <c r="S48" s="51">
        <v>44200.887726064815</v>
      </c>
    </row>
    <row r="49">
      <c r="A49" s="43">
        <v>6.0</v>
      </c>
      <c r="B49" s="43">
        <v>8.0</v>
      </c>
      <c r="C49" s="43">
        <v>33.2080711037152</v>
      </c>
      <c r="D49" s="43">
        <v>-116.340419698368</v>
      </c>
      <c r="E49" s="43" t="s">
        <v>98</v>
      </c>
      <c r="F49" s="44" t="s">
        <v>147</v>
      </c>
      <c r="G49" s="45" t="s">
        <v>1229</v>
      </c>
      <c r="H49" s="46"/>
      <c r="I49" s="11" t="b">
        <v>1</v>
      </c>
      <c r="J49" s="83" t="str">
        <f t="shared" si="3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IFERROR(__xludf.DUMMYFUNCTION("""COMPUTED_VALUE"""),8621.0)</f>
        <v>8621</v>
      </c>
      <c r="S49" s="51">
        <v>44200.88867773148</v>
      </c>
    </row>
    <row r="50">
      <c r="A50" s="43">
        <v>7.0</v>
      </c>
      <c r="B50" s="43">
        <v>2.0</v>
      </c>
      <c r="C50" s="43">
        <v>33.2079273739778</v>
      </c>
      <c r="D50" s="43">
        <v>-116.341450416987</v>
      </c>
      <c r="E50" s="43" t="s">
        <v>103</v>
      </c>
      <c r="F50" s="44" t="s">
        <v>1230</v>
      </c>
      <c r="G50" s="45" t="s">
        <v>1231</v>
      </c>
      <c r="H50" s="46"/>
      <c r="I50" s="11" t="b">
        <v>1</v>
      </c>
      <c r="J50" s="83" t="str">
        <f t="shared" si="3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IFERROR(__xludf.DUMMYFUNCTION("""COMPUTED_VALUE"""),"FlatBlack")</f>
        <v>FlatBlack</v>
      </c>
      <c r="R50" s="49">
        <f>IFERROR(__xludf.DUMMYFUNCTION("""COMPUTED_VALUE"""),696.0)</f>
        <v>696</v>
      </c>
      <c r="S50" s="49"/>
    </row>
    <row r="51">
      <c r="A51" s="43">
        <v>7.0</v>
      </c>
      <c r="B51" s="43">
        <v>3.0</v>
      </c>
      <c r="C51" s="43">
        <v>33.2079273738598</v>
      </c>
      <c r="D51" s="43">
        <v>-116.341278632102</v>
      </c>
      <c r="E51" s="43" t="s">
        <v>98</v>
      </c>
      <c r="F51" s="44" t="s">
        <v>140</v>
      </c>
      <c r="G51" s="45" t="s">
        <v>1232</v>
      </c>
      <c r="H51" s="46"/>
      <c r="I51" s="11" t="b">
        <v>1</v>
      </c>
      <c r="J51" s="83" t="str">
        <f t="shared" si="3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IFERROR(__xludf.DUMMYFUNCTION("""COMPUTED_VALUE"""),"Fossillady")</f>
        <v>Fossillady</v>
      </c>
      <c r="R51" s="49">
        <f>IFERROR(__xludf.DUMMYFUNCTION("""COMPUTED_VALUE"""),3524.0)</f>
        <v>3524</v>
      </c>
      <c r="S51" s="49"/>
    </row>
    <row r="52">
      <c r="A52" s="43">
        <v>7.0</v>
      </c>
      <c r="B52" s="43">
        <v>4.0</v>
      </c>
      <c r="C52" s="43">
        <v>33.2079273737418</v>
      </c>
      <c r="D52" s="43">
        <v>-116.341106847217</v>
      </c>
      <c r="E52" s="43" t="s">
        <v>98</v>
      </c>
      <c r="F52" s="44" t="s">
        <v>1233</v>
      </c>
      <c r="G52" s="45" t="s">
        <v>1234</v>
      </c>
      <c r="H52" s="44"/>
      <c r="I52" s="11" t="b">
        <v>1</v>
      </c>
      <c r="J52" s="83" t="str">
        <f t="shared" si="3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IFERROR(__xludf.DUMMYFUNCTION("""COMPUTED_VALUE"""),"WriteAndMane")</f>
        <v>WriteAndMane</v>
      </c>
      <c r="R52" s="49">
        <f>IFERROR(__xludf.DUMMYFUNCTION("""COMPUTED_VALUE"""),6449.0)</f>
        <v>6449</v>
      </c>
      <c r="S52" s="49"/>
    </row>
    <row r="53">
      <c r="A53" s="43">
        <v>7.0</v>
      </c>
      <c r="B53" s="43">
        <v>5.0</v>
      </c>
      <c r="C53" s="43">
        <v>33.2079273736238</v>
      </c>
      <c r="D53" s="43">
        <v>-116.340935062332</v>
      </c>
      <c r="E53" s="43" t="s">
        <v>98</v>
      </c>
      <c r="F53" s="44" t="s">
        <v>1235</v>
      </c>
      <c r="G53" s="52" t="s">
        <v>1236</v>
      </c>
      <c r="H53" s="46"/>
      <c r="I53" s="11" t="b">
        <v>1</v>
      </c>
      <c r="J53" s="83" t="str">
        <f t="shared" si="3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IFERROR(__xludf.DUMMYFUNCTION("""COMPUTED_VALUE"""),"TeamTazmina")</f>
        <v>TeamTazmina</v>
      </c>
      <c r="R53" s="49">
        <f>IFERROR(__xludf.DUMMYFUNCTION("""COMPUTED_VALUE"""),1324.0)</f>
        <v>1324</v>
      </c>
      <c r="S53" s="49"/>
    </row>
    <row r="54">
      <c r="A54" s="43">
        <v>7.0</v>
      </c>
      <c r="B54" s="43">
        <v>6.0</v>
      </c>
      <c r="C54" s="43">
        <v>33.2079273735058</v>
      </c>
      <c r="D54" s="43">
        <v>-116.340763277447</v>
      </c>
      <c r="E54" s="43" t="s">
        <v>98</v>
      </c>
      <c r="F54" s="44" t="s">
        <v>908</v>
      </c>
      <c r="G54" s="45" t="s">
        <v>1237</v>
      </c>
      <c r="H54" s="46"/>
      <c r="I54" s="11" t="b">
        <v>1</v>
      </c>
      <c r="J54" s="83" t="str">
        <f t="shared" si="3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IFERROR(__xludf.DUMMYFUNCTION("""COMPUTED_VALUE"""),"Wangotango")</f>
        <v>Wangotango</v>
      </c>
      <c r="R54" s="49">
        <f>IFERROR(__xludf.DUMMYFUNCTION("""COMPUTED_VALUE"""),1667.0)</f>
        <v>1667</v>
      </c>
      <c r="S54" s="49"/>
    </row>
    <row r="55">
      <c r="A55" s="43">
        <v>7.0</v>
      </c>
      <c r="B55" s="43">
        <v>7.0</v>
      </c>
      <c r="C55" s="43">
        <v>33.2079273733878</v>
      </c>
      <c r="D55" s="43">
        <v>-116.340591492563</v>
      </c>
      <c r="E55" s="43" t="s">
        <v>98</v>
      </c>
      <c r="F55" s="44" t="s">
        <v>80</v>
      </c>
      <c r="G55" s="45" t="s">
        <v>1238</v>
      </c>
      <c r="H55" s="46"/>
      <c r="I55" s="11" t="b">
        <v>1</v>
      </c>
      <c r="J55" s="105"/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IFERROR(__xludf.DUMMYFUNCTION("""COMPUTED_VALUE"""),"Derlame")</f>
        <v>Derlame</v>
      </c>
      <c r="R55" s="49">
        <f>IFERROR(__xludf.DUMMYFUNCTION("""COMPUTED_VALUE"""),14917.0)</f>
        <v>14917</v>
      </c>
      <c r="S55" s="49"/>
    </row>
    <row r="56">
      <c r="A56" s="43">
        <v>8.0</v>
      </c>
      <c r="B56" s="43">
        <v>3.0</v>
      </c>
      <c r="C56" s="43">
        <v>33.2077836434143</v>
      </c>
      <c r="D56" s="43">
        <v>-116.341278640001</v>
      </c>
      <c r="E56" s="43" t="s">
        <v>98</v>
      </c>
      <c r="F56" s="44" t="s">
        <v>1239</v>
      </c>
      <c r="G56" s="45" t="s">
        <v>1240</v>
      </c>
      <c r="H56" s="46"/>
      <c r="I56" s="11" t="b">
        <v>1</v>
      </c>
      <c r="J56" s="83" t="str">
        <f t="shared" ref="J56:J59" si="4">if(I56=true,"",S56)</f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IFERROR(__xludf.DUMMYFUNCTION("""COMPUTED_VALUE"""),"dwyers5")</f>
        <v>dwyers5</v>
      </c>
      <c r="R56" s="49">
        <f>IFERROR(__xludf.DUMMYFUNCTION("""COMPUTED_VALUE"""),2575.0)</f>
        <v>2575</v>
      </c>
      <c r="S56" s="49"/>
    </row>
    <row r="57">
      <c r="A57" s="43">
        <v>8.0</v>
      </c>
      <c r="B57" s="43">
        <v>4.0</v>
      </c>
      <c r="C57" s="43">
        <v>33.2077836432963</v>
      </c>
      <c r="D57" s="43">
        <v>-116.341106855398</v>
      </c>
      <c r="E57" s="43" t="s">
        <v>103</v>
      </c>
      <c r="F57" s="44" t="s">
        <v>1214</v>
      </c>
      <c r="G57" s="45" t="s">
        <v>1241</v>
      </c>
      <c r="H57" s="46"/>
      <c r="I57" s="11" t="b">
        <v>1</v>
      </c>
      <c r="J57" s="83" t="str">
        <f t="shared" si="4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IFERROR(__xludf.DUMMYFUNCTION("""COMPUTED_VALUE"""),"habu")</f>
        <v>habu</v>
      </c>
      <c r="R57" s="49">
        <f>IFERROR(__xludf.DUMMYFUNCTION("""COMPUTED_VALUE"""),11226.0)</f>
        <v>11226</v>
      </c>
      <c r="S57" s="49"/>
    </row>
    <row r="58">
      <c r="A58" s="43">
        <v>8.0</v>
      </c>
      <c r="B58" s="43">
        <v>5.0</v>
      </c>
      <c r="C58" s="43">
        <v>33.2077836431783</v>
      </c>
      <c r="D58" s="43">
        <v>-116.340935070795</v>
      </c>
      <c r="E58" s="43" t="s">
        <v>103</v>
      </c>
      <c r="F58" s="44" t="s">
        <v>1217</v>
      </c>
      <c r="G58" s="45" t="s">
        <v>1242</v>
      </c>
      <c r="H58" s="46"/>
      <c r="I58" s="11" t="b">
        <v>1</v>
      </c>
      <c r="J58" s="83" t="str">
        <f t="shared" si="4"/>
        <v/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IFERROR(__xludf.DUMMYFUNCTION("""COMPUTED_VALUE"""),"mrsg9064")</f>
        <v>mrsg9064</v>
      </c>
      <c r="R58" s="49">
        <f>IFERROR(__xludf.DUMMYFUNCTION("""COMPUTED_VALUE"""),8547.0)</f>
        <v>8547</v>
      </c>
      <c r="S58" s="49"/>
    </row>
    <row r="59">
      <c r="A59" s="43">
        <v>8.0</v>
      </c>
      <c r="B59" s="43">
        <v>6.0</v>
      </c>
      <c r="C59" s="43">
        <v>33.2077836430603</v>
      </c>
      <c r="D59" s="43">
        <v>-116.340763286192</v>
      </c>
      <c r="E59" s="43" t="s">
        <v>98</v>
      </c>
      <c r="F59" s="44" t="s">
        <v>120</v>
      </c>
      <c r="G59" s="45" t="s">
        <v>1243</v>
      </c>
      <c r="H59" s="46"/>
      <c r="I59" s="11" t="b">
        <v>1</v>
      </c>
      <c r="J59" s="83" t="str">
        <f t="shared" si="4"/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IFERROR(__xludf.DUMMYFUNCTION("""COMPUTED_VALUE"""),"xrayneex")</f>
        <v>xrayneex</v>
      </c>
      <c r="R59" s="49">
        <f>IFERROR(__xludf.DUMMYFUNCTION("""COMPUTED_VALUE"""),1822.0)</f>
        <v>1822</v>
      </c>
      <c r="S59" s="49"/>
    </row>
    <row r="60">
      <c r="J60" s="83"/>
    </row>
    <row r="61" hidden="1">
      <c r="F61" s="47">
        <f t="shared" ref="F61:G61" si="5">COUNTIF(F8:F59,"")</f>
        <v>0</v>
      </c>
      <c r="G61" s="47">
        <f t="shared" si="5"/>
        <v>0</v>
      </c>
      <c r="I61" s="47">
        <f>COUNTIF(I8:I59,TRUE)</f>
        <v>52</v>
      </c>
      <c r="J61" s="83"/>
    </row>
    <row r="62" hidden="1">
      <c r="J62" s="83"/>
    </row>
    <row r="63">
      <c r="J63" s="83"/>
    </row>
    <row r="64">
      <c r="J64" s="83"/>
    </row>
    <row r="65">
      <c r="J65" s="83"/>
    </row>
    <row r="66">
      <c r="J66" s="83"/>
    </row>
    <row r="67">
      <c r="J67" s="83"/>
    </row>
    <row r="68">
      <c r="J68" s="83"/>
    </row>
    <row r="69">
      <c r="J69" s="83"/>
    </row>
    <row r="70">
      <c r="J70" s="83"/>
    </row>
    <row r="71">
      <c r="J71" s="83"/>
    </row>
    <row r="72">
      <c r="J72" s="83"/>
    </row>
    <row r="73">
      <c r="J73" s="83"/>
    </row>
    <row r="74">
      <c r="J74" s="83"/>
    </row>
    <row r="75">
      <c r="J75" s="83"/>
    </row>
    <row r="76">
      <c r="J76" s="83"/>
    </row>
    <row r="77">
      <c r="J77" s="83"/>
    </row>
    <row r="78">
      <c r="J78" s="83"/>
    </row>
    <row r="79">
      <c r="J79" s="83"/>
    </row>
    <row r="80">
      <c r="J80" s="83"/>
    </row>
    <row r="81">
      <c r="J81" s="83"/>
    </row>
    <row r="82">
      <c r="J82" s="83"/>
    </row>
    <row r="83">
      <c r="J83" s="83"/>
    </row>
    <row r="84">
      <c r="J84" s="83"/>
    </row>
    <row r="85">
      <c r="J85" s="83"/>
    </row>
    <row r="86">
      <c r="J86" s="83"/>
    </row>
    <row r="87">
      <c r="J87" s="83"/>
    </row>
    <row r="88">
      <c r="J88" s="83"/>
    </row>
    <row r="89">
      <c r="J89" s="83"/>
    </row>
    <row r="90">
      <c r="J90" s="83"/>
    </row>
    <row r="91">
      <c r="J91" s="83"/>
    </row>
    <row r="92">
      <c r="J92" s="83"/>
    </row>
  </sheetData>
  <mergeCells count="3">
    <mergeCell ref="B1:C1"/>
    <mergeCell ref="H1:H2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2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0"/>
    <col customWidth="1" min="2" max="2" width="9.88"/>
    <col customWidth="1" min="3" max="3" width="15.0"/>
    <col customWidth="1" min="4" max="4" width="16.38"/>
    <col customWidth="1" min="5" max="5" width="17.75"/>
    <col customWidth="1" min="6" max="6" width="14.25"/>
    <col customWidth="1" min="7" max="7" width="40.88"/>
    <col customWidth="1" min="8" max="8" width="15.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20</v>
      </c>
      <c r="B1" s="37" t="s">
        <v>21</v>
      </c>
      <c r="D1" s="106"/>
      <c r="E1" s="2" t="s">
        <v>79</v>
      </c>
      <c r="F1" s="24" t="s">
        <v>101</v>
      </c>
      <c r="G1" s="69" t="s">
        <v>1244</v>
      </c>
      <c r="H1" s="97" t="s">
        <v>769</v>
      </c>
      <c r="I1" s="97"/>
      <c r="J1" s="5"/>
      <c r="K1" s="5"/>
      <c r="L1" s="5"/>
      <c r="M1" s="5"/>
      <c r="N1" s="5"/>
      <c r="O1" s="5"/>
      <c r="P1" s="5"/>
      <c r="Q1" s="5"/>
      <c r="R1" s="5"/>
      <c r="S1" s="75">
        <v>44047.95775133102</v>
      </c>
    </row>
    <row r="2">
      <c r="A2" s="2"/>
      <c r="B2" s="2"/>
      <c r="C2" s="108"/>
      <c r="D2" s="108"/>
      <c r="E2" s="2" t="s">
        <v>82</v>
      </c>
      <c r="F2" s="2"/>
      <c r="G2" s="4" t="s">
        <v>1245</v>
      </c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108"/>
      <c r="D3" s="108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108"/>
      <c r="D4" s="108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109"/>
      <c r="D5" s="109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109"/>
      <c r="D6" s="109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110" t="s">
        <v>87</v>
      </c>
      <c r="D7" s="110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111">
        <v>33.1355801318399</v>
      </c>
      <c r="D8" s="111">
        <v>-117.099215920025</v>
      </c>
      <c r="E8" s="43" t="s">
        <v>98</v>
      </c>
      <c r="F8" s="44" t="s">
        <v>608</v>
      </c>
      <c r="G8" s="45" t="s">
        <v>1246</v>
      </c>
      <c r="H8" s="46"/>
      <c r="I8" s="11" t="b">
        <v>1</v>
      </c>
      <c r="J8" s="47" t="str">
        <f t="shared" ref="J8:J32" si="1">if(I8=true,"",S8)</f>
        <v/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IFERROR(__xludf.DUMMYFUNCTION("""COMPUTED_VALUE"""),"Andrew81")</f>
        <v>Andrew81</v>
      </c>
      <c r="R8" s="49">
        <f>IFERROR(__xludf.DUMMYFUNCTION("""COMPUTED_VALUE"""),1325.0)</f>
        <v>1325</v>
      </c>
      <c r="S8" s="49"/>
    </row>
    <row r="9">
      <c r="A9" s="43">
        <v>1.0</v>
      </c>
      <c r="B9" s="43">
        <v>4.0</v>
      </c>
      <c r="C9" s="111">
        <v>33.1355801317222</v>
      </c>
      <c r="D9" s="111">
        <v>-117.099044276872</v>
      </c>
      <c r="E9" s="43" t="s">
        <v>98</v>
      </c>
      <c r="F9" s="44" t="s">
        <v>922</v>
      </c>
      <c r="G9" s="45" t="s">
        <v>1247</v>
      </c>
      <c r="H9" s="46"/>
      <c r="I9" s="11" t="b">
        <v>1</v>
      </c>
      <c r="J9" s="47" t="str">
        <f t="shared" si="1"/>
        <v/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IFERROR(__xludf.DUMMYFUNCTION("""COMPUTED_VALUE"""),"DHitz")</f>
        <v>DHitz</v>
      </c>
      <c r="R9" s="49">
        <f>IFERROR(__xludf.DUMMYFUNCTION("""COMPUTED_VALUE"""),3720.0)</f>
        <v>3720</v>
      </c>
      <c r="S9" s="49"/>
    </row>
    <row r="10">
      <c r="A10" s="43">
        <v>1.0</v>
      </c>
      <c r="B10" s="43">
        <v>5.0</v>
      </c>
      <c r="C10" s="111">
        <v>33.1355801316046</v>
      </c>
      <c r="D10" s="111">
        <v>-117.09887263372</v>
      </c>
      <c r="E10" s="43" t="s">
        <v>103</v>
      </c>
      <c r="F10" s="44" t="s">
        <v>178</v>
      </c>
      <c r="G10" s="45" t="s">
        <v>1248</v>
      </c>
      <c r="H10" s="46"/>
      <c r="I10" s="11" t="b">
        <v>1</v>
      </c>
      <c r="J10" s="47" t="str">
        <f t="shared" si="1"/>
        <v/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IFERROR(__xludf.DUMMYFUNCTION("""COMPUTED_VALUE"""),"lison55")</f>
        <v>lison55</v>
      </c>
      <c r="R10" s="49">
        <f>IFERROR(__xludf.DUMMYFUNCTION("""COMPUTED_VALUE"""),5132.0)</f>
        <v>5132</v>
      </c>
      <c r="S10" s="49"/>
    </row>
    <row r="11">
      <c r="A11" s="43">
        <v>1.0</v>
      </c>
      <c r="B11" s="43">
        <v>6.0</v>
      </c>
      <c r="C11" s="111">
        <v>33.1355801314869</v>
      </c>
      <c r="D11" s="111">
        <v>-117.098700990567</v>
      </c>
      <c r="E11" s="43" t="s">
        <v>103</v>
      </c>
      <c r="F11" s="44" t="s">
        <v>116</v>
      </c>
      <c r="G11" s="45" t="s">
        <v>1249</v>
      </c>
      <c r="H11" s="46"/>
      <c r="I11" s="11" t="b">
        <v>1</v>
      </c>
      <c r="J11" s="47" t="str">
        <f t="shared" si="1"/>
        <v/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IFERROR(__xludf.DUMMYFUNCTION("""COMPUTED_VALUE"""),"fsafranek")</f>
        <v>fsafranek</v>
      </c>
      <c r="R11" s="49">
        <f>IFERROR(__xludf.DUMMYFUNCTION("""COMPUTED_VALUE"""),3676.0)</f>
        <v>3676</v>
      </c>
      <c r="S11" s="49"/>
    </row>
    <row r="12">
      <c r="A12" s="43">
        <v>2.0</v>
      </c>
      <c r="B12" s="43">
        <v>2.0</v>
      </c>
      <c r="C12" s="111">
        <v>33.1354364015122</v>
      </c>
      <c r="D12" s="111">
        <v>-117.099387570766</v>
      </c>
      <c r="E12" s="43" t="s">
        <v>98</v>
      </c>
      <c r="F12" s="44" t="s">
        <v>920</v>
      </c>
      <c r="G12" s="45" t="s">
        <v>1250</v>
      </c>
      <c r="H12" s="44"/>
      <c r="I12" s="11" t="b">
        <v>1</v>
      </c>
      <c r="J12" s="47" t="str">
        <f t="shared" si="1"/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IFERROR(__xludf.DUMMYFUNCTION("""COMPUTED_VALUE"""),"FromTheTardis")</f>
        <v>FromTheTardis</v>
      </c>
      <c r="R12" s="49">
        <f>IFERROR(__xludf.DUMMYFUNCTION("""COMPUTED_VALUE"""),1300.0)</f>
        <v>1300</v>
      </c>
      <c r="S12" s="49"/>
    </row>
    <row r="13">
      <c r="A13" s="43">
        <v>2.0</v>
      </c>
      <c r="B13" s="43">
        <v>3.0</v>
      </c>
      <c r="C13" s="111">
        <v>33.1354364013945</v>
      </c>
      <c r="D13" s="111">
        <v>-117.099215927895</v>
      </c>
      <c r="E13" s="43" t="s">
        <v>98</v>
      </c>
      <c r="F13" s="11" t="s">
        <v>926</v>
      </c>
      <c r="G13" s="45" t="s">
        <v>1251</v>
      </c>
      <c r="H13" s="46"/>
      <c r="I13" s="11" t="b">
        <v>1</v>
      </c>
      <c r="J13" s="47" t="str">
        <f t="shared" si="1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IFERROR(__xludf.DUMMYFUNCTION("""COMPUTED_VALUE"""),"Lanyasummer")</f>
        <v>Lanyasummer</v>
      </c>
      <c r="R13" s="49">
        <f>IFERROR(__xludf.DUMMYFUNCTION("""COMPUTED_VALUE"""),4106.0)</f>
        <v>4106</v>
      </c>
      <c r="S13" s="49"/>
    </row>
    <row r="14">
      <c r="A14" s="43">
        <v>2.0</v>
      </c>
      <c r="B14" s="43">
        <v>4.0</v>
      </c>
      <c r="C14" s="111">
        <v>33.1354364012768</v>
      </c>
      <c r="D14" s="111">
        <v>-117.099044285023</v>
      </c>
      <c r="E14" s="43" t="s">
        <v>98</v>
      </c>
      <c r="F14" s="44" t="s">
        <v>114</v>
      </c>
      <c r="G14" s="45" t="s">
        <v>1252</v>
      </c>
      <c r="H14" s="44"/>
      <c r="I14" s="11" t="b">
        <v>1</v>
      </c>
      <c r="J14" s="47" t="str">
        <f t="shared" si="1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IFERROR(__xludf.DUMMYFUNCTION("""COMPUTED_VALUE"""),11170.0)</f>
        <v>11170</v>
      </c>
      <c r="S14" s="49"/>
    </row>
    <row r="15">
      <c r="A15" s="43">
        <v>2.0</v>
      </c>
      <c r="B15" s="43">
        <v>5.0</v>
      </c>
      <c r="C15" s="111">
        <v>33.1354364011591</v>
      </c>
      <c r="D15" s="111">
        <v>-117.098872642152</v>
      </c>
      <c r="E15" s="43" t="s">
        <v>103</v>
      </c>
      <c r="F15" s="11" t="s">
        <v>933</v>
      </c>
      <c r="G15" s="52" t="s">
        <v>1253</v>
      </c>
      <c r="H15" s="120"/>
      <c r="I15" s="11" t="b">
        <v>1</v>
      </c>
      <c r="J15" s="47" t="str">
        <f t="shared" si="1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IFERROR(__xludf.DUMMYFUNCTION("""COMPUTED_VALUE"""),"Bambinacattiva")</f>
        <v>Bambinacattiva</v>
      </c>
      <c r="R15" s="49">
        <f>IFERROR(__xludf.DUMMYFUNCTION("""COMPUTED_VALUE"""),699.0)</f>
        <v>699</v>
      </c>
      <c r="S15" s="49"/>
    </row>
    <row r="16">
      <c r="A16" s="43">
        <v>2.0</v>
      </c>
      <c r="B16" s="43">
        <v>6.0</v>
      </c>
      <c r="C16" s="111">
        <v>33.1354364010414</v>
      </c>
      <c r="D16" s="111">
        <v>-117.09870099928</v>
      </c>
      <c r="E16" s="43" t="s">
        <v>98</v>
      </c>
      <c r="F16" s="44" t="s">
        <v>169</v>
      </c>
      <c r="G16" s="45" t="s">
        <v>1254</v>
      </c>
      <c r="H16" s="46"/>
      <c r="I16" s="11" t="b">
        <v>1</v>
      </c>
      <c r="J16" s="47" t="str">
        <f t="shared" si="1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IFERROR(__xludf.DUMMYFUNCTION("""COMPUTED_VALUE"""),"Pinkeltje")</f>
        <v>Pinkeltje</v>
      </c>
      <c r="R16" s="49">
        <f>IFERROR(__xludf.DUMMYFUNCTION("""COMPUTED_VALUE"""),1112.0)</f>
        <v>1112</v>
      </c>
      <c r="S16" s="49"/>
    </row>
    <row r="17">
      <c r="A17" s="43">
        <v>2.0</v>
      </c>
      <c r="B17" s="43">
        <v>7.0</v>
      </c>
      <c r="C17" s="111">
        <v>33.1354364009238</v>
      </c>
      <c r="D17" s="111">
        <v>-117.098529356409</v>
      </c>
      <c r="E17" s="43" t="s">
        <v>98</v>
      </c>
      <c r="F17" s="44" t="s">
        <v>918</v>
      </c>
      <c r="G17" s="45" t="s">
        <v>1255</v>
      </c>
      <c r="H17" s="46"/>
      <c r="I17" s="11" t="b">
        <v>1</v>
      </c>
      <c r="J17" s="47" t="str">
        <f t="shared" si="1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IFERROR(__xludf.DUMMYFUNCTION("""COMPUTED_VALUE"""),"5Star")</f>
        <v>5Star</v>
      </c>
      <c r="R17" s="49">
        <f>IFERROR(__xludf.DUMMYFUNCTION("""COMPUTED_VALUE"""),5637.0)</f>
        <v>5637</v>
      </c>
      <c r="S17" s="49"/>
    </row>
    <row r="18">
      <c r="A18" s="43">
        <v>3.0</v>
      </c>
      <c r="B18" s="43">
        <v>1.0</v>
      </c>
      <c r="C18" s="111">
        <v>33.1352926711844</v>
      </c>
      <c r="D18" s="111">
        <v>-117.099559220947</v>
      </c>
      <c r="E18" s="43" t="s">
        <v>98</v>
      </c>
      <c r="F18" s="44" t="s">
        <v>101</v>
      </c>
      <c r="G18" s="45" t="s">
        <v>1256</v>
      </c>
      <c r="H18" s="46"/>
      <c r="I18" s="11" t="b">
        <v>1</v>
      </c>
      <c r="J18" s="47" t="str">
        <f t="shared" si="1"/>
        <v/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IFERROR(__xludf.DUMMYFUNCTION("""COMPUTED_VALUE"""),"sverlaan")</f>
        <v>sverlaan</v>
      </c>
      <c r="R18" s="49">
        <f>IFERROR(__xludf.DUMMYFUNCTION("""COMPUTED_VALUE"""),4134.0)</f>
        <v>4134</v>
      </c>
      <c r="S18" s="49"/>
    </row>
    <row r="19">
      <c r="A19" s="43">
        <v>3.0</v>
      </c>
      <c r="B19" s="43">
        <v>2.0</v>
      </c>
      <c r="C19" s="111">
        <v>33.1352926710667</v>
      </c>
      <c r="D19" s="111">
        <v>-117.099387578356</v>
      </c>
      <c r="E19" s="43" t="s">
        <v>98</v>
      </c>
      <c r="F19" s="44" t="s">
        <v>936</v>
      </c>
      <c r="G19" s="45" t="s">
        <v>1257</v>
      </c>
      <c r="H19" s="46"/>
      <c r="I19" s="11" t="b">
        <v>1</v>
      </c>
      <c r="J19" s="47" t="str">
        <f t="shared" si="1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IFERROR(__xludf.DUMMYFUNCTION("""COMPUTED_VALUE"""),"EmileP68")</f>
        <v>EmileP68</v>
      </c>
      <c r="R19" s="49">
        <f>IFERROR(__xludf.DUMMYFUNCTION("""COMPUTED_VALUE"""),2917.0)</f>
        <v>2917</v>
      </c>
      <c r="S19" s="49"/>
    </row>
    <row r="20">
      <c r="A20" s="43">
        <v>3.0</v>
      </c>
      <c r="B20" s="43">
        <v>3.0</v>
      </c>
      <c r="C20" s="111">
        <v>33.135292670949</v>
      </c>
      <c r="D20" s="111">
        <v>-117.099215935766</v>
      </c>
      <c r="E20" s="43" t="s">
        <v>98</v>
      </c>
      <c r="F20" s="44" t="s">
        <v>938</v>
      </c>
      <c r="G20" s="45" t="s">
        <v>1258</v>
      </c>
      <c r="H20" s="46"/>
      <c r="I20" s="11" t="b">
        <v>1</v>
      </c>
      <c r="J20" s="47" t="str">
        <f t="shared" si="1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IFERROR(__xludf.DUMMYFUNCTION("""COMPUTED_VALUE"""),"PawPatrolThomas")</f>
        <v>PawPatrolThomas</v>
      </c>
      <c r="R20" s="49">
        <f>IFERROR(__xludf.DUMMYFUNCTION("""COMPUTED_VALUE"""),2213.0)</f>
        <v>2213</v>
      </c>
      <c r="S20" s="49"/>
    </row>
    <row r="21">
      <c r="A21" s="43">
        <v>3.0</v>
      </c>
      <c r="B21" s="43">
        <v>4.0</v>
      </c>
      <c r="C21" s="111">
        <v>33.1352926708313</v>
      </c>
      <c r="D21" s="111">
        <v>-117.099044293175</v>
      </c>
      <c r="E21" s="43" t="s">
        <v>98</v>
      </c>
      <c r="F21" s="44" t="s">
        <v>942</v>
      </c>
      <c r="G21" s="45" t="s">
        <v>1259</v>
      </c>
      <c r="H21" s="46"/>
      <c r="I21" s="11" t="b">
        <v>1</v>
      </c>
      <c r="J21" s="47" t="str">
        <f t="shared" si="1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IFERROR(__xludf.DUMMYFUNCTION("""COMPUTED_VALUE"""),"hoekraam")</f>
        <v>hoekraam</v>
      </c>
      <c r="R21" s="49">
        <f>IFERROR(__xludf.DUMMYFUNCTION("""COMPUTED_VALUE"""),6630.0)</f>
        <v>6630</v>
      </c>
      <c r="S21" s="49"/>
    </row>
    <row r="22">
      <c r="A22" s="43">
        <v>3.0</v>
      </c>
      <c r="B22" s="43">
        <v>5.0</v>
      </c>
      <c r="C22" s="111">
        <v>33.1352926707137</v>
      </c>
      <c r="D22" s="111">
        <v>-117.098872650585</v>
      </c>
      <c r="E22" s="43" t="s">
        <v>98</v>
      </c>
      <c r="F22" s="44" t="s">
        <v>120</v>
      </c>
      <c r="G22" s="45" t="s">
        <v>1260</v>
      </c>
      <c r="H22" s="46"/>
      <c r="I22" s="11" t="b">
        <v>1</v>
      </c>
      <c r="J22" s="47" t="str">
        <f t="shared" si="1"/>
        <v/>
      </c>
      <c r="K22" s="49" t="str">
        <f>IFERROR(__xludf.DUMMYFUNCTION("IF(M22=1,IFERROR(IMPORTXML(G22, ""//p[@class='status-date']""),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IFERROR(__xludf.DUMMYFUNCTION("""COMPUTED_VALUE"""),"xrayneex")</f>
        <v>xrayneex</v>
      </c>
      <c r="R22" s="49">
        <f>IFERROR(__xludf.DUMMYFUNCTION("""COMPUTED_VALUE"""),1314.0)</f>
        <v>1314</v>
      </c>
      <c r="S22" s="49"/>
    </row>
    <row r="23">
      <c r="A23" s="43">
        <v>3.0</v>
      </c>
      <c r="B23" s="43">
        <v>6.0</v>
      </c>
      <c r="C23" s="111">
        <v>33.135292670596</v>
      </c>
      <c r="D23" s="111">
        <v>-117.098701007994</v>
      </c>
      <c r="E23" s="43" t="s">
        <v>98</v>
      </c>
      <c r="F23" s="44" t="s">
        <v>110</v>
      </c>
      <c r="G23" s="52" t="s">
        <v>1261</v>
      </c>
      <c r="H23" s="120"/>
      <c r="I23" s="11" t="b">
        <v>1</v>
      </c>
      <c r="J23" s="47" t="str">
        <f t="shared" si="1"/>
        <v/>
      </c>
      <c r="K23" s="49" t="str">
        <f>IFERROR(__xludf.DUMMYFUNCTION("IF(M23=1,IFERROR(IMPORTXML(G23, ""//p[@class='status-date']""),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IFERROR(__xludf.DUMMYFUNCTION("""COMPUTED_VALUE"""),"BrotherWilliam")</f>
        <v>BrotherWilliam</v>
      </c>
      <c r="R23" s="49">
        <f>IFERROR(__xludf.DUMMYFUNCTION("""COMPUTED_VALUE"""),3859.0)</f>
        <v>3859</v>
      </c>
      <c r="S23" s="49"/>
    </row>
    <row r="24">
      <c r="A24" s="43">
        <v>3.0</v>
      </c>
      <c r="B24" s="43">
        <v>7.0</v>
      </c>
      <c r="C24" s="111">
        <v>33.1352926704783</v>
      </c>
      <c r="D24" s="111">
        <v>-117.098529365404</v>
      </c>
      <c r="E24" s="43" t="s">
        <v>98</v>
      </c>
      <c r="F24" s="44" t="s">
        <v>942</v>
      </c>
      <c r="G24" s="52" t="s">
        <v>1262</v>
      </c>
      <c r="H24" s="120"/>
      <c r="I24" s="11" t="b">
        <v>1</v>
      </c>
      <c r="J24" s="47" t="str">
        <f t="shared" si="1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IFERROR(__xludf.DUMMYFUNCTION("""COMPUTED_VALUE"""),"hoekraam")</f>
        <v>hoekraam</v>
      </c>
      <c r="R24" s="49">
        <f>IFERROR(__xludf.DUMMYFUNCTION("""COMPUTED_VALUE"""),6640.0)</f>
        <v>6640</v>
      </c>
      <c r="S24" s="49"/>
    </row>
    <row r="25">
      <c r="A25" s="43">
        <v>3.0</v>
      </c>
      <c r="B25" s="43">
        <v>8.0</v>
      </c>
      <c r="C25" s="111">
        <v>33.1352926703606</v>
      </c>
      <c r="D25" s="111">
        <v>-117.098357722814</v>
      </c>
      <c r="E25" s="43" t="s">
        <v>98</v>
      </c>
      <c r="F25" s="44" t="s">
        <v>157</v>
      </c>
      <c r="G25" s="45" t="s">
        <v>1263</v>
      </c>
      <c r="H25" s="46"/>
      <c r="I25" s="11" t="b">
        <v>1</v>
      </c>
      <c r="J25" s="47" t="str">
        <f t="shared" si="1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IFERROR(__xludf.DUMMYFUNCTION("""COMPUTED_VALUE"""),"barefootguru")</f>
        <v>barefootguru</v>
      </c>
      <c r="R25" s="49">
        <f>IFERROR(__xludf.DUMMYFUNCTION("""COMPUTED_VALUE"""),3091.0)</f>
        <v>3091</v>
      </c>
      <c r="S25" s="49"/>
    </row>
    <row r="26">
      <c r="A26" s="43">
        <v>4.0</v>
      </c>
      <c r="B26" s="43">
        <v>1.0</v>
      </c>
      <c r="C26" s="111">
        <v>33.135148940739</v>
      </c>
      <c r="D26" s="111">
        <v>-117.099559228254</v>
      </c>
      <c r="E26" s="43" t="s">
        <v>98</v>
      </c>
      <c r="F26" s="44" t="s">
        <v>608</v>
      </c>
      <c r="G26" s="45" t="s">
        <v>1264</v>
      </c>
      <c r="H26" s="46"/>
      <c r="I26" s="11" t="b">
        <v>1</v>
      </c>
      <c r="J26" s="47" t="str">
        <f t="shared" si="1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IFERROR(__xludf.DUMMYFUNCTION("""COMPUTED_VALUE"""),"Andrew81")</f>
        <v>Andrew81</v>
      </c>
      <c r="R26" s="49">
        <f>IFERROR(__xludf.DUMMYFUNCTION("""COMPUTED_VALUE"""),1331.0)</f>
        <v>1331</v>
      </c>
      <c r="S26" s="49"/>
    </row>
    <row r="27">
      <c r="A27" s="43">
        <v>4.0</v>
      </c>
      <c r="B27" s="43">
        <v>2.0</v>
      </c>
      <c r="C27" s="111">
        <v>33.1351489406213</v>
      </c>
      <c r="D27" s="111">
        <v>-117.099387585944</v>
      </c>
      <c r="E27" s="43" t="s">
        <v>103</v>
      </c>
      <c r="F27" s="44" t="s">
        <v>629</v>
      </c>
      <c r="G27" s="54" t="s">
        <v>1265</v>
      </c>
      <c r="H27" s="120"/>
      <c r="I27" s="11" t="b">
        <v>1</v>
      </c>
      <c r="J27" s="47" t="str">
        <f t="shared" si="1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IFERROR(__xludf.DUMMYFUNCTION("""COMPUTED_VALUE"""),"IggiePiggie")</f>
        <v>IggiePiggie</v>
      </c>
      <c r="R27" s="49">
        <f>IFERROR(__xludf.DUMMYFUNCTION("""COMPUTED_VALUE"""),1769.0)</f>
        <v>1769</v>
      </c>
      <c r="S27" s="49"/>
    </row>
    <row r="28">
      <c r="A28" s="43">
        <v>4.0</v>
      </c>
      <c r="B28" s="43">
        <v>3.0</v>
      </c>
      <c r="C28" s="111">
        <v>33.1351489405036</v>
      </c>
      <c r="D28" s="111">
        <v>-117.099215943635</v>
      </c>
      <c r="E28" s="43" t="s">
        <v>98</v>
      </c>
      <c r="F28" s="44" t="s">
        <v>112</v>
      </c>
      <c r="G28" s="52" t="s">
        <v>1266</v>
      </c>
      <c r="H28" s="120"/>
      <c r="I28" s="11" t="b">
        <v>1</v>
      </c>
      <c r="J28" s="47" t="str">
        <f t="shared" si="1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IFERROR(__xludf.DUMMYFUNCTION("""COMPUTED_VALUE"""),"ArtofEco")</f>
        <v>ArtofEco</v>
      </c>
      <c r="R28" s="49">
        <f>IFERROR(__xludf.DUMMYFUNCTION("""COMPUTED_VALUE"""),2886.0)</f>
        <v>2886</v>
      </c>
      <c r="S28" s="49"/>
    </row>
    <row r="29">
      <c r="A29" s="43">
        <v>4.0</v>
      </c>
      <c r="B29" s="43">
        <v>4.0</v>
      </c>
      <c r="C29" s="111">
        <v>33.1351489403859</v>
      </c>
      <c r="D29" s="111">
        <v>-117.099044301326</v>
      </c>
      <c r="E29" s="43" t="s">
        <v>98</v>
      </c>
      <c r="F29" s="44" t="s">
        <v>138</v>
      </c>
      <c r="G29" s="45" t="s">
        <v>1267</v>
      </c>
      <c r="H29" s="114"/>
      <c r="I29" s="11" t="b">
        <v>1</v>
      </c>
      <c r="J29" s="47" t="str">
        <f t="shared" si="1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IFERROR(__xludf.DUMMYFUNCTION("""COMPUTED_VALUE"""),2523.0)</f>
        <v>2523</v>
      </c>
      <c r="S29" s="49"/>
    </row>
    <row r="30">
      <c r="A30" s="43">
        <v>4.0</v>
      </c>
      <c r="B30" s="43">
        <v>5.0</v>
      </c>
      <c r="C30" s="111">
        <v>33.1351489402682</v>
      </c>
      <c r="D30" s="111">
        <v>-117.098872659016</v>
      </c>
      <c r="E30" s="43" t="s">
        <v>98</v>
      </c>
      <c r="F30" s="44" t="s">
        <v>950</v>
      </c>
      <c r="G30" s="45" t="s">
        <v>1268</v>
      </c>
      <c r="H30" s="114"/>
      <c r="I30" s="11" t="b">
        <v>1</v>
      </c>
      <c r="J30" s="47" t="str">
        <f t="shared" si="1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IFERROR(__xludf.DUMMYFUNCTION("""COMPUTED_VALUE"""),"babyw")</f>
        <v>babyw</v>
      </c>
      <c r="R30" s="49">
        <f>IFERROR(__xludf.DUMMYFUNCTION("""COMPUTED_VALUE"""),2848.0)</f>
        <v>2848</v>
      </c>
      <c r="S30" s="49"/>
    </row>
    <row r="31">
      <c r="A31" s="43">
        <v>4.0</v>
      </c>
      <c r="B31" s="43">
        <v>6.0</v>
      </c>
      <c r="C31" s="111">
        <v>33.1351489401505</v>
      </c>
      <c r="D31" s="111">
        <v>-117.098701016707</v>
      </c>
      <c r="E31" s="43" t="s">
        <v>103</v>
      </c>
      <c r="F31" s="44" t="s">
        <v>940</v>
      </c>
      <c r="G31" s="45" t="s">
        <v>1269</v>
      </c>
      <c r="H31" s="46"/>
      <c r="I31" s="11" t="b">
        <v>1</v>
      </c>
      <c r="J31" s="47" t="str">
        <f t="shared" si="1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IFERROR(__xludf.DUMMYFUNCTION("""COMPUTED_VALUE"""),"WiseOldWizard")</f>
        <v>WiseOldWizard</v>
      </c>
      <c r="R31" s="49">
        <f>IFERROR(__xludf.DUMMYFUNCTION("""COMPUTED_VALUE"""),3935.0)</f>
        <v>3935</v>
      </c>
      <c r="S31" s="49"/>
    </row>
    <row r="32">
      <c r="A32" s="43">
        <v>4.0</v>
      </c>
      <c r="B32" s="43">
        <v>7.0</v>
      </c>
      <c r="C32" s="111">
        <v>33.1351489400328</v>
      </c>
      <c r="D32" s="111">
        <v>-117.098529374397</v>
      </c>
      <c r="E32" s="43" t="s">
        <v>98</v>
      </c>
      <c r="F32" s="44" t="s">
        <v>141</v>
      </c>
      <c r="G32" s="52" t="s">
        <v>1270</v>
      </c>
      <c r="H32" s="120"/>
      <c r="I32" s="11" t="b">
        <v>1</v>
      </c>
      <c r="J32" s="47" t="str">
        <f t="shared" si="1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IFERROR(__xludf.DUMMYFUNCTION("""COMPUTED_VALUE"""),"cbf600")</f>
        <v>cbf600</v>
      </c>
      <c r="R32" s="49">
        <f>IFERROR(__xludf.DUMMYFUNCTION("""COMPUTED_VALUE"""),2349.0)</f>
        <v>2349</v>
      </c>
      <c r="S32" s="49"/>
    </row>
    <row r="33">
      <c r="A33" s="43">
        <v>4.0</v>
      </c>
      <c r="B33" s="43">
        <v>8.0</v>
      </c>
      <c r="C33" s="111">
        <v>33.1351489399152</v>
      </c>
      <c r="D33" s="111">
        <v>-117.098357732088</v>
      </c>
      <c r="E33" s="43" t="s">
        <v>98</v>
      </c>
      <c r="F33" s="44" t="s">
        <v>1271</v>
      </c>
      <c r="G33" s="45" t="s">
        <v>1272</v>
      </c>
      <c r="H33" s="44"/>
      <c r="I33" s="11" t="b">
        <v>1</v>
      </c>
      <c r="J33" s="131"/>
      <c r="K33" s="49" t="str">
        <f>IFERROR(__xludf.DUMMYFUNCTION("IF(M33=1,IFERROR(IMPORTXML(G33, ""//p[@class='status-date']""),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IFERROR(__xludf.DUMMYFUNCTION("""COMPUTED_VALUE"""),"LonelyWalker")</f>
        <v>LonelyWalker</v>
      </c>
      <c r="R33" s="49">
        <f>IFERROR(__xludf.DUMMYFUNCTION("""COMPUTED_VALUE"""),412.0)</f>
        <v>412</v>
      </c>
      <c r="S33" s="115">
        <v>44045.67450982639</v>
      </c>
    </row>
    <row r="34">
      <c r="A34" s="43">
        <v>5.0</v>
      </c>
      <c r="B34" s="43">
        <v>1.0</v>
      </c>
      <c r="C34" s="111">
        <v>33.1350052102935</v>
      </c>
      <c r="D34" s="111">
        <v>-117.099559235561</v>
      </c>
      <c r="E34" s="43" t="s">
        <v>103</v>
      </c>
      <c r="F34" s="44" t="s">
        <v>243</v>
      </c>
      <c r="G34" s="45" t="s">
        <v>1273</v>
      </c>
      <c r="H34" s="46"/>
      <c r="I34" s="11" t="b">
        <v>1</v>
      </c>
      <c r="J34" s="47" t="str">
        <f t="shared" ref="J34:J41" si="3">if(I34=true,"",S34)</f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IFERROR(__xludf.DUMMYFUNCTION("""COMPUTED_VALUE"""),"Aniara")</f>
        <v>Aniara</v>
      </c>
      <c r="R34" s="49">
        <f>IFERROR(__xludf.DUMMYFUNCTION("""COMPUTED_VALUE"""),6512.0)</f>
        <v>6512</v>
      </c>
      <c r="S34" s="49"/>
    </row>
    <row r="35">
      <c r="A35" s="43">
        <v>5.0</v>
      </c>
      <c r="B35" s="43">
        <v>2.0</v>
      </c>
      <c r="C35" s="111">
        <v>33.1350052101758</v>
      </c>
      <c r="D35" s="111">
        <v>-117.099387593533</v>
      </c>
      <c r="E35" s="43" t="s">
        <v>98</v>
      </c>
      <c r="F35" s="44" t="s">
        <v>122</v>
      </c>
      <c r="G35" s="65" t="s">
        <v>1274</v>
      </c>
      <c r="H35" s="46"/>
      <c r="I35" s="11" t="b">
        <v>1</v>
      </c>
      <c r="J35" s="47" t="str">
        <f t="shared" si="3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IFERROR(__xludf.DUMMYFUNCTION("""COMPUTED_VALUE"""),"Drazoria")</f>
        <v>Drazoria</v>
      </c>
      <c r="R35" s="49">
        <f>IFERROR(__xludf.DUMMYFUNCTION("""COMPUTED_VALUE"""),657.0)</f>
        <v>657</v>
      </c>
      <c r="S35" s="49"/>
    </row>
    <row r="36">
      <c r="A36" s="43">
        <v>5.0</v>
      </c>
      <c r="B36" s="43">
        <v>3.0</v>
      </c>
      <c r="C36" s="111">
        <v>33.1350052100581</v>
      </c>
      <c r="D36" s="111">
        <v>-117.099215951504</v>
      </c>
      <c r="E36" s="43" t="s">
        <v>103</v>
      </c>
      <c r="F36" s="44" t="s">
        <v>124</v>
      </c>
      <c r="G36" s="45" t="s">
        <v>1275</v>
      </c>
      <c r="H36" s="46"/>
      <c r="I36" s="11" t="b">
        <v>1</v>
      </c>
      <c r="J36" s="47" t="str">
        <f t="shared" si="3"/>
        <v/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IFERROR(__xludf.DUMMYFUNCTION("""COMPUTED_VALUE"""),"Tinake1309")</f>
        <v>Tinake1309</v>
      </c>
      <c r="R36" s="49">
        <f>IFERROR(__xludf.DUMMYFUNCTION("""COMPUTED_VALUE"""),647.0)</f>
        <v>647</v>
      </c>
      <c r="S36" s="49"/>
    </row>
    <row r="37">
      <c r="A37" s="43">
        <v>5.0</v>
      </c>
      <c r="B37" s="43">
        <v>4.0</v>
      </c>
      <c r="C37" s="111">
        <v>33.1350052099404</v>
      </c>
      <c r="D37" s="111">
        <v>-117.099044309476</v>
      </c>
      <c r="E37" s="43" t="s">
        <v>98</v>
      </c>
      <c r="F37" s="44" t="s">
        <v>1276</v>
      </c>
      <c r="G37" s="65" t="s">
        <v>1277</v>
      </c>
      <c r="H37" s="46"/>
      <c r="I37" s="11" t="b">
        <v>1</v>
      </c>
      <c r="J37" s="47" t="str">
        <f t="shared" si="3"/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IFERROR(__xludf.DUMMYFUNCTION("""COMPUTED_VALUE"""),"Berg14")</f>
        <v>Berg14</v>
      </c>
      <c r="R37" s="49">
        <f>IFERROR(__xludf.DUMMYFUNCTION("""COMPUTED_VALUE"""),441.0)</f>
        <v>441</v>
      </c>
      <c r="S37" s="49"/>
    </row>
    <row r="38">
      <c r="A38" s="43">
        <v>5.0</v>
      </c>
      <c r="B38" s="43">
        <v>5.0</v>
      </c>
      <c r="C38" s="111">
        <v>33.1350052098227</v>
      </c>
      <c r="D38" s="111">
        <v>-117.098872667447</v>
      </c>
      <c r="E38" s="43" t="s">
        <v>98</v>
      </c>
      <c r="F38" s="44" t="s">
        <v>128</v>
      </c>
      <c r="G38" s="45" t="s">
        <v>1278</v>
      </c>
      <c r="H38" s="46"/>
      <c r="I38" s="11" t="b">
        <v>1</v>
      </c>
      <c r="J38" s="47" t="str">
        <f t="shared" si="3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IFERROR(__xludf.DUMMYFUNCTION("""COMPUTED_VALUE"""),"Niks13")</f>
        <v>Niks13</v>
      </c>
      <c r="R38" s="49">
        <f>IFERROR(__xludf.DUMMYFUNCTION("""COMPUTED_VALUE"""),411.0)</f>
        <v>411</v>
      </c>
      <c r="S38" s="49"/>
    </row>
    <row r="39">
      <c r="A39" s="43">
        <v>5.0</v>
      </c>
      <c r="B39" s="43">
        <v>6.0</v>
      </c>
      <c r="C39" s="111">
        <v>33.1350052097051</v>
      </c>
      <c r="D39" s="111">
        <v>-117.098701025419</v>
      </c>
      <c r="E39" s="43" t="s">
        <v>98</v>
      </c>
      <c r="F39" s="44" t="s">
        <v>933</v>
      </c>
      <c r="G39" s="45" t="s">
        <v>1279</v>
      </c>
      <c r="H39" s="46"/>
      <c r="I39" s="11" t="b">
        <v>1</v>
      </c>
      <c r="J39" s="47" t="str">
        <f t="shared" si="3"/>
        <v/>
      </c>
      <c r="K39" s="49" t="str">
        <f>IFERROR(__xludf.DUMMYFUNCTION("IF(M39=1,IFERROR(IMPORTXML(G39, ""//p[@class='status-date']""),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IFERROR(__xludf.DUMMYFUNCTION("""COMPUTED_VALUE"""),"Bambinacattiva")</f>
        <v>Bambinacattiva</v>
      </c>
      <c r="R39" s="49">
        <f>IFERROR(__xludf.DUMMYFUNCTION("""COMPUTED_VALUE"""),614.0)</f>
        <v>614</v>
      </c>
      <c r="S39" s="49"/>
    </row>
    <row r="40">
      <c r="A40" s="43">
        <v>5.0</v>
      </c>
      <c r="B40" s="43">
        <v>7.0</v>
      </c>
      <c r="C40" s="111">
        <v>33.1350052095874</v>
      </c>
      <c r="D40" s="111">
        <v>-117.098529383391</v>
      </c>
      <c r="E40" s="43" t="s">
        <v>98</v>
      </c>
      <c r="F40" s="44" t="s">
        <v>975</v>
      </c>
      <c r="G40" s="45" t="s">
        <v>1280</v>
      </c>
      <c r="H40" s="46"/>
      <c r="I40" s="11" t="b">
        <v>1</v>
      </c>
      <c r="J40" s="47" t="str">
        <f t="shared" si="3"/>
        <v/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IFERROR(__xludf.DUMMYFUNCTION("""COMPUTED_VALUE"""),"amigoth2de")</f>
        <v>amigoth2de</v>
      </c>
      <c r="R40" s="49">
        <f>IFERROR(__xludf.DUMMYFUNCTION("""COMPUTED_VALUE"""),1661.0)</f>
        <v>1661</v>
      </c>
      <c r="S40" s="49"/>
    </row>
    <row r="41">
      <c r="A41" s="43">
        <v>5.0</v>
      </c>
      <c r="B41" s="43">
        <v>8.0</v>
      </c>
      <c r="C41" s="111">
        <v>33.1350052094697</v>
      </c>
      <c r="D41" s="111">
        <v>-117.098357741362</v>
      </c>
      <c r="E41" s="43" t="s">
        <v>98</v>
      </c>
      <c r="F41" s="44" t="s">
        <v>190</v>
      </c>
      <c r="G41" s="54" t="s">
        <v>1281</v>
      </c>
      <c r="H41" s="120"/>
      <c r="I41" s="11" t="b">
        <v>1</v>
      </c>
      <c r="J41" s="47" t="str">
        <f t="shared" si="3"/>
        <v/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IFERROR(__xludf.DUMMYFUNCTION("""COMPUTED_VALUE"""),"GroteSufferd")</f>
        <v>GroteSufferd</v>
      </c>
      <c r="R41" s="49">
        <f>IFERROR(__xludf.DUMMYFUNCTION("""COMPUTED_VALUE"""),306.0)</f>
        <v>306</v>
      </c>
      <c r="S41" s="49"/>
    </row>
    <row r="42">
      <c r="A42" s="43">
        <v>6.0</v>
      </c>
      <c r="B42" s="43">
        <v>1.0</v>
      </c>
      <c r="C42" s="111">
        <v>33.134861479848</v>
      </c>
      <c r="D42" s="111">
        <v>-117.099559242869</v>
      </c>
      <c r="E42" s="43" t="s">
        <v>98</v>
      </c>
      <c r="F42" s="44" t="s">
        <v>942</v>
      </c>
      <c r="G42" s="45" t="s">
        <v>1282</v>
      </c>
      <c r="H42" s="46"/>
      <c r="I42" s="11" t="b">
        <v>1</v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IFERROR(__xludf.DUMMYFUNCTION("""COMPUTED_VALUE"""),"hoekraam")</f>
        <v>hoekraam</v>
      </c>
      <c r="R42" s="49">
        <f>IFERROR(__xludf.DUMMYFUNCTION("""COMPUTED_VALUE"""),6641.0)</f>
        <v>6641</v>
      </c>
      <c r="S42" s="51">
        <v>44043.542724803236</v>
      </c>
    </row>
    <row r="43">
      <c r="A43" s="43">
        <v>6.0</v>
      </c>
      <c r="B43" s="43">
        <v>2.0</v>
      </c>
      <c r="C43" s="111">
        <v>33.1348614797303</v>
      </c>
      <c r="D43" s="111">
        <v>-117.099387601122</v>
      </c>
      <c r="E43" s="43" t="s">
        <v>98</v>
      </c>
      <c r="F43" s="44" t="s">
        <v>1094</v>
      </c>
      <c r="G43" s="45" t="s">
        <v>1283</v>
      </c>
      <c r="H43" s="46"/>
      <c r="I43" s="11" t="b">
        <v>1</v>
      </c>
      <c r="J43" s="47" t="str">
        <f t="shared" ref="J43:J59" si="4">if(I43=true,"",S43)</f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IFERROR(__xludf.DUMMYFUNCTION("""COMPUTED_VALUE"""),"Questing4")</f>
        <v>Questing4</v>
      </c>
      <c r="R43" s="49">
        <f>IFERROR(__xludf.DUMMYFUNCTION("""COMPUTED_VALUE"""),7105.0)</f>
        <v>7105</v>
      </c>
      <c r="S43" s="49"/>
    </row>
    <row r="44">
      <c r="A44" s="43">
        <v>6.0</v>
      </c>
      <c r="B44" s="43">
        <v>3.0</v>
      </c>
      <c r="C44" s="111">
        <v>33.1348614796126</v>
      </c>
      <c r="D44" s="111">
        <v>-117.099215959374</v>
      </c>
      <c r="E44" s="43" t="s">
        <v>103</v>
      </c>
      <c r="F44" s="44" t="s">
        <v>1284</v>
      </c>
      <c r="G44" s="45" t="s">
        <v>1285</v>
      </c>
      <c r="H44" s="46"/>
      <c r="I44" s="11" t="b">
        <v>1</v>
      </c>
      <c r="J44" s="47" t="str">
        <f t="shared" si="4"/>
        <v/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IFERROR(__xludf.DUMMYFUNCTION("""COMPUTED_VALUE"""),"rgforsythe")</f>
        <v>rgforsythe</v>
      </c>
      <c r="R44" s="49">
        <f>IFERROR(__xludf.DUMMYFUNCTION("""COMPUTED_VALUE"""),8522.0)</f>
        <v>8522</v>
      </c>
      <c r="S44" s="49"/>
    </row>
    <row r="45">
      <c r="A45" s="43">
        <v>6.0</v>
      </c>
      <c r="B45" s="43">
        <v>4.0</v>
      </c>
      <c r="C45" s="111">
        <v>33.134861479495</v>
      </c>
      <c r="D45" s="111">
        <v>-117.099044317627</v>
      </c>
      <c r="E45" s="43" t="s">
        <v>98</v>
      </c>
      <c r="F45" s="44" t="s">
        <v>136</v>
      </c>
      <c r="G45" s="65" t="s">
        <v>1286</v>
      </c>
      <c r="H45" s="46"/>
      <c r="I45" s="11" t="b">
        <v>1</v>
      </c>
      <c r="J45" s="47" t="str">
        <f t="shared" si="4"/>
        <v/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IFERROR(__xludf.DUMMYFUNCTION("""COMPUTED_VALUE"""),"OdinsFiRe")</f>
        <v>OdinsFiRe</v>
      </c>
      <c r="R45" s="49">
        <f>IFERROR(__xludf.DUMMYFUNCTION("""COMPUTED_VALUE"""),1520.0)</f>
        <v>1520</v>
      </c>
      <c r="S45" s="49"/>
    </row>
    <row r="46">
      <c r="A46" s="43">
        <v>6.0</v>
      </c>
      <c r="B46" s="43">
        <v>5.0</v>
      </c>
      <c r="C46" s="111">
        <v>33.1348614793773</v>
      </c>
      <c r="D46" s="111">
        <v>-117.09887267588</v>
      </c>
      <c r="E46" s="43" t="s">
        <v>98</v>
      </c>
      <c r="F46" s="44" t="s">
        <v>1287</v>
      </c>
      <c r="G46" s="45" t="s">
        <v>1288</v>
      </c>
      <c r="H46" s="46"/>
      <c r="I46" s="11" t="b">
        <v>1</v>
      </c>
      <c r="J46" s="47" t="str">
        <f t="shared" si="4"/>
        <v/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IFERROR(__xludf.DUMMYFUNCTION("""COMPUTED_VALUE"""),"roxiemama")</f>
        <v>roxiemama</v>
      </c>
      <c r="R46" s="49">
        <f>IFERROR(__xludf.DUMMYFUNCTION("""COMPUTED_VALUE"""),142.0)</f>
        <v>142</v>
      </c>
      <c r="S46" s="49"/>
    </row>
    <row r="47">
      <c r="A47" s="43">
        <v>6.0</v>
      </c>
      <c r="B47" s="43">
        <v>6.0</v>
      </c>
      <c r="C47" s="111">
        <v>33.1348614792596</v>
      </c>
      <c r="D47" s="111">
        <v>-117.098701034133</v>
      </c>
      <c r="E47" s="43" t="s">
        <v>103</v>
      </c>
      <c r="F47" s="44" t="s">
        <v>120</v>
      </c>
      <c r="G47" s="65" t="s">
        <v>1289</v>
      </c>
      <c r="H47" s="46"/>
      <c r="I47" s="11" t="b">
        <v>1</v>
      </c>
      <c r="J47" s="47" t="str">
        <f t="shared" si="4"/>
        <v/>
      </c>
      <c r="K47" s="49" t="str">
        <f>IFERROR(__xludf.DUMMYFUNCTION("IF(M47=1,IFERROR(IMPORTXML(G47, ""//p[@class='status-date']""),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IFERROR(__xludf.DUMMYFUNCTION("""COMPUTED_VALUE"""),"xrayneex")</f>
        <v>xrayneex</v>
      </c>
      <c r="R47" s="49">
        <f>IFERROR(__xludf.DUMMYFUNCTION("""COMPUTED_VALUE"""),1310.0)</f>
        <v>1310</v>
      </c>
      <c r="S47" s="49"/>
    </row>
    <row r="48">
      <c r="A48" s="43">
        <v>6.0</v>
      </c>
      <c r="B48" s="43">
        <v>7.0</v>
      </c>
      <c r="C48" s="111">
        <v>33.1348614791419</v>
      </c>
      <c r="D48" s="111">
        <v>-117.098529392385</v>
      </c>
      <c r="E48" s="43" t="s">
        <v>98</v>
      </c>
      <c r="F48" s="44" t="s">
        <v>145</v>
      </c>
      <c r="G48" s="52" t="s">
        <v>1290</v>
      </c>
      <c r="H48" s="120"/>
      <c r="I48" s="11" t="b">
        <v>1</v>
      </c>
      <c r="J48" s="47" t="str">
        <f t="shared" si="4"/>
        <v/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IFERROR(__xludf.DUMMYFUNCTION("""COMPUTED_VALUE"""),4047.0)</f>
        <v>4047</v>
      </c>
      <c r="S48" s="49"/>
    </row>
    <row r="49">
      <c r="A49" s="43">
        <v>6.0</v>
      </c>
      <c r="B49" s="43">
        <v>8.0</v>
      </c>
      <c r="C49" s="111">
        <v>33.1348614790242</v>
      </c>
      <c r="D49" s="111">
        <v>-117.098357750638</v>
      </c>
      <c r="E49" s="43" t="s">
        <v>98</v>
      </c>
      <c r="F49" s="44" t="s">
        <v>147</v>
      </c>
      <c r="G49" s="52" t="s">
        <v>1291</v>
      </c>
      <c r="H49" s="120"/>
      <c r="I49" s="11" t="b">
        <v>1</v>
      </c>
      <c r="J49" s="47" t="str">
        <f t="shared" si="4"/>
        <v/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IFERROR(__xludf.DUMMYFUNCTION("""COMPUTED_VALUE"""),6734.0)</f>
        <v>6734</v>
      </c>
      <c r="S49" s="49"/>
    </row>
    <row r="50">
      <c r="A50" s="43">
        <v>7.0</v>
      </c>
      <c r="B50" s="43">
        <v>2.0</v>
      </c>
      <c r="C50" s="111">
        <v>33.1347177492851</v>
      </c>
      <c r="D50" s="111">
        <v>-117.09938760871</v>
      </c>
      <c r="E50" s="43" t="s">
        <v>103</v>
      </c>
      <c r="F50" s="44" t="s">
        <v>314</v>
      </c>
      <c r="G50" s="52" t="s">
        <v>1292</v>
      </c>
      <c r="H50" s="120"/>
      <c r="I50" s="11" t="b">
        <v>1</v>
      </c>
      <c r="J50" s="47" t="str">
        <f t="shared" si="4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IFERROR(__xludf.DUMMYFUNCTION("""COMPUTED_VALUE"""),"Trappertje")</f>
        <v>Trappertje</v>
      </c>
      <c r="R50" s="49">
        <f>IFERROR(__xludf.DUMMYFUNCTION("""COMPUTED_VALUE"""),4588.0)</f>
        <v>4588</v>
      </c>
      <c r="S50" s="49"/>
    </row>
    <row r="51">
      <c r="A51" s="43">
        <v>7.0</v>
      </c>
      <c r="B51" s="43">
        <v>3.0</v>
      </c>
      <c r="C51" s="111">
        <v>33.1347177491674</v>
      </c>
      <c r="D51" s="111">
        <v>-117.099215967244</v>
      </c>
      <c r="E51" s="43" t="s">
        <v>98</v>
      </c>
      <c r="F51" s="44" t="s">
        <v>956</v>
      </c>
      <c r="G51" s="54" t="s">
        <v>1293</v>
      </c>
      <c r="H51" s="120"/>
      <c r="I51" s="11" t="b">
        <v>1</v>
      </c>
      <c r="J51" s="47" t="str">
        <f t="shared" si="4"/>
        <v/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IFERROR(__xludf.DUMMYFUNCTION("""COMPUTED_VALUE"""),"benotje")</f>
        <v>benotje</v>
      </c>
      <c r="R51" s="49">
        <f>IFERROR(__xludf.DUMMYFUNCTION("""COMPUTED_VALUE"""),1340.0)</f>
        <v>1340</v>
      </c>
      <c r="S51" s="49"/>
    </row>
    <row r="52">
      <c r="A52" s="55">
        <v>7.0</v>
      </c>
      <c r="B52" s="55">
        <v>4.0</v>
      </c>
      <c r="C52" s="132">
        <v>33.1347177490497</v>
      </c>
      <c r="D52" s="132">
        <v>-117.099044325778</v>
      </c>
      <c r="E52" s="55" t="s">
        <v>98</v>
      </c>
      <c r="F52" s="44" t="s">
        <v>116</v>
      </c>
      <c r="G52" s="45" t="s">
        <v>1294</v>
      </c>
      <c r="H52" s="46"/>
      <c r="I52" s="11" t="b">
        <v>1</v>
      </c>
      <c r="J52" s="47" t="str">
        <f t="shared" si="4"/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IFERROR(__xludf.DUMMYFUNCTION("""COMPUTED_VALUE"""),"fsafranek")</f>
        <v>fsafranek</v>
      </c>
      <c r="R52" s="49">
        <f>IFERROR(__xludf.DUMMYFUNCTION("""COMPUTED_VALUE"""),4429.0)</f>
        <v>4429</v>
      </c>
      <c r="S52" s="49"/>
    </row>
    <row r="53">
      <c r="A53" s="43">
        <v>7.0</v>
      </c>
      <c r="B53" s="43">
        <v>5.0</v>
      </c>
      <c r="C53" s="111">
        <v>33.134717748932</v>
      </c>
      <c r="D53" s="111">
        <v>-117.098872684312</v>
      </c>
      <c r="E53" s="43" t="s">
        <v>98</v>
      </c>
      <c r="F53" s="44" t="s">
        <v>1295</v>
      </c>
      <c r="G53" s="45" t="s">
        <v>1296</v>
      </c>
      <c r="H53" s="46"/>
      <c r="I53" s="11" t="b">
        <v>1</v>
      </c>
      <c r="J53" s="47" t="str">
        <f t="shared" si="4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IFERROR(__xludf.DUMMYFUNCTION("""COMPUTED_VALUE"""),"EmileP68")</f>
        <v>EmileP68</v>
      </c>
      <c r="R53" s="49">
        <f>IFERROR(__xludf.DUMMYFUNCTION("""COMPUTED_VALUE"""),3093.0)</f>
        <v>3093</v>
      </c>
      <c r="S53" s="51">
        <v>44047.95745775463</v>
      </c>
    </row>
    <row r="54">
      <c r="A54" s="43">
        <v>7.0</v>
      </c>
      <c r="B54" s="43">
        <v>6.0</v>
      </c>
      <c r="C54" s="111">
        <v>33.1347177488144</v>
      </c>
      <c r="D54" s="111">
        <v>-117.098701042846</v>
      </c>
      <c r="E54" s="43" t="s">
        <v>98</v>
      </c>
      <c r="F54" s="44" t="s">
        <v>1297</v>
      </c>
      <c r="G54" s="45" t="s">
        <v>1298</v>
      </c>
      <c r="H54" s="46"/>
      <c r="I54" s="11" t="b">
        <v>1</v>
      </c>
      <c r="J54" s="47" t="str">
        <f t="shared" si="4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IFERROR(__xludf.DUMMYFUNCTION("""COMPUTED_VALUE"""),"PawPatrolThomas")</f>
        <v>PawPatrolThomas</v>
      </c>
      <c r="R54" s="49">
        <f>IFERROR(__xludf.DUMMYFUNCTION("""COMPUTED_VALUE"""),2392.0)</f>
        <v>2392</v>
      </c>
      <c r="S54" s="51">
        <v>44047.9192603125</v>
      </c>
    </row>
    <row r="55">
      <c r="A55" s="43">
        <v>7.0</v>
      </c>
      <c r="B55" s="43">
        <v>7.0</v>
      </c>
      <c r="C55" s="111">
        <v>33.1347177486967</v>
      </c>
      <c r="D55" s="111">
        <v>-117.09852940138</v>
      </c>
      <c r="E55" s="43" t="s">
        <v>98</v>
      </c>
      <c r="F55" s="44" t="s">
        <v>101</v>
      </c>
      <c r="G55" s="45" t="s">
        <v>1299</v>
      </c>
      <c r="H55" s="133"/>
      <c r="I55" s="11" t="b">
        <v>1</v>
      </c>
      <c r="J55" s="47" t="str">
        <f t="shared" si="4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IFERROR(__xludf.DUMMYFUNCTION("""COMPUTED_VALUE"""),"sverlaan")</f>
        <v>sverlaan</v>
      </c>
      <c r="R55" s="49">
        <f>IFERROR(__xludf.DUMMYFUNCTION("""COMPUTED_VALUE"""),4201.0)</f>
        <v>4201</v>
      </c>
      <c r="S55" s="51">
        <v>44043.544619328706</v>
      </c>
    </row>
    <row r="56">
      <c r="A56" s="43">
        <v>8.0</v>
      </c>
      <c r="B56" s="43">
        <v>3.0</v>
      </c>
      <c r="C56" s="111">
        <v>33.134574018722</v>
      </c>
      <c r="D56" s="111">
        <v>-117.099215975114</v>
      </c>
      <c r="E56" s="43" t="s">
        <v>98</v>
      </c>
      <c r="F56" s="44" t="s">
        <v>319</v>
      </c>
      <c r="G56" s="45" t="s">
        <v>1300</v>
      </c>
      <c r="H56" s="46"/>
      <c r="I56" s="11" t="b">
        <v>1</v>
      </c>
      <c r="J56" s="47" t="str">
        <f t="shared" si="4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IFERROR(__xludf.DUMMYFUNCTION("""COMPUTED_VALUE"""),"belladivadee")</f>
        <v>belladivadee</v>
      </c>
      <c r="R56" s="49">
        <f>IFERROR(__xludf.DUMMYFUNCTION("""COMPUTED_VALUE"""),2951.0)</f>
        <v>2951</v>
      </c>
      <c r="S56" s="49"/>
    </row>
    <row r="57">
      <c r="A57" s="43">
        <v>8.0</v>
      </c>
      <c r="B57" s="43">
        <v>4.0</v>
      </c>
      <c r="C57" s="111">
        <v>33.1345740186043</v>
      </c>
      <c r="D57" s="111">
        <v>-117.099044333929</v>
      </c>
      <c r="E57" s="43" t="s">
        <v>103</v>
      </c>
      <c r="F57" s="44" t="s">
        <v>134</v>
      </c>
      <c r="G57" s="45" t="s">
        <v>1301</v>
      </c>
      <c r="H57" s="46"/>
      <c r="I57" s="11" t="b">
        <v>1</v>
      </c>
      <c r="J57" s="47" t="str">
        <f t="shared" si="4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IFERROR(__xludf.DUMMYFUNCTION("""COMPUTED_VALUE"""),"Wangotango")</f>
        <v>Wangotango</v>
      </c>
      <c r="R57" s="49">
        <f>IFERROR(__xludf.DUMMYFUNCTION("""COMPUTED_VALUE"""),1184.0)</f>
        <v>1184</v>
      </c>
      <c r="S57" s="49"/>
    </row>
    <row r="58">
      <c r="A58" s="43">
        <v>8.0</v>
      </c>
      <c r="B58" s="43">
        <v>5.0</v>
      </c>
      <c r="C58" s="111">
        <v>33.1345740184866</v>
      </c>
      <c r="D58" s="111">
        <v>-117.098872692744</v>
      </c>
      <c r="E58" s="43" t="s">
        <v>103</v>
      </c>
      <c r="F58" s="44" t="s">
        <v>885</v>
      </c>
      <c r="G58" s="45" t="s">
        <v>1302</v>
      </c>
      <c r="H58" s="46"/>
      <c r="I58" s="11" t="b">
        <v>1</v>
      </c>
      <c r="J58" s="47" t="str">
        <f t="shared" si="4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IFERROR(__xludf.DUMMYFUNCTION("""COMPUTED_VALUE"""),"JackSparrow")</f>
        <v>JackSparrow</v>
      </c>
      <c r="R58" s="49">
        <f>IFERROR(__xludf.DUMMYFUNCTION("""COMPUTED_VALUE"""),19357.0)</f>
        <v>19357</v>
      </c>
      <c r="S58" s="49"/>
    </row>
    <row r="59">
      <c r="A59" s="43">
        <v>8.0</v>
      </c>
      <c r="B59" s="43">
        <v>6.0</v>
      </c>
      <c r="C59" s="111">
        <v>33.1345740183689</v>
      </c>
      <c r="D59" s="111">
        <v>-117.098701051558</v>
      </c>
      <c r="E59" s="43" t="s">
        <v>98</v>
      </c>
      <c r="F59" s="44" t="s">
        <v>149</v>
      </c>
      <c r="G59" s="65" t="s">
        <v>1303</v>
      </c>
      <c r="H59" s="46"/>
      <c r="I59" s="11" t="b">
        <v>1</v>
      </c>
      <c r="J59" s="47" t="str">
        <f t="shared" si="4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IFERROR(__xludf.DUMMYFUNCTION("""COMPUTED_VALUE"""),"Bisquick2")</f>
        <v>Bisquick2</v>
      </c>
      <c r="R59" s="49">
        <f>IFERROR(__xludf.DUMMYFUNCTION("""COMPUTED_VALUE"""),4005.0)</f>
        <v>4005</v>
      </c>
      <c r="S59" s="49"/>
    </row>
    <row r="60">
      <c r="C60" s="116"/>
      <c r="D60" s="116"/>
      <c r="H60" s="134"/>
    </row>
    <row r="61" hidden="1">
      <c r="C61" s="116"/>
      <c r="D61" s="116"/>
      <c r="F61" s="47">
        <f t="shared" ref="F61:G61" si="5">COUNTIF(F8:F59,"")</f>
        <v>0</v>
      </c>
      <c r="G61" s="47">
        <f t="shared" si="5"/>
        <v>0</v>
      </c>
      <c r="I61" s="47">
        <f>COUNTIF(I8:I59,TRUE)</f>
        <v>52</v>
      </c>
    </row>
    <row r="62" hidden="1">
      <c r="C62" s="116"/>
      <c r="D62" s="116"/>
    </row>
    <row r="63">
      <c r="C63" s="116"/>
      <c r="D63" s="116"/>
    </row>
    <row r="64">
      <c r="C64" s="116"/>
      <c r="D64" s="116"/>
    </row>
    <row r="65">
      <c r="C65" s="116"/>
      <c r="D65" s="116"/>
    </row>
    <row r="66">
      <c r="C66" s="116"/>
      <c r="D66" s="116"/>
    </row>
    <row r="67">
      <c r="C67" s="116"/>
      <c r="D67" s="116"/>
    </row>
    <row r="68">
      <c r="C68" s="116"/>
      <c r="D68" s="116"/>
    </row>
    <row r="69">
      <c r="C69" s="116"/>
      <c r="D69" s="116"/>
    </row>
    <row r="70">
      <c r="C70" s="116"/>
      <c r="D70" s="116"/>
    </row>
    <row r="71">
      <c r="C71" s="116"/>
      <c r="D71" s="116"/>
    </row>
    <row r="72">
      <c r="C72" s="116"/>
      <c r="D72" s="116"/>
    </row>
    <row r="73">
      <c r="C73" s="116"/>
      <c r="D73" s="116"/>
    </row>
    <row r="74">
      <c r="C74" s="116"/>
      <c r="D74" s="116"/>
    </row>
    <row r="75">
      <c r="C75" s="116"/>
      <c r="D75" s="116"/>
    </row>
    <row r="76">
      <c r="C76" s="116"/>
      <c r="D76" s="116"/>
    </row>
    <row r="77">
      <c r="C77" s="116"/>
      <c r="D77" s="116"/>
    </row>
    <row r="78">
      <c r="C78" s="116"/>
      <c r="D78" s="116"/>
    </row>
    <row r="79">
      <c r="C79" s="116"/>
      <c r="D79" s="116"/>
    </row>
    <row r="80">
      <c r="C80" s="116"/>
      <c r="D80" s="116"/>
    </row>
    <row r="81">
      <c r="C81" s="116"/>
      <c r="D81" s="116"/>
    </row>
    <row r="82">
      <c r="C82" s="116"/>
      <c r="D82" s="116"/>
    </row>
    <row r="83">
      <c r="C83" s="116"/>
      <c r="D83" s="116"/>
    </row>
    <row r="84">
      <c r="C84" s="116"/>
      <c r="D84" s="116"/>
    </row>
    <row r="85">
      <c r="C85" s="116"/>
      <c r="D85" s="116"/>
    </row>
    <row r="86">
      <c r="C86" s="116"/>
      <c r="D86" s="116"/>
    </row>
    <row r="87">
      <c r="C87" s="116"/>
      <c r="D87" s="116"/>
    </row>
    <row r="88">
      <c r="C88" s="116"/>
      <c r="D88" s="116"/>
    </row>
    <row r="89">
      <c r="C89" s="116"/>
      <c r="D89" s="116"/>
    </row>
    <row r="90">
      <c r="C90" s="116"/>
      <c r="D90" s="116"/>
    </row>
    <row r="91">
      <c r="C91" s="116"/>
      <c r="D91" s="116"/>
    </row>
    <row r="92">
      <c r="C92" s="116"/>
      <c r="D92" s="116"/>
    </row>
  </sheetData>
  <mergeCells count="4">
    <mergeCell ref="B1:C1"/>
    <mergeCell ref="H1:H2"/>
    <mergeCell ref="I1:I2"/>
    <mergeCell ref="N7:S7"/>
  </mergeCells>
  <conditionalFormatting sqref="F1 F8:F14 F16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2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6AA84F"/>
    <outlinePr summaryBelow="0" summaryRight="0"/>
  </sheetPr>
  <sheetViews>
    <sheetView workbookViewId="0"/>
  </sheetViews>
  <sheetFormatPr customHeight="1" defaultColWidth="12.63" defaultRowHeight="15.75" outlineLevelCol="1"/>
  <cols>
    <col customWidth="1" min="1" max="1" width="9.0"/>
    <col customWidth="1" min="2" max="2" width="7.75"/>
    <col customWidth="1" min="3" max="3" width="15.25"/>
    <col customWidth="1" min="4" max="4" width="14.38"/>
    <col customWidth="1" min="5" max="5" width="17.25"/>
    <col customWidth="1" min="6" max="6" width="14.25"/>
    <col customWidth="1" min="7" max="7" width="38.88"/>
    <col customWidth="1" min="8" max="8" width="15.0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23</v>
      </c>
      <c r="B1" s="37" t="s">
        <v>58</v>
      </c>
      <c r="D1" s="37"/>
      <c r="E1" s="2" t="s">
        <v>79</v>
      </c>
      <c r="F1" s="59" t="s">
        <v>1304</v>
      </c>
      <c r="G1" s="69" t="s">
        <v>1305</v>
      </c>
      <c r="H1" s="2"/>
      <c r="I1" s="2"/>
      <c r="J1" s="135"/>
      <c r="K1" s="5"/>
      <c r="L1" s="5"/>
      <c r="M1" s="5"/>
      <c r="N1" s="5"/>
      <c r="O1" s="5"/>
      <c r="P1" s="5"/>
      <c r="Q1" s="5"/>
      <c r="R1" s="5"/>
      <c r="S1" s="75">
        <v>44294.87097094908</v>
      </c>
    </row>
    <row r="2">
      <c r="A2" s="2"/>
      <c r="B2" s="2"/>
      <c r="C2" s="2"/>
      <c r="D2" s="2"/>
      <c r="E2" s="2" t="s">
        <v>82</v>
      </c>
      <c r="F2" s="2"/>
      <c r="G2" s="4" t="s">
        <v>1306</v>
      </c>
      <c r="H2" s="97" t="s">
        <v>769</v>
      </c>
      <c r="I2" s="2"/>
      <c r="J2" s="13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I3" s="2"/>
      <c r="J3" s="13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13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136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  <c r="J6" s="86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37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138">
        <v>43.63639211</v>
      </c>
      <c r="D8" s="138">
        <v>-79.90599518</v>
      </c>
      <c r="E8" s="43" t="s">
        <v>98</v>
      </c>
      <c r="F8" s="44" t="s">
        <v>319</v>
      </c>
      <c r="G8" s="45" t="s">
        <v>1307</v>
      </c>
      <c r="H8" s="71"/>
      <c r="I8" s="11" t="b">
        <v>1</v>
      </c>
      <c r="J8" s="86" t="str">
        <f t="shared" ref="J8:J28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IFERROR(__xludf.DUMMYFUNCTION("""COMPUTED_VALUE"""),3180.0)</f>
        <v>3180</v>
      </c>
      <c r="S8" s="51">
        <v>44294.86831791667</v>
      </c>
    </row>
    <row r="9">
      <c r="A9" s="43">
        <v>1.0</v>
      </c>
      <c r="B9" s="43">
        <v>4.0</v>
      </c>
      <c r="C9" s="138">
        <v>43.63639211</v>
      </c>
      <c r="D9" s="138">
        <v>-79.90579658</v>
      </c>
      <c r="E9" s="43" t="s">
        <v>98</v>
      </c>
      <c r="F9" s="44" t="s">
        <v>101</v>
      </c>
      <c r="G9" s="45" t="s">
        <v>1308</v>
      </c>
      <c r="H9" s="71"/>
      <c r="I9" s="11" t="b">
        <v>1</v>
      </c>
      <c r="J9" s="86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IFERROR(__xludf.DUMMYFUNCTION("""COMPUTED_VALUE"""),5335.0)</f>
        <v>5335</v>
      </c>
      <c r="S9" s="51">
        <v>44294.86836399305</v>
      </c>
    </row>
    <row r="10">
      <c r="A10" s="43">
        <v>1.0</v>
      </c>
      <c r="B10" s="43">
        <v>5.0</v>
      </c>
      <c r="C10" s="138">
        <v>43.63639211</v>
      </c>
      <c r="D10" s="138">
        <v>-79.90559799</v>
      </c>
      <c r="E10" s="43" t="s">
        <v>103</v>
      </c>
      <c r="F10" s="44" t="s">
        <v>323</v>
      </c>
      <c r="G10" s="45" t="s">
        <v>1309</v>
      </c>
      <c r="H10" s="71"/>
      <c r="I10" s="11" t="b">
        <v>1</v>
      </c>
      <c r="J10" s="86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IFERROR(__xludf.DUMMYFUNCTION("""COMPUTED_VALUE"""),3302.0)</f>
        <v>3302</v>
      </c>
      <c r="S10" s="51">
        <v>44294.86842229166</v>
      </c>
    </row>
    <row r="11">
      <c r="A11" s="43">
        <v>1.0</v>
      </c>
      <c r="B11" s="43">
        <v>6.0</v>
      </c>
      <c r="C11" s="138">
        <v>43.63639211</v>
      </c>
      <c r="D11" s="138">
        <v>-79.90539939</v>
      </c>
      <c r="E11" s="43" t="s">
        <v>103</v>
      </c>
      <c r="F11" s="44" t="s">
        <v>217</v>
      </c>
      <c r="G11" s="45" t="s">
        <v>1310</v>
      </c>
      <c r="H11" s="71"/>
      <c r="I11" s="11" t="b">
        <v>1</v>
      </c>
      <c r="J11" s="86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IFERROR(__xludf.DUMMYFUNCTION("""COMPUTED_VALUE"""),4066.0)</f>
        <v>4066</v>
      </c>
      <c r="S11" s="51">
        <v>44294.86849418981</v>
      </c>
    </row>
    <row r="12">
      <c r="A12" s="43">
        <v>2.0</v>
      </c>
      <c r="B12" s="43">
        <v>2.0</v>
      </c>
      <c r="C12" s="138">
        <v>43.63624838</v>
      </c>
      <c r="D12" s="138">
        <v>-79.90619379</v>
      </c>
      <c r="E12" s="43" t="s">
        <v>98</v>
      </c>
      <c r="F12" s="44" t="s">
        <v>140</v>
      </c>
      <c r="G12" s="45" t="s">
        <v>1311</v>
      </c>
      <c r="H12" s="139"/>
      <c r="I12" s="11" t="b">
        <v>1</v>
      </c>
      <c r="J12" s="86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IFERROR(__xludf.DUMMYFUNCTION("""COMPUTED_VALUE"""),"Fossillady")</f>
        <v>Fossillady</v>
      </c>
      <c r="R12" s="49">
        <f>IFERROR(__xludf.DUMMYFUNCTION("""COMPUTED_VALUE"""),4419.0)</f>
        <v>4419</v>
      </c>
      <c r="S12" s="49"/>
    </row>
    <row r="13">
      <c r="A13" s="43">
        <v>2.0</v>
      </c>
      <c r="B13" s="43">
        <v>3.0</v>
      </c>
      <c r="C13" s="138">
        <v>43.63624838</v>
      </c>
      <c r="D13" s="138">
        <v>-79.90599519</v>
      </c>
      <c r="E13" s="43" t="s">
        <v>98</v>
      </c>
      <c r="F13" s="44" t="s">
        <v>120</v>
      </c>
      <c r="G13" s="45" t="s">
        <v>1312</v>
      </c>
      <c r="H13" s="71"/>
      <c r="I13" s="11" t="b">
        <v>1</v>
      </c>
      <c r="J13" s="86" t="str">
        <f t="shared" si="1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IFERROR(__xludf.DUMMYFUNCTION("""COMPUTED_VALUE"""),"xrayneex")</f>
        <v>xrayneex</v>
      </c>
      <c r="R13" s="49">
        <f>IFERROR(__xludf.DUMMYFUNCTION("""COMPUTED_VALUE"""),2281.0)</f>
        <v>2281</v>
      </c>
      <c r="S13" s="49"/>
    </row>
    <row r="14">
      <c r="A14" s="43">
        <v>2.0</v>
      </c>
      <c r="B14" s="43">
        <v>4.0</v>
      </c>
      <c r="C14" s="138">
        <v>43.63624838</v>
      </c>
      <c r="D14" s="138">
        <v>-79.90579659</v>
      </c>
      <c r="E14" s="43" t="s">
        <v>98</v>
      </c>
      <c r="F14" s="44" t="s">
        <v>207</v>
      </c>
      <c r="G14" s="45" t="s">
        <v>1313</v>
      </c>
      <c r="H14" s="71"/>
      <c r="I14" s="11" t="b">
        <v>1</v>
      </c>
      <c r="J14" s="86" t="str">
        <f t="shared" si="1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IFERROR(__xludf.DUMMYFUNCTION("""COMPUTED_VALUE"""),"5Star")</f>
        <v>5Star</v>
      </c>
      <c r="R14" s="49">
        <f>IFERROR(__xludf.DUMMYFUNCTION("""COMPUTED_VALUE"""),7451.0)</f>
        <v>7451</v>
      </c>
      <c r="S14" s="51">
        <v>44294.87056105324</v>
      </c>
    </row>
    <row r="15">
      <c r="A15" s="43">
        <v>2.0</v>
      </c>
      <c r="B15" s="43">
        <v>5.0</v>
      </c>
      <c r="C15" s="138">
        <v>43.63624838</v>
      </c>
      <c r="D15" s="138">
        <v>-79.905598</v>
      </c>
      <c r="E15" s="43" t="s">
        <v>103</v>
      </c>
      <c r="F15" s="44" t="s">
        <v>178</v>
      </c>
      <c r="G15" s="45" t="s">
        <v>1314</v>
      </c>
      <c r="H15" s="71"/>
      <c r="I15" s="11" t="b">
        <v>1</v>
      </c>
      <c r="J15" s="86" t="str">
        <f t="shared" si="1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IFERROR(__xludf.DUMMYFUNCTION("""COMPUTED_VALUE"""),"lison55")</f>
        <v>lison55</v>
      </c>
      <c r="R15" s="49">
        <f>IFERROR(__xludf.DUMMYFUNCTION("""COMPUTED_VALUE"""),6322.0)</f>
        <v>6322</v>
      </c>
      <c r="S15" s="49"/>
    </row>
    <row r="16">
      <c r="A16" s="43">
        <v>2.0</v>
      </c>
      <c r="B16" s="43">
        <v>6.0</v>
      </c>
      <c r="C16" s="138">
        <v>43.63624838</v>
      </c>
      <c r="D16" s="138">
        <v>-79.9053994</v>
      </c>
      <c r="E16" s="43" t="s">
        <v>98</v>
      </c>
      <c r="F16" s="44" t="s">
        <v>1315</v>
      </c>
      <c r="G16" s="45" t="s">
        <v>1316</v>
      </c>
      <c r="H16" s="71"/>
      <c r="I16" s="11" t="b">
        <v>1</v>
      </c>
      <c r="J16" s="86" t="str">
        <f t="shared" si="1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IFERROR(__xludf.DUMMYFUNCTION("""COMPUTED_VALUE"""),"jwg68")</f>
        <v>jwg68</v>
      </c>
      <c r="R16" s="49">
        <f>IFERROR(__xludf.DUMMYFUNCTION("""COMPUTED_VALUE"""),1652.0)</f>
        <v>1652</v>
      </c>
      <c r="S16" s="49"/>
    </row>
    <row r="17">
      <c r="A17" s="43">
        <v>2.0</v>
      </c>
      <c r="B17" s="43">
        <v>7.0</v>
      </c>
      <c r="C17" s="138">
        <v>43.63624838</v>
      </c>
      <c r="D17" s="138">
        <v>-79.90520081</v>
      </c>
      <c r="E17" s="43" t="s">
        <v>98</v>
      </c>
      <c r="F17" s="44" t="s">
        <v>116</v>
      </c>
      <c r="G17" s="45" t="s">
        <v>1317</v>
      </c>
      <c r="H17" s="71"/>
      <c r="I17" s="11" t="b">
        <v>1</v>
      </c>
      <c r="J17" s="86" t="str">
        <f t="shared" si="1"/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IFERROR(__xludf.DUMMYFUNCTION("""COMPUTED_VALUE"""),"fsafranek")</f>
        <v>fsafranek</v>
      </c>
      <c r="R17" s="49">
        <f>IFERROR(__xludf.DUMMYFUNCTION("""COMPUTED_VALUE"""),5302.0)</f>
        <v>5302</v>
      </c>
      <c r="S17" s="49"/>
    </row>
    <row r="18">
      <c r="A18" s="43">
        <v>3.0</v>
      </c>
      <c r="B18" s="43">
        <v>1.0</v>
      </c>
      <c r="C18" s="138">
        <v>43.63610465</v>
      </c>
      <c r="D18" s="138">
        <v>-79.90639239</v>
      </c>
      <c r="E18" s="43" t="s">
        <v>98</v>
      </c>
      <c r="F18" s="44" t="s">
        <v>122</v>
      </c>
      <c r="G18" s="45" t="s">
        <v>1318</v>
      </c>
      <c r="H18" s="140"/>
      <c r="I18" s="11" t="b">
        <v>1</v>
      </c>
      <c r="J18" s="86" t="str">
        <f t="shared" si="1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IFERROR(__xludf.DUMMYFUNCTION("""COMPUTED_VALUE"""),"Drazoria")</f>
        <v>Drazoria</v>
      </c>
      <c r="R18" s="49">
        <f>IFERROR(__xludf.DUMMYFUNCTION("""COMPUTED_VALUE"""),1545.0)</f>
        <v>1545</v>
      </c>
      <c r="S18" s="51">
        <v>44296.180313680554</v>
      </c>
    </row>
    <row r="19">
      <c r="A19" s="43">
        <v>3.0</v>
      </c>
      <c r="B19" s="43">
        <v>2.0</v>
      </c>
      <c r="C19" s="138">
        <v>43.63610465</v>
      </c>
      <c r="D19" s="138">
        <v>-79.9061938</v>
      </c>
      <c r="E19" s="43" t="s">
        <v>98</v>
      </c>
      <c r="F19" s="44" t="s">
        <v>1319</v>
      </c>
      <c r="G19" s="45" t="s">
        <v>1320</v>
      </c>
      <c r="H19" s="140"/>
      <c r="I19" s="11" t="b">
        <v>1</v>
      </c>
      <c r="J19" s="86" t="str">
        <f t="shared" si="1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IFERROR(__xludf.DUMMYFUNCTION("""COMPUTED_VALUE"""),"Tinake1309")</f>
        <v>Tinake1309</v>
      </c>
      <c r="R19" s="49">
        <f>IFERROR(__xludf.DUMMYFUNCTION("""COMPUTED_VALUE"""),1582.0)</f>
        <v>1582</v>
      </c>
      <c r="S19" s="51">
        <v>44296.18035230324</v>
      </c>
    </row>
    <row r="20">
      <c r="A20" s="43">
        <v>3.0</v>
      </c>
      <c r="B20" s="43">
        <v>3.0</v>
      </c>
      <c r="C20" s="138">
        <v>43.63610465</v>
      </c>
      <c r="D20" s="138">
        <v>-79.9059952</v>
      </c>
      <c r="E20" s="43" t="s">
        <v>98</v>
      </c>
      <c r="F20" s="44" t="s">
        <v>126</v>
      </c>
      <c r="G20" s="45" t="s">
        <v>1321</v>
      </c>
      <c r="H20" s="140"/>
      <c r="I20" s="11" t="b">
        <v>1</v>
      </c>
      <c r="J20" s="86" t="str">
        <f t="shared" si="1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IFERROR(__xludf.DUMMYFUNCTION("""COMPUTED_VALUE"""),"Berg14")</f>
        <v>Berg14</v>
      </c>
      <c r="R20" s="49">
        <f>IFERROR(__xludf.DUMMYFUNCTION("""COMPUTED_VALUE"""),1372.0)</f>
        <v>1372</v>
      </c>
      <c r="S20" s="51">
        <v>44296.18041256945</v>
      </c>
    </row>
    <row r="21">
      <c r="A21" s="43">
        <v>3.0</v>
      </c>
      <c r="B21" s="43">
        <v>4.0</v>
      </c>
      <c r="C21" s="138">
        <v>43.63610465</v>
      </c>
      <c r="D21" s="138">
        <v>-79.90579661</v>
      </c>
      <c r="E21" s="43" t="s">
        <v>98</v>
      </c>
      <c r="F21" s="44" t="s">
        <v>128</v>
      </c>
      <c r="G21" s="45" t="s">
        <v>1322</v>
      </c>
      <c r="H21" s="140"/>
      <c r="I21" s="11" t="b">
        <v>1</v>
      </c>
      <c r="J21" s="86" t="str">
        <f t="shared" si="1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IFERROR(__xludf.DUMMYFUNCTION("""COMPUTED_VALUE"""),"Niks13")</f>
        <v>Niks13</v>
      </c>
      <c r="R21" s="49">
        <f>IFERROR(__xludf.DUMMYFUNCTION("""COMPUTED_VALUE"""),1409.0)</f>
        <v>1409</v>
      </c>
      <c r="S21" s="51">
        <v>44296.18045497686</v>
      </c>
    </row>
    <row r="22">
      <c r="A22" s="43">
        <v>3.0</v>
      </c>
      <c r="B22" s="43">
        <v>5.0</v>
      </c>
      <c r="C22" s="138">
        <v>43.63610465</v>
      </c>
      <c r="D22" s="138">
        <v>-79.90559801</v>
      </c>
      <c r="E22" s="43" t="s">
        <v>98</v>
      </c>
      <c r="F22" s="44" t="s">
        <v>517</v>
      </c>
      <c r="G22" s="45" t="s">
        <v>1323</v>
      </c>
      <c r="H22" s="71"/>
      <c r="I22" s="11" t="b">
        <v>1</v>
      </c>
      <c r="J22" s="86" t="str">
        <f t="shared" si="1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IFERROR(__xludf.DUMMYFUNCTION("""COMPUTED_VALUE"""),"WetCoaster")</f>
        <v>WetCoaster</v>
      </c>
      <c r="R22" s="49">
        <f>IFERROR(__xludf.DUMMYFUNCTION("""COMPUTED_VALUE"""),4100.0)</f>
        <v>4100</v>
      </c>
      <c r="S22" s="49"/>
    </row>
    <row r="23">
      <c r="A23" s="43">
        <v>3.0</v>
      </c>
      <c r="B23" s="43">
        <v>6.0</v>
      </c>
      <c r="C23" s="138">
        <v>43.63610465</v>
      </c>
      <c r="D23" s="138">
        <v>-79.90539942</v>
      </c>
      <c r="E23" s="43" t="s">
        <v>98</v>
      </c>
      <c r="F23" s="44" t="s">
        <v>190</v>
      </c>
      <c r="G23" s="52" t="s">
        <v>1324</v>
      </c>
      <c r="H23" s="71"/>
      <c r="I23" s="11" t="b">
        <v>1</v>
      </c>
      <c r="J23" s="86" t="str">
        <f t="shared" si="1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IFERROR(__xludf.DUMMYFUNCTION("""COMPUTED_VALUE"""),"GroteSufferd")</f>
        <v>GroteSufferd</v>
      </c>
      <c r="R23" s="49">
        <f>IFERROR(__xludf.DUMMYFUNCTION("""COMPUTED_VALUE"""),739.0)</f>
        <v>739</v>
      </c>
      <c r="S23" s="49"/>
    </row>
    <row r="24">
      <c r="A24" s="43">
        <v>3.0</v>
      </c>
      <c r="B24" s="43">
        <v>7.0</v>
      </c>
      <c r="C24" s="138">
        <v>43.63610465</v>
      </c>
      <c r="D24" s="138">
        <v>-79.90520082</v>
      </c>
      <c r="E24" s="43" t="s">
        <v>98</v>
      </c>
      <c r="F24" s="44" t="s">
        <v>112</v>
      </c>
      <c r="G24" s="52" t="s">
        <v>1325</v>
      </c>
      <c r="H24" s="71"/>
      <c r="I24" s="11" t="b">
        <v>1</v>
      </c>
      <c r="J24" s="86" t="str">
        <f t="shared" si="1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IFERROR(__xludf.DUMMYFUNCTION("""COMPUTED_VALUE"""),"ArtofEco")</f>
        <v>ArtofEco</v>
      </c>
      <c r="R24" s="49">
        <f>IFERROR(__xludf.DUMMYFUNCTION("""COMPUTED_VALUE"""),3500.0)</f>
        <v>3500</v>
      </c>
      <c r="S24" s="49"/>
    </row>
    <row r="25">
      <c r="A25" s="43">
        <v>3.0</v>
      </c>
      <c r="B25" s="43">
        <v>8.0</v>
      </c>
      <c r="C25" s="138">
        <v>43.63610465</v>
      </c>
      <c r="D25" s="138">
        <v>-79.90500223</v>
      </c>
      <c r="E25" s="43" t="s">
        <v>98</v>
      </c>
      <c r="F25" s="44" t="s">
        <v>1326</v>
      </c>
      <c r="G25" s="45" t="s">
        <v>1327</v>
      </c>
      <c r="H25" s="71"/>
      <c r="I25" s="11" t="b">
        <v>1</v>
      </c>
      <c r="J25" s="86" t="str">
        <f t="shared" si="1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IFERROR(__xludf.DUMMYFUNCTION("""COMPUTED_VALUE"""),"BrotherWilliam")</f>
        <v>BrotherWilliam</v>
      </c>
      <c r="R25" s="49">
        <f>IFERROR(__xludf.DUMMYFUNCTION("""COMPUTED_VALUE"""),4895.0)</f>
        <v>4895</v>
      </c>
      <c r="S25" s="49"/>
    </row>
    <row r="26">
      <c r="A26" s="43">
        <v>4.0</v>
      </c>
      <c r="B26" s="43">
        <v>1.0</v>
      </c>
      <c r="C26" s="138">
        <v>43.63596092</v>
      </c>
      <c r="D26" s="138">
        <v>-79.9063924</v>
      </c>
      <c r="E26" s="43" t="s">
        <v>98</v>
      </c>
      <c r="F26" s="44" t="s">
        <v>141</v>
      </c>
      <c r="G26" s="52" t="s">
        <v>1328</v>
      </c>
      <c r="H26" s="70"/>
      <c r="I26" s="11" t="b">
        <v>1</v>
      </c>
      <c r="J26" s="86" t="str">
        <f t="shared" si="1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IFERROR(__xludf.DUMMYFUNCTION("""COMPUTED_VALUE"""),"cbf600")</f>
        <v>cbf600</v>
      </c>
      <c r="R26" s="49">
        <f>IFERROR(__xludf.DUMMYFUNCTION("""COMPUTED_VALUE"""),3013.0)</f>
        <v>3013</v>
      </c>
      <c r="S26" s="51">
        <v>44294.870891909726</v>
      </c>
    </row>
    <row r="27">
      <c r="A27" s="43">
        <v>4.0</v>
      </c>
      <c r="B27" s="43">
        <v>2.0</v>
      </c>
      <c r="C27" s="138">
        <v>43.63596092</v>
      </c>
      <c r="D27" s="138">
        <v>-79.90619381</v>
      </c>
      <c r="E27" s="43" t="s">
        <v>103</v>
      </c>
      <c r="F27" s="44" t="s">
        <v>114</v>
      </c>
      <c r="G27" s="45" t="s">
        <v>1329</v>
      </c>
      <c r="H27" s="71"/>
      <c r="I27" s="11" t="b">
        <v>1</v>
      </c>
      <c r="J27" s="86" t="str">
        <f t="shared" si="1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IFERROR(__xludf.DUMMYFUNCTION("""COMPUTED_VALUE"""),"J1Huisman")</f>
        <v>J1Huisman</v>
      </c>
      <c r="R27" s="49">
        <f>IFERROR(__xludf.DUMMYFUNCTION("""COMPUTED_VALUE"""),14700.0)</f>
        <v>14700</v>
      </c>
      <c r="S27" s="49"/>
    </row>
    <row r="28">
      <c r="A28" s="43">
        <v>4.0</v>
      </c>
      <c r="B28" s="43">
        <v>3.0</v>
      </c>
      <c r="C28" s="138">
        <v>43.63596092</v>
      </c>
      <c r="D28" s="138">
        <v>-79.90599522</v>
      </c>
      <c r="E28" s="43" t="s">
        <v>98</v>
      </c>
      <c r="F28" s="44" t="s">
        <v>99</v>
      </c>
      <c r="G28" s="45" t="s">
        <v>1330</v>
      </c>
      <c r="H28" s="71"/>
      <c r="I28" s="11" t="b">
        <v>1</v>
      </c>
      <c r="J28" s="86" t="str">
        <f t="shared" si="1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IFERROR(__xludf.DUMMYFUNCTION("""COMPUTED_VALUE"""),"raunas")</f>
        <v>raunas</v>
      </c>
      <c r="R28" s="49">
        <f>IFERROR(__xludf.DUMMYFUNCTION("""COMPUTED_VALUE"""),7130.0)</f>
        <v>7130</v>
      </c>
      <c r="S28" s="49"/>
    </row>
    <row r="29">
      <c r="A29" s="43">
        <v>4.0</v>
      </c>
      <c r="B29" s="43">
        <v>4.0</v>
      </c>
      <c r="C29" s="138">
        <v>43.63596092</v>
      </c>
      <c r="D29" s="138">
        <v>-79.90579662</v>
      </c>
      <c r="E29" s="43" t="s">
        <v>98</v>
      </c>
      <c r="F29" s="44" t="s">
        <v>138</v>
      </c>
      <c r="G29" s="45" t="s">
        <v>1331</v>
      </c>
      <c r="H29" s="71"/>
      <c r="I29" s="11" t="b">
        <v>1</v>
      </c>
      <c r="J29" s="141"/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IFERROR(__xludf.DUMMYFUNCTION("""COMPUTED_VALUE"""),4281.0)</f>
        <v>4281</v>
      </c>
      <c r="S29" s="49"/>
    </row>
    <row r="30">
      <c r="A30" s="43">
        <v>4.0</v>
      </c>
      <c r="B30" s="43">
        <v>5.0</v>
      </c>
      <c r="C30" s="138">
        <v>43.63596092</v>
      </c>
      <c r="D30" s="138">
        <v>-79.90559803</v>
      </c>
      <c r="E30" s="43" t="s">
        <v>98</v>
      </c>
      <c r="F30" s="44" t="s">
        <v>130</v>
      </c>
      <c r="G30" s="45" t="s">
        <v>1332</v>
      </c>
      <c r="H30" s="71"/>
      <c r="I30" s="11" t="b">
        <v>1</v>
      </c>
      <c r="J30" s="86" t="str">
        <f>if(I30=true,"",S30)</f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IFERROR(__xludf.DUMMYFUNCTION("""COMPUTED_VALUE"""),"lupo6")</f>
        <v>lupo6</v>
      </c>
      <c r="R30" s="49">
        <f>IFERROR(__xludf.DUMMYFUNCTION("""COMPUTED_VALUE"""),6880.0)</f>
        <v>6880</v>
      </c>
      <c r="S30" s="49"/>
    </row>
    <row r="31">
      <c r="A31" s="43">
        <v>4.0</v>
      </c>
      <c r="B31" s="43">
        <v>6.0</v>
      </c>
      <c r="C31" s="138">
        <v>43.63596092</v>
      </c>
      <c r="D31" s="138">
        <v>-79.90539943</v>
      </c>
      <c r="E31" s="43" t="s">
        <v>103</v>
      </c>
      <c r="F31" s="44" t="s">
        <v>1333</v>
      </c>
      <c r="G31" s="142" t="s">
        <v>1334</v>
      </c>
      <c r="H31" s="143"/>
      <c r="I31" s="11" t="b">
        <v>1</v>
      </c>
      <c r="J31" s="141"/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IFERROR(__xludf.DUMMYFUNCTION("""COMPUTED_VALUE"""),"Reart")</f>
        <v>Reart</v>
      </c>
      <c r="R31" s="49">
        <f>IFERROR(__xludf.DUMMYFUNCTION("""COMPUTED_VALUE"""),917.0)</f>
        <v>917</v>
      </c>
      <c r="S31" s="49"/>
    </row>
    <row r="32">
      <c r="A32" s="43">
        <v>4.0</v>
      </c>
      <c r="B32" s="43">
        <v>7.0</v>
      </c>
      <c r="C32" s="138">
        <v>43.63596092</v>
      </c>
      <c r="D32" s="138">
        <v>-79.90520084</v>
      </c>
      <c r="E32" s="43" t="s">
        <v>98</v>
      </c>
      <c r="F32" s="44" t="s">
        <v>136</v>
      </c>
      <c r="G32" s="45" t="s">
        <v>1335</v>
      </c>
      <c r="H32" s="71"/>
      <c r="I32" s="11" t="b">
        <v>1</v>
      </c>
      <c r="J32" s="86" t="str">
        <f t="shared" ref="J32:J55" si="3">if(I32=true,"",S32)</f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IFERROR(__xludf.DUMMYFUNCTION("""COMPUTED_VALUE"""),"OdinsFiRe")</f>
        <v>OdinsFiRe</v>
      </c>
      <c r="R32" s="49">
        <f>IFERROR(__xludf.DUMMYFUNCTION("""COMPUTED_VALUE"""),2019.0)</f>
        <v>2019</v>
      </c>
      <c r="S32" s="49"/>
    </row>
    <row r="33">
      <c r="A33" s="43">
        <v>4.0</v>
      </c>
      <c r="B33" s="43">
        <v>8.0</v>
      </c>
      <c r="C33" s="138">
        <v>43.63596092</v>
      </c>
      <c r="D33" s="138">
        <v>-79.90500225</v>
      </c>
      <c r="E33" s="43" t="s">
        <v>98</v>
      </c>
      <c r="F33" s="44" t="s">
        <v>141</v>
      </c>
      <c r="G33" s="52" t="s">
        <v>1336</v>
      </c>
      <c r="H33" s="70"/>
      <c r="I33" s="11" t="b">
        <v>1</v>
      </c>
      <c r="J33" s="86" t="str">
        <f t="shared" si="3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IFERROR(__xludf.DUMMYFUNCTION("""COMPUTED_VALUE"""),"cbf600")</f>
        <v>cbf600</v>
      </c>
      <c r="R33" s="49">
        <f>IFERROR(__xludf.DUMMYFUNCTION("""COMPUTED_VALUE"""),3018.0)</f>
        <v>3018</v>
      </c>
      <c r="S33" s="49"/>
    </row>
    <row r="34">
      <c r="A34" s="43">
        <v>5.0</v>
      </c>
      <c r="B34" s="43">
        <v>1.0</v>
      </c>
      <c r="C34" s="138">
        <v>43.63581719</v>
      </c>
      <c r="D34" s="138">
        <v>-79.90639242</v>
      </c>
      <c r="E34" s="43" t="s">
        <v>103</v>
      </c>
      <c r="F34" s="44" t="s">
        <v>517</v>
      </c>
      <c r="G34" s="45" t="s">
        <v>1337</v>
      </c>
      <c r="H34" s="71"/>
      <c r="I34" s="11" t="b">
        <v>1</v>
      </c>
      <c r="J34" s="86" t="str">
        <f t="shared" si="3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IFERROR(__xludf.DUMMYFUNCTION("""COMPUTED_VALUE"""),"WetCoaster")</f>
        <v>WetCoaster</v>
      </c>
      <c r="R34" s="49">
        <f>IFERROR(__xludf.DUMMYFUNCTION("""COMPUTED_VALUE"""),4112.0)</f>
        <v>4112</v>
      </c>
      <c r="S34" s="49"/>
    </row>
    <row r="35">
      <c r="A35" s="43">
        <v>5.0</v>
      </c>
      <c r="B35" s="43">
        <v>2.0</v>
      </c>
      <c r="C35" s="138">
        <v>43.63581719</v>
      </c>
      <c r="D35" s="138">
        <v>-79.90619382</v>
      </c>
      <c r="E35" s="43" t="s">
        <v>98</v>
      </c>
      <c r="F35" s="44" t="s">
        <v>1338</v>
      </c>
      <c r="G35" s="45" t="s">
        <v>1339</v>
      </c>
      <c r="H35" s="71"/>
      <c r="I35" s="11" t="b">
        <v>1</v>
      </c>
      <c r="J35" s="86" t="str">
        <f t="shared" si="3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IFERROR(__xludf.DUMMYFUNCTION("""COMPUTED_VALUE"""),"TK2100")</f>
        <v>TK2100</v>
      </c>
      <c r="R35" s="49">
        <f>IFERROR(__xludf.DUMMYFUNCTION("""COMPUTED_VALUE"""),361.0)</f>
        <v>361</v>
      </c>
      <c r="S35" s="49"/>
    </row>
    <row r="36">
      <c r="A36" s="43">
        <v>5.0</v>
      </c>
      <c r="B36" s="43">
        <v>3.0</v>
      </c>
      <c r="C36" s="138">
        <v>43.63581719</v>
      </c>
      <c r="D36" s="138">
        <v>-79.90599523</v>
      </c>
      <c r="E36" s="43" t="s">
        <v>103</v>
      </c>
      <c r="F36" s="44" t="s">
        <v>1340</v>
      </c>
      <c r="G36" s="45" t="s">
        <v>1341</v>
      </c>
      <c r="H36" s="71"/>
      <c r="I36" s="11" t="b">
        <v>1</v>
      </c>
      <c r="J36" s="86" t="str">
        <f t="shared" si="3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IFERROR(__xludf.DUMMYFUNCTION("""COMPUTED_VALUE"""),"Orky99")</f>
        <v>Orky99</v>
      </c>
      <c r="R36" s="49">
        <f>IFERROR(__xludf.DUMMYFUNCTION("""COMPUTED_VALUE"""),3987.0)</f>
        <v>3987</v>
      </c>
      <c r="S36" s="49"/>
    </row>
    <row r="37">
      <c r="A37" s="43">
        <v>5.0</v>
      </c>
      <c r="B37" s="43">
        <v>4.0</v>
      </c>
      <c r="C37" s="138">
        <v>43.63581719</v>
      </c>
      <c r="D37" s="138">
        <v>-79.90579664</v>
      </c>
      <c r="E37" s="43" t="s">
        <v>98</v>
      </c>
      <c r="F37" s="44" t="s">
        <v>1342</v>
      </c>
      <c r="G37" s="45" t="s">
        <v>1343</v>
      </c>
      <c r="H37" s="71"/>
      <c r="I37" s="11" t="b">
        <v>1</v>
      </c>
      <c r="J37" s="86" t="str">
        <f t="shared" si="3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IFERROR(__xludf.DUMMYFUNCTION("""COMPUTED_VALUE"""),"iScreamBIue")</f>
        <v>iScreamBIue</v>
      </c>
      <c r="R37" s="49">
        <f>IFERROR(__xludf.DUMMYFUNCTION("""COMPUTED_VALUE"""),2173.0)</f>
        <v>2173</v>
      </c>
      <c r="S37" s="49"/>
    </row>
    <row r="38">
      <c r="A38" s="43">
        <v>5.0</v>
      </c>
      <c r="B38" s="43">
        <v>5.0</v>
      </c>
      <c r="C38" s="138">
        <v>43.63581719</v>
      </c>
      <c r="D38" s="138">
        <v>-79.90559804</v>
      </c>
      <c r="E38" s="43" t="s">
        <v>98</v>
      </c>
      <c r="F38" s="44" t="s">
        <v>1344</v>
      </c>
      <c r="G38" s="45" t="s">
        <v>1345</v>
      </c>
      <c r="H38" s="71"/>
      <c r="I38" s="11" t="b">
        <v>1</v>
      </c>
      <c r="J38" s="86" t="str">
        <f t="shared" si="3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IFERROR(__xludf.DUMMYFUNCTION("""COMPUTED_VALUE"""),"kwd")</f>
        <v>kwd</v>
      </c>
      <c r="R38" s="49">
        <f>IFERROR(__xludf.DUMMYFUNCTION("""COMPUTED_VALUE"""),17268.0)</f>
        <v>17268</v>
      </c>
      <c r="S38" s="49"/>
    </row>
    <row r="39">
      <c r="A39" s="43">
        <v>5.0</v>
      </c>
      <c r="B39" s="43">
        <v>6.0</v>
      </c>
      <c r="C39" s="138">
        <v>43.63581719</v>
      </c>
      <c r="D39" s="138">
        <v>-79.90539945</v>
      </c>
      <c r="E39" s="43" t="s">
        <v>98</v>
      </c>
      <c r="F39" s="44" t="s">
        <v>140</v>
      </c>
      <c r="G39" s="45" t="s">
        <v>1346</v>
      </c>
      <c r="H39" s="71"/>
      <c r="I39" s="11" t="b">
        <v>1</v>
      </c>
      <c r="J39" s="86" t="str">
        <f t="shared" si="3"/>
        <v/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IFERROR(__xludf.DUMMYFUNCTION("""COMPUTED_VALUE"""),"Fossillady")</f>
        <v>Fossillady</v>
      </c>
      <c r="R39" s="49">
        <f>IFERROR(__xludf.DUMMYFUNCTION("""COMPUTED_VALUE"""),4367.0)</f>
        <v>4367</v>
      </c>
      <c r="S39" s="49"/>
    </row>
    <row r="40">
      <c r="A40" s="43">
        <v>5.0</v>
      </c>
      <c r="B40" s="43">
        <v>7.0</v>
      </c>
      <c r="C40" s="138">
        <v>43.63581719</v>
      </c>
      <c r="D40" s="138">
        <v>-79.90520085</v>
      </c>
      <c r="E40" s="43" t="s">
        <v>98</v>
      </c>
      <c r="F40" s="44" t="s">
        <v>1230</v>
      </c>
      <c r="G40" s="45" t="s">
        <v>1347</v>
      </c>
      <c r="H40" s="71"/>
      <c r="I40" s="11" t="b">
        <v>1</v>
      </c>
      <c r="J40" s="86" t="str">
        <f t="shared" si="3"/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IFERROR(__xludf.DUMMYFUNCTION("""COMPUTED_VALUE"""),"FlatBlack")</f>
        <v>FlatBlack</v>
      </c>
      <c r="R40" s="49">
        <f>IFERROR(__xludf.DUMMYFUNCTION("""COMPUTED_VALUE"""),1142.0)</f>
        <v>1142</v>
      </c>
      <c r="S40" s="49"/>
    </row>
    <row r="41">
      <c r="A41" s="43">
        <v>5.0</v>
      </c>
      <c r="B41" s="43">
        <v>8.0</v>
      </c>
      <c r="C41" s="138">
        <v>43.63581719</v>
      </c>
      <c r="D41" s="138">
        <v>-79.90500226</v>
      </c>
      <c r="E41" s="43" t="s">
        <v>98</v>
      </c>
      <c r="F41" s="44" t="s">
        <v>1340</v>
      </c>
      <c r="G41" s="45" t="s">
        <v>1348</v>
      </c>
      <c r="H41" s="71"/>
      <c r="I41" s="11" t="b">
        <v>1</v>
      </c>
      <c r="J41" s="86" t="str">
        <f t="shared" si="3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IFERROR(__xludf.DUMMYFUNCTION("""COMPUTED_VALUE"""),"Orky99")</f>
        <v>Orky99</v>
      </c>
      <c r="R41" s="49">
        <f>IFERROR(__xludf.DUMMYFUNCTION("""COMPUTED_VALUE"""),3993.0)</f>
        <v>3993</v>
      </c>
      <c r="S41" s="49"/>
    </row>
    <row r="42">
      <c r="A42" s="43">
        <v>6.0</v>
      </c>
      <c r="B42" s="43">
        <v>1.0</v>
      </c>
      <c r="C42" s="138">
        <v>43.63567345</v>
      </c>
      <c r="D42" s="138">
        <v>-79.90639243</v>
      </c>
      <c r="E42" s="43" t="s">
        <v>98</v>
      </c>
      <c r="F42" s="44" t="s">
        <v>149</v>
      </c>
      <c r="G42" s="45" t="s">
        <v>1349</v>
      </c>
      <c r="H42" s="71"/>
      <c r="I42" s="11" t="b">
        <v>1</v>
      </c>
      <c r="J42" s="86" t="str">
        <f t="shared" si="3"/>
        <v/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IFERROR(__xludf.DUMMYFUNCTION("""COMPUTED_VALUE"""),5977.0)</f>
        <v>5977</v>
      </c>
      <c r="S42" s="49"/>
    </row>
    <row r="43">
      <c r="A43" s="43">
        <v>6.0</v>
      </c>
      <c r="B43" s="43">
        <v>2.0</v>
      </c>
      <c r="C43" s="138">
        <v>43.63567345</v>
      </c>
      <c r="D43" s="138">
        <v>-79.90619384</v>
      </c>
      <c r="E43" s="43" t="s">
        <v>98</v>
      </c>
      <c r="F43" s="44" t="s">
        <v>1344</v>
      </c>
      <c r="G43" s="45" t="s">
        <v>1350</v>
      </c>
      <c r="H43" s="71"/>
      <c r="I43" s="11" t="b">
        <v>1</v>
      </c>
      <c r="J43" s="86" t="str">
        <f t="shared" si="3"/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IFERROR(__xludf.DUMMYFUNCTION("""COMPUTED_VALUE"""),"kwd")</f>
        <v>kwd</v>
      </c>
      <c r="R43" s="49">
        <f>IFERROR(__xludf.DUMMYFUNCTION("""COMPUTED_VALUE"""),17267.0)</f>
        <v>17267</v>
      </c>
      <c r="S43" s="49"/>
    </row>
    <row r="44">
      <c r="A44" s="43">
        <v>6.0</v>
      </c>
      <c r="B44" s="43">
        <v>3.0</v>
      </c>
      <c r="C44" s="138">
        <v>43.63567345</v>
      </c>
      <c r="D44" s="138">
        <v>-79.90599524</v>
      </c>
      <c r="E44" s="43" t="s">
        <v>103</v>
      </c>
      <c r="F44" s="44" t="s">
        <v>1304</v>
      </c>
      <c r="G44" s="52" t="s">
        <v>1351</v>
      </c>
      <c r="H44" s="71"/>
      <c r="I44" s="11" t="b">
        <v>1</v>
      </c>
      <c r="J44" s="86" t="str">
        <f t="shared" si="3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IFERROR(__xludf.DUMMYFUNCTION("""COMPUTED_VALUE"""),"richardg01")</f>
        <v>richardg01</v>
      </c>
      <c r="R44" s="49">
        <f>IFERROR(__xludf.DUMMYFUNCTION("""COMPUTED_VALUE"""),5080.0)</f>
        <v>5080</v>
      </c>
      <c r="S44" s="49"/>
    </row>
    <row r="45">
      <c r="A45" s="43">
        <v>6.0</v>
      </c>
      <c r="B45" s="43">
        <v>4.0</v>
      </c>
      <c r="C45" s="138">
        <v>43.63567345</v>
      </c>
      <c r="D45" s="138">
        <v>-79.90579665</v>
      </c>
      <c r="E45" s="43" t="s">
        <v>98</v>
      </c>
      <c r="F45" s="44" t="s">
        <v>1352</v>
      </c>
      <c r="G45" s="45" t="s">
        <v>1353</v>
      </c>
      <c r="H45" s="144"/>
      <c r="I45" s="11" t="b">
        <v>1</v>
      </c>
      <c r="J45" s="86" t="str">
        <f t="shared" si="3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IFERROR(__xludf.DUMMYFUNCTION("""COMPUTED_VALUE"""),"StridentUK")</f>
        <v>StridentUK</v>
      </c>
      <c r="R45" s="49">
        <f>IFERROR(__xludf.DUMMYFUNCTION("""COMPUTED_VALUE"""),7256.0)</f>
        <v>7256</v>
      </c>
      <c r="S45" s="49"/>
    </row>
    <row r="46">
      <c r="A46" s="43">
        <v>6.0</v>
      </c>
      <c r="B46" s="43">
        <v>5.0</v>
      </c>
      <c r="C46" s="138">
        <v>43.63567345</v>
      </c>
      <c r="D46" s="138">
        <v>-79.90559806</v>
      </c>
      <c r="E46" s="43" t="s">
        <v>98</v>
      </c>
      <c r="F46" s="44" t="s">
        <v>1354</v>
      </c>
      <c r="G46" s="52" t="s">
        <v>1355</v>
      </c>
      <c r="H46" s="71"/>
      <c r="I46" s="11" t="b">
        <v>1</v>
      </c>
      <c r="J46" s="86" t="str">
        <f t="shared" si="3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IFERROR(__xludf.DUMMYFUNCTION("""COMPUTED_VALUE"""),"TheaG")</f>
        <v>TheaG</v>
      </c>
      <c r="R46" s="49">
        <f>IFERROR(__xludf.DUMMYFUNCTION("""COMPUTED_VALUE"""),334.0)</f>
        <v>334</v>
      </c>
      <c r="S46" s="49"/>
    </row>
    <row r="47">
      <c r="A47" s="43">
        <v>6.0</v>
      </c>
      <c r="B47" s="43">
        <v>6.0</v>
      </c>
      <c r="C47" s="138">
        <v>43.63567345</v>
      </c>
      <c r="D47" s="138">
        <v>-79.90539946</v>
      </c>
      <c r="E47" s="43" t="s">
        <v>103</v>
      </c>
      <c r="F47" s="44" t="s">
        <v>1356</v>
      </c>
      <c r="G47" s="45" t="s">
        <v>1357</v>
      </c>
      <c r="H47" s="71"/>
      <c r="I47" s="11" t="b">
        <v>1</v>
      </c>
      <c r="J47" s="86" t="str">
        <f t="shared" si="3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IFERROR(__xludf.DUMMYFUNCTION("""COMPUTED_VALUE"""),"struwel")</f>
        <v>struwel</v>
      </c>
      <c r="R47" s="49">
        <f>IFERROR(__xludf.DUMMYFUNCTION("""COMPUTED_VALUE"""),20079.0)</f>
        <v>20079</v>
      </c>
      <c r="S47" s="49"/>
    </row>
    <row r="48">
      <c r="A48" s="43">
        <v>6.0</v>
      </c>
      <c r="B48" s="43">
        <v>7.0</v>
      </c>
      <c r="C48" s="138">
        <v>43.63567345</v>
      </c>
      <c r="D48" s="138">
        <v>-79.90520087</v>
      </c>
      <c r="E48" s="43" t="s">
        <v>98</v>
      </c>
      <c r="F48" s="44" t="s">
        <v>1304</v>
      </c>
      <c r="G48" s="45" t="s">
        <v>1358</v>
      </c>
      <c r="H48" s="71"/>
      <c r="I48" s="11" t="b">
        <v>1</v>
      </c>
      <c r="J48" s="86" t="str">
        <f t="shared" si="3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IFERROR(__xludf.DUMMYFUNCTION("""COMPUTED_VALUE"""),"richardg01")</f>
        <v>richardg01</v>
      </c>
      <c r="R48" s="49">
        <f>IFERROR(__xludf.DUMMYFUNCTION("""COMPUTED_VALUE"""),5079.0)</f>
        <v>5079</v>
      </c>
      <c r="S48" s="51">
        <v>44294.868669166666</v>
      </c>
    </row>
    <row r="49">
      <c r="A49" s="43">
        <v>6.0</v>
      </c>
      <c r="B49" s="43">
        <v>8.0</v>
      </c>
      <c r="C49" s="138">
        <v>43.63567345</v>
      </c>
      <c r="D49" s="138">
        <v>-79.90500228</v>
      </c>
      <c r="E49" s="43" t="s">
        <v>98</v>
      </c>
      <c r="F49" s="44" t="s">
        <v>147</v>
      </c>
      <c r="G49" s="52" t="s">
        <v>1359</v>
      </c>
      <c r="H49" s="70"/>
      <c r="I49" s="11" t="b">
        <v>1</v>
      </c>
      <c r="J49" s="86" t="str">
        <f t="shared" si="3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IFERROR(__xludf.DUMMYFUNCTION("""COMPUTED_VALUE"""),10961.0)</f>
        <v>10961</v>
      </c>
      <c r="S49" s="51">
        <v>44294.86872832176</v>
      </c>
    </row>
    <row r="50">
      <c r="A50" s="43">
        <v>7.0</v>
      </c>
      <c r="B50" s="43">
        <v>2.0</v>
      </c>
      <c r="C50" s="138">
        <v>43.63552972</v>
      </c>
      <c r="D50" s="138">
        <v>-79.90619385</v>
      </c>
      <c r="E50" s="43" t="s">
        <v>103</v>
      </c>
      <c r="F50" s="44" t="s">
        <v>1360</v>
      </c>
      <c r="G50" s="45" t="s">
        <v>1361</v>
      </c>
      <c r="H50" s="71"/>
      <c r="I50" s="11" t="b">
        <v>1</v>
      </c>
      <c r="J50" s="86" t="str">
        <f t="shared" si="3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IFERROR(__xludf.DUMMYFUNCTION("""COMPUTED_VALUE"""),"Bouffe")</f>
        <v>Bouffe</v>
      </c>
      <c r="R50" s="49">
        <f>IFERROR(__xludf.DUMMYFUNCTION("""COMPUTED_VALUE"""),2619.0)</f>
        <v>2619</v>
      </c>
      <c r="S50" s="49"/>
    </row>
    <row r="51">
      <c r="A51" s="43">
        <v>7.0</v>
      </c>
      <c r="B51" s="43">
        <v>3.0</v>
      </c>
      <c r="C51" s="138">
        <v>43.63552972</v>
      </c>
      <c r="D51" s="138">
        <v>-79.90599526</v>
      </c>
      <c r="E51" s="43" t="s">
        <v>98</v>
      </c>
      <c r="F51" s="44" t="s">
        <v>1362</v>
      </c>
      <c r="G51" s="45" t="s">
        <v>1363</v>
      </c>
      <c r="H51" s="71"/>
      <c r="I51" s="11" t="b">
        <v>1</v>
      </c>
      <c r="J51" s="86" t="str">
        <f t="shared" si="3"/>
        <v/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IFERROR(__xludf.DUMMYFUNCTION("""COMPUTED_VALUE"""),"Laura02")</f>
        <v>Laura02</v>
      </c>
      <c r="R51" s="49">
        <f>IFERROR(__xludf.DUMMYFUNCTION("""COMPUTED_VALUE"""),1227.0)</f>
        <v>1227</v>
      </c>
      <c r="S51" s="49"/>
    </row>
    <row r="52">
      <c r="A52" s="43">
        <v>7.0</v>
      </c>
      <c r="B52" s="43">
        <v>4.0</v>
      </c>
      <c r="C52" s="138">
        <v>43.63552972</v>
      </c>
      <c r="D52" s="138">
        <v>-79.90579666</v>
      </c>
      <c r="E52" s="43" t="s">
        <v>98</v>
      </c>
      <c r="F52" s="44" t="s">
        <v>130</v>
      </c>
      <c r="G52" s="45" t="s">
        <v>1364</v>
      </c>
      <c r="H52" s="71"/>
      <c r="I52" s="11" t="b">
        <v>1</v>
      </c>
      <c r="J52" s="86" t="str">
        <f t="shared" si="3"/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IFERROR(__xludf.DUMMYFUNCTION("""COMPUTED_VALUE"""),"lupo6")</f>
        <v>lupo6</v>
      </c>
      <c r="R52" s="49">
        <f>IFERROR(__xludf.DUMMYFUNCTION("""COMPUTED_VALUE"""),2715.0)</f>
        <v>2715</v>
      </c>
      <c r="S52" s="49"/>
    </row>
    <row r="53">
      <c r="A53" s="43">
        <v>7.0</v>
      </c>
      <c r="B53" s="43">
        <v>5.0</v>
      </c>
      <c r="C53" s="138">
        <v>43.63552972</v>
      </c>
      <c r="D53" s="138">
        <v>-79.90559807</v>
      </c>
      <c r="E53" s="43" t="s">
        <v>98</v>
      </c>
      <c r="F53" s="44" t="s">
        <v>151</v>
      </c>
      <c r="G53" s="52" t="s">
        <v>1365</v>
      </c>
      <c r="H53" s="71"/>
      <c r="I53" s="11" t="b">
        <v>1</v>
      </c>
      <c r="J53" s="86" t="str">
        <f t="shared" si="3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IFERROR(__xludf.DUMMYFUNCTION("""COMPUTED_VALUE"""),"res2100")</f>
        <v>res2100</v>
      </c>
      <c r="R53" s="49">
        <f>IFERROR(__xludf.DUMMYFUNCTION("""COMPUTED_VALUE"""),925.0)</f>
        <v>925</v>
      </c>
      <c r="S53" s="49"/>
    </row>
    <row r="54">
      <c r="A54" s="43">
        <v>7.0</v>
      </c>
      <c r="B54" s="43">
        <v>6.0</v>
      </c>
      <c r="C54" s="138">
        <v>43.63552972</v>
      </c>
      <c r="D54" s="138">
        <v>-79.90539948</v>
      </c>
      <c r="E54" s="43" t="s">
        <v>98</v>
      </c>
      <c r="F54" s="44" t="s">
        <v>155</v>
      </c>
      <c r="G54" s="52" t="s">
        <v>1366</v>
      </c>
      <c r="H54" s="71"/>
      <c r="I54" s="11" t="b">
        <v>1</v>
      </c>
      <c r="J54" s="86" t="str">
        <f t="shared" si="3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IFERROR(__xludf.DUMMYFUNCTION("""COMPUTED_VALUE"""),"Ellesche")</f>
        <v>Ellesche</v>
      </c>
      <c r="R54" s="49">
        <f>IFERROR(__xludf.DUMMYFUNCTION("""COMPUTED_VALUE"""),872.0)</f>
        <v>872</v>
      </c>
      <c r="S54" s="49"/>
    </row>
    <row r="55">
      <c r="A55" s="43">
        <v>7.0</v>
      </c>
      <c r="B55" s="43">
        <v>7.0</v>
      </c>
      <c r="C55" s="138">
        <v>43.63552972</v>
      </c>
      <c r="D55" s="138">
        <v>-79.90520088</v>
      </c>
      <c r="E55" s="43" t="s">
        <v>98</v>
      </c>
      <c r="F55" s="44" t="s">
        <v>120</v>
      </c>
      <c r="G55" s="45" t="s">
        <v>1367</v>
      </c>
      <c r="H55" s="71"/>
      <c r="I55" s="11" t="b">
        <v>1</v>
      </c>
      <c r="J55" s="86" t="str">
        <f t="shared" si="3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IFERROR(__xludf.DUMMYFUNCTION("""COMPUTED_VALUE"""),"xrayneex")</f>
        <v>xrayneex</v>
      </c>
      <c r="R55" s="49">
        <f>IFERROR(__xludf.DUMMYFUNCTION("""COMPUTED_VALUE"""),2367.0)</f>
        <v>2367</v>
      </c>
      <c r="S55" s="49"/>
    </row>
    <row r="56">
      <c r="A56" s="43">
        <v>8.0</v>
      </c>
      <c r="B56" s="43">
        <v>3.0</v>
      </c>
      <c r="C56" s="138">
        <v>43.63538599</v>
      </c>
      <c r="D56" s="138">
        <v>-79.90599527</v>
      </c>
      <c r="E56" s="43" t="s">
        <v>98</v>
      </c>
      <c r="F56" s="44" t="s">
        <v>80</v>
      </c>
      <c r="G56" s="45" t="s">
        <v>1368</v>
      </c>
      <c r="H56" s="71"/>
      <c r="I56" s="11" t="b">
        <v>1</v>
      </c>
      <c r="J56" s="141"/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IFERROR(__xludf.DUMMYFUNCTION("""COMPUTED_VALUE"""),"Derlame")</f>
        <v>Derlame</v>
      </c>
      <c r="R56" s="49">
        <f>IFERROR(__xludf.DUMMYFUNCTION("""COMPUTED_VALUE"""),18660.0)</f>
        <v>18660</v>
      </c>
      <c r="S56" s="49"/>
    </row>
    <row r="57">
      <c r="A57" s="43">
        <v>8.0</v>
      </c>
      <c r="B57" s="43">
        <v>4.0</v>
      </c>
      <c r="C57" s="138">
        <v>43.63538599</v>
      </c>
      <c r="D57" s="138">
        <v>-79.90579668</v>
      </c>
      <c r="E57" s="43" t="s">
        <v>103</v>
      </c>
      <c r="F57" s="44" t="s">
        <v>157</v>
      </c>
      <c r="G57" s="45" t="s">
        <v>1369</v>
      </c>
      <c r="H57" s="71"/>
      <c r="I57" s="11" t="b">
        <v>1</v>
      </c>
      <c r="J57" s="86" t="str">
        <f t="shared" ref="J57:J59" si="4">if(I57=true,"",S57)</f>
        <v/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IFERROR(__xludf.DUMMYFUNCTION("""COMPUTED_VALUE"""),"barefootguru")</f>
        <v>barefootguru</v>
      </c>
      <c r="R57" s="49">
        <f>IFERROR(__xludf.DUMMYFUNCTION("""COMPUTED_VALUE"""),3348.0)</f>
        <v>3348</v>
      </c>
      <c r="S57" s="49"/>
    </row>
    <row r="58">
      <c r="A58" s="43">
        <v>8.0</v>
      </c>
      <c r="B58" s="43">
        <v>5.0</v>
      </c>
      <c r="C58" s="138">
        <v>43.63538599</v>
      </c>
      <c r="D58" s="138">
        <v>-79.90559809</v>
      </c>
      <c r="E58" s="43" t="s">
        <v>103</v>
      </c>
      <c r="F58" s="44" t="s">
        <v>517</v>
      </c>
      <c r="G58" s="45" t="s">
        <v>1370</v>
      </c>
      <c r="H58" s="71"/>
      <c r="I58" s="11" t="b">
        <v>1</v>
      </c>
      <c r="J58" s="86" t="str">
        <f t="shared" si="4"/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IFERROR(__xludf.DUMMYFUNCTION("""COMPUTED_VALUE"""),"WetCoaster")</f>
        <v>WetCoaster</v>
      </c>
      <c r="R58" s="49">
        <f>IFERROR(__xludf.DUMMYFUNCTION("""COMPUTED_VALUE"""),4088.0)</f>
        <v>4088</v>
      </c>
      <c r="S58" s="49"/>
    </row>
    <row r="59">
      <c r="A59" s="43">
        <v>8.0</v>
      </c>
      <c r="B59" s="43">
        <v>6.0</v>
      </c>
      <c r="C59" s="138">
        <v>43.63538599</v>
      </c>
      <c r="D59" s="138">
        <v>-79.90539949</v>
      </c>
      <c r="E59" s="43" t="s">
        <v>98</v>
      </c>
      <c r="F59" s="44" t="s">
        <v>1360</v>
      </c>
      <c r="G59" s="45" t="s">
        <v>1371</v>
      </c>
      <c r="H59" s="71"/>
      <c r="I59" s="11" t="b">
        <v>1</v>
      </c>
      <c r="J59" s="86" t="str">
        <f t="shared" si="4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IFERROR(__xludf.DUMMYFUNCTION("""COMPUTED_VALUE"""),"Bouffe")</f>
        <v>Bouffe</v>
      </c>
      <c r="R59" s="49">
        <f>IFERROR(__xludf.DUMMYFUNCTION("""COMPUTED_VALUE"""),361.0)</f>
        <v>361</v>
      </c>
      <c r="S59" s="49"/>
    </row>
    <row r="60">
      <c r="J60" s="86"/>
      <c r="K60" s="49" t="str">
        <f>IFERROR(__xludf.DUMMYFUNCTION("IF(M60=1,IFERROR(TRIM(IMPORTXML(G60, ""//p[@class='status-date']"")), ""Not deployed""),"""")"),"")</f>
        <v/>
      </c>
    </row>
    <row r="61" hidden="1">
      <c r="F61" s="47">
        <f t="shared" ref="F61:G61" si="5">COUNTIF(F8:F59,"")</f>
        <v>0</v>
      </c>
      <c r="G61" s="47">
        <f t="shared" si="5"/>
        <v>0</v>
      </c>
      <c r="I61" s="47">
        <f>COUNTIF(I8:I59,TRUE)</f>
        <v>52</v>
      </c>
      <c r="J61" s="86"/>
      <c r="K61" s="49" t="str">
        <f>IFERROR(__xludf.DUMMYFUNCTION("IF(M61=1,IFERROR(TRIM(IMPORTXML(G61, ""//p[@class='status-date']"")), ""Not deployed""),"""")"),"")</f>
        <v/>
      </c>
    </row>
    <row r="62" hidden="1">
      <c r="J62" s="86"/>
      <c r="K62" s="49" t="str">
        <f>IFERROR(__xludf.DUMMYFUNCTION("IF(M62=1,IFERROR(TRIM(IMPORTXML(G62, ""//p[@class='status-date']"")), ""Not deployed""),"""")"),"")</f>
        <v/>
      </c>
    </row>
    <row r="63" hidden="1">
      <c r="J63" s="86"/>
      <c r="K63" s="49" t="str">
        <f>IFERROR(__xludf.DUMMYFUNCTION("IF(M63=1,IFERROR(TRIM(IMPORTXML(G63, ""//p[@class='status-date']"")), ""Not deployed""),"""")"),"")</f>
        <v/>
      </c>
    </row>
    <row r="64">
      <c r="J64" s="86"/>
      <c r="K64" s="49" t="str">
        <f>IFERROR(__xludf.DUMMYFUNCTION("IF(M64=1,IFERROR(TRIM(IMPORTXML(G64, ""//p[@class='status-date']"")), ""Not deployed""),"""")"),"")</f>
        <v/>
      </c>
    </row>
    <row r="65">
      <c r="J65" s="86"/>
      <c r="K65" s="49" t="str">
        <f>IFERROR(__xludf.DUMMYFUNCTION("IF(M65=1,IFERROR(TRIM(IMPORTXML(G65, ""//p[@class='status-date']"")), ""Not deployed""),"""")"),"")</f>
        <v/>
      </c>
    </row>
    <row r="66">
      <c r="J66" s="86"/>
      <c r="K66" s="49" t="str">
        <f>IFERROR(__xludf.DUMMYFUNCTION("IF(M66=1,IFERROR(TRIM(IMPORTXML(G66, ""//p[@class='status-date']"")), ""Not deployed""),"""")"),"")</f>
        <v/>
      </c>
    </row>
    <row r="67">
      <c r="J67" s="86"/>
      <c r="K67" s="49" t="str">
        <f>IFERROR(__xludf.DUMMYFUNCTION("IF(M67=1,IFERROR(TRIM(IMPORTXML(G67, ""//p[@class='status-date']"")), ""Not deployed""),"""")"),"")</f>
        <v/>
      </c>
    </row>
    <row r="68">
      <c r="J68" s="86"/>
      <c r="K68" s="49" t="str">
        <f>IFERROR(__xludf.DUMMYFUNCTION("IF(M68=1,IFERROR(TRIM(IMPORTXML(G68, ""//p[@class='status-date']"")), ""Not deployed""),"""")"),"")</f>
        <v/>
      </c>
    </row>
    <row r="69">
      <c r="J69" s="86"/>
      <c r="K69" s="49" t="str">
        <f>IFERROR(__xludf.DUMMYFUNCTION("IF(M69=1,IFERROR(TRIM(IMPORTXML(G69, ""//p[@class='status-date']"")), ""Not deployed""),"""")"),"")</f>
        <v/>
      </c>
    </row>
    <row r="70">
      <c r="J70" s="86"/>
      <c r="K70" s="49" t="str">
        <f>IFERROR(__xludf.DUMMYFUNCTION("IF(M70=1,IFERROR(TRIM(IMPORTXML(G70, ""//p[@class='status-date']"")), ""Not deployed""),"""")"),"")</f>
        <v/>
      </c>
    </row>
    <row r="71">
      <c r="J71" s="86"/>
      <c r="K71" s="49" t="str">
        <f>IFERROR(__xludf.DUMMYFUNCTION("IF(M71=1,IFERROR(TRIM(IMPORTXML(G71, ""//p[@class='status-date']"")), ""Not deployed""),"""")"),"")</f>
        <v/>
      </c>
    </row>
    <row r="72">
      <c r="J72" s="86"/>
      <c r="K72" s="49" t="str">
        <f>IFERROR(__xludf.DUMMYFUNCTION("IF(M72=1,IFERROR(TRIM(IMPORTXML(G72, ""//p[@class='status-date']"")), ""Not deployed""),"""")"),"")</f>
        <v/>
      </c>
    </row>
    <row r="73">
      <c r="J73" s="86"/>
      <c r="K73" s="49" t="str">
        <f>IFERROR(__xludf.DUMMYFUNCTION("IF(M73=1,IFERROR(TRIM(IMPORTXML(G73, ""//p[@class='status-date']"")), ""Not deployed""),"""")"),"")</f>
        <v/>
      </c>
    </row>
    <row r="74">
      <c r="J74" s="86"/>
    </row>
    <row r="75">
      <c r="J75" s="86"/>
    </row>
    <row r="76">
      <c r="J76" s="86"/>
    </row>
    <row r="77">
      <c r="J77" s="86"/>
    </row>
    <row r="78">
      <c r="J78" s="86"/>
    </row>
    <row r="79">
      <c r="J79" s="86"/>
    </row>
    <row r="80">
      <c r="J80" s="86"/>
    </row>
    <row r="81">
      <c r="J81" s="86"/>
    </row>
    <row r="82">
      <c r="J82" s="86"/>
    </row>
    <row r="83">
      <c r="J83" s="86"/>
    </row>
    <row r="84">
      <c r="J84" s="86"/>
    </row>
    <row r="85">
      <c r="J85" s="86"/>
    </row>
    <row r="86">
      <c r="J86" s="86"/>
    </row>
    <row r="87">
      <c r="J87" s="86"/>
    </row>
    <row r="88">
      <c r="J88" s="86"/>
    </row>
    <row r="89">
      <c r="J89" s="86"/>
    </row>
    <row r="90">
      <c r="J90" s="86"/>
    </row>
    <row r="91">
      <c r="J91" s="86"/>
    </row>
    <row r="92">
      <c r="J92" s="86"/>
    </row>
    <row r="93">
      <c r="J93" s="86"/>
    </row>
  </sheetData>
  <mergeCells count="3">
    <mergeCell ref="B1:C1"/>
    <mergeCell ref="H2:H3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2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63"/>
    <col customWidth="1" min="2" max="2" width="10.0"/>
    <col customWidth="1" min="3" max="3" width="15.0"/>
    <col customWidth="1" min="4" max="4" width="14.63"/>
    <col customWidth="1" min="5" max="5" width="17.5"/>
    <col customWidth="1" min="6" max="6" width="14.13"/>
    <col customWidth="1" min="7" max="7" width="41.25"/>
    <col customWidth="1" min="8" max="8" width="14.38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20</v>
      </c>
      <c r="B1" s="37" t="s">
        <v>43</v>
      </c>
      <c r="D1" s="37"/>
      <c r="E1" s="2" t="s">
        <v>79</v>
      </c>
      <c r="F1" s="59" t="s">
        <v>140</v>
      </c>
      <c r="G1" s="76" t="s">
        <v>1372</v>
      </c>
      <c r="H1" s="2"/>
      <c r="I1" s="2"/>
      <c r="J1" s="13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1373</v>
      </c>
      <c r="H2" s="97" t="s">
        <v>769</v>
      </c>
      <c r="I2" s="2"/>
      <c r="J2" s="13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I3" s="2"/>
      <c r="J3" s="13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13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136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  <c r="J6" s="86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37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32.8279261489166</v>
      </c>
      <c r="D8" s="43">
        <v>-116.815847151894</v>
      </c>
      <c r="E8" s="43" t="s">
        <v>98</v>
      </c>
      <c r="F8" s="44" t="s">
        <v>136</v>
      </c>
      <c r="G8" s="45" t="s">
        <v>1374</v>
      </c>
      <c r="H8" s="145">
        <v>44082.0</v>
      </c>
      <c r="I8" s="11" t="b">
        <v>1</v>
      </c>
      <c r="J8" s="86" t="str">
        <f t="shared" ref="J8:J10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IFERROR(__xludf.DUMMYFUNCTION("""COMPUTED_VALUE"""),"OdinsFiRe")</f>
        <v>OdinsFiRe</v>
      </c>
      <c r="R8" s="49">
        <f>IFERROR(__xludf.DUMMYFUNCTION("""COMPUTED_VALUE"""),1563.0)</f>
        <v>1563</v>
      </c>
      <c r="S8" s="51">
        <v>44050.70084755787</v>
      </c>
    </row>
    <row r="9">
      <c r="A9" s="43">
        <v>1.0</v>
      </c>
      <c r="B9" s="43">
        <v>4.0</v>
      </c>
      <c r="C9" s="43">
        <v>32.8279261488003</v>
      </c>
      <c r="D9" s="43">
        <v>-116.815676105813</v>
      </c>
      <c r="E9" s="43" t="s">
        <v>98</v>
      </c>
      <c r="F9" s="44" t="s">
        <v>101</v>
      </c>
      <c r="G9" s="45" t="s">
        <v>1375</v>
      </c>
      <c r="H9" s="46"/>
      <c r="I9" s="11" t="b">
        <v>1</v>
      </c>
      <c r="J9" s="86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IFERROR(__xludf.DUMMYFUNCTION("""COMPUTED_VALUE"""),4214.0)</f>
        <v>4214</v>
      </c>
      <c r="S9" s="51">
        <v>44046.43601239583</v>
      </c>
    </row>
    <row r="10">
      <c r="A10" s="43">
        <v>1.0</v>
      </c>
      <c r="B10" s="43">
        <v>5.0</v>
      </c>
      <c r="C10" s="43">
        <v>32.827926148684</v>
      </c>
      <c r="D10" s="43">
        <v>-116.815505059731</v>
      </c>
      <c r="E10" s="43" t="s">
        <v>103</v>
      </c>
      <c r="F10" s="44" t="s">
        <v>1119</v>
      </c>
      <c r="G10" s="45" t="s">
        <v>1376</v>
      </c>
      <c r="H10" s="46"/>
      <c r="I10" s="11" t="b">
        <v>1</v>
      </c>
      <c r="J10" s="86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IFERROR(__xludf.DUMMYFUNCTION("""COMPUTED_VALUE"""),2281.0)</f>
        <v>2281</v>
      </c>
      <c r="S10" s="51">
        <v>44046.43616172454</v>
      </c>
    </row>
    <row r="11">
      <c r="A11" s="43">
        <v>1.0</v>
      </c>
      <c r="B11" s="43">
        <v>6.0</v>
      </c>
      <c r="C11" s="43">
        <v>32.8279261485677</v>
      </c>
      <c r="D11" s="43">
        <v>-116.815334013649</v>
      </c>
      <c r="E11" s="43" t="s">
        <v>103</v>
      </c>
      <c r="F11" s="44" t="s">
        <v>182</v>
      </c>
      <c r="G11" s="45" t="s">
        <v>1377</v>
      </c>
      <c r="H11" s="46"/>
      <c r="I11" s="11" t="b">
        <v>1</v>
      </c>
      <c r="J11" s="11"/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IFERROR(__xludf.DUMMYFUNCTION("""COMPUTED_VALUE"""),"TheFatCats")</f>
        <v>TheFatCats</v>
      </c>
      <c r="R11" s="49">
        <f>IFERROR(__xludf.DUMMYFUNCTION("""COMPUTED_VALUE"""),3747.0)</f>
        <v>3747</v>
      </c>
      <c r="S11" s="51">
        <v>44046.436099432874</v>
      </c>
    </row>
    <row r="12">
      <c r="A12" s="43">
        <v>2.0</v>
      </c>
      <c r="B12" s="43">
        <v>2.0</v>
      </c>
      <c r="C12" s="43">
        <v>32.8277824185874</v>
      </c>
      <c r="D12" s="43">
        <v>-116.816018205449</v>
      </c>
      <c r="E12" s="43" t="s">
        <v>98</v>
      </c>
      <c r="F12" s="44" t="s">
        <v>178</v>
      </c>
      <c r="G12" s="45" t="s">
        <v>1378</v>
      </c>
      <c r="H12" s="44"/>
      <c r="I12" s="11" t="b">
        <v>1</v>
      </c>
      <c r="J12" s="86" t="str">
        <f t="shared" ref="J12:J28" si="3">if(I12=true,"",S12)</f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IFERROR(__xludf.DUMMYFUNCTION("""COMPUTED_VALUE"""),"lison55")</f>
        <v>lison55</v>
      </c>
      <c r="R12" s="49">
        <f>IFERROR(__xludf.DUMMYFUNCTION("""COMPUTED_VALUE"""),5345.0)</f>
        <v>5345</v>
      </c>
      <c r="S12" s="49"/>
    </row>
    <row r="13">
      <c r="A13" s="43">
        <v>2.0</v>
      </c>
      <c r="B13" s="43">
        <v>3.0</v>
      </c>
      <c r="C13" s="43">
        <v>32.8277824184711</v>
      </c>
      <c r="D13" s="43">
        <v>-116.815847159644</v>
      </c>
      <c r="E13" s="43" t="s">
        <v>98</v>
      </c>
      <c r="F13" s="61" t="s">
        <v>114</v>
      </c>
      <c r="G13" s="52" t="s">
        <v>1379</v>
      </c>
      <c r="H13" s="46"/>
      <c r="I13" s="11" t="b">
        <v>1</v>
      </c>
      <c r="J13" s="86" t="str">
        <f t="shared" si="3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IFERROR(__xludf.DUMMYFUNCTION("""COMPUTED_VALUE"""),"J1Huisman")</f>
        <v>J1Huisman</v>
      </c>
      <c r="R13" s="49">
        <f>IFERROR(__xludf.DUMMYFUNCTION("""COMPUTED_VALUE"""),11293.0)</f>
        <v>11293</v>
      </c>
      <c r="S13" s="49"/>
    </row>
    <row r="14">
      <c r="A14" s="43">
        <v>2.0</v>
      </c>
      <c r="B14" s="43">
        <v>4.0</v>
      </c>
      <c r="C14" s="43">
        <v>32.8277824183549</v>
      </c>
      <c r="D14" s="43">
        <v>-116.815676113839</v>
      </c>
      <c r="E14" s="43" t="s">
        <v>98</v>
      </c>
      <c r="F14" s="44" t="s">
        <v>169</v>
      </c>
      <c r="G14" s="45" t="s">
        <v>1380</v>
      </c>
      <c r="H14" s="46"/>
      <c r="I14" s="11" t="b">
        <v>1</v>
      </c>
      <c r="J14" s="86" t="str">
        <f t="shared" si="3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IFERROR(__xludf.DUMMYFUNCTION("""COMPUTED_VALUE"""),"Pinkeltje")</f>
        <v>Pinkeltje</v>
      </c>
      <c r="R14" s="49">
        <f>IFERROR(__xludf.DUMMYFUNCTION("""COMPUTED_VALUE"""),1205.0)</f>
        <v>1205</v>
      </c>
      <c r="S14" s="49"/>
    </row>
    <row r="15">
      <c r="A15" s="43">
        <v>2.0</v>
      </c>
      <c r="B15" s="43">
        <v>5.0</v>
      </c>
      <c r="C15" s="43">
        <v>32.8277824182386</v>
      </c>
      <c r="D15" s="43">
        <v>-116.815505068035</v>
      </c>
      <c r="E15" s="43" t="s">
        <v>103</v>
      </c>
      <c r="F15" s="44" t="s">
        <v>120</v>
      </c>
      <c r="G15" s="45" t="s">
        <v>1381</v>
      </c>
      <c r="H15" s="46"/>
      <c r="I15" s="11" t="b">
        <v>1</v>
      </c>
      <c r="J15" s="86" t="str">
        <f t="shared" si="3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IFERROR(__xludf.DUMMYFUNCTION("""COMPUTED_VALUE"""),"xrayneex")</f>
        <v>xrayneex</v>
      </c>
      <c r="R15" s="49">
        <f>IFERROR(__xludf.DUMMYFUNCTION("""COMPUTED_VALUE"""),1413.0)</f>
        <v>1413</v>
      </c>
      <c r="S15" s="49"/>
    </row>
    <row r="16">
      <c r="A16" s="43">
        <v>2.0</v>
      </c>
      <c r="B16" s="43">
        <v>6.0</v>
      </c>
      <c r="C16" s="43">
        <v>32.8277824181222</v>
      </c>
      <c r="D16" s="43">
        <v>-116.81533402223</v>
      </c>
      <c r="E16" s="43" t="s">
        <v>98</v>
      </c>
      <c r="F16" s="44" t="s">
        <v>116</v>
      </c>
      <c r="G16" s="45" t="s">
        <v>1382</v>
      </c>
      <c r="H16" s="46"/>
      <c r="I16" s="11" t="b">
        <v>1</v>
      </c>
      <c r="J16" s="86" t="str">
        <f t="shared" si="3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IFERROR(__xludf.DUMMYFUNCTION("""COMPUTED_VALUE"""),"fsafranek")</f>
        <v>fsafranek</v>
      </c>
      <c r="R16" s="49">
        <f>IFERROR(__xludf.DUMMYFUNCTION("""COMPUTED_VALUE"""),4430.0)</f>
        <v>4430</v>
      </c>
      <c r="S16" s="49"/>
    </row>
    <row r="17">
      <c r="A17" s="43">
        <v>2.0</v>
      </c>
      <c r="B17" s="43">
        <v>7.0</v>
      </c>
      <c r="C17" s="43">
        <v>32.8277824180059</v>
      </c>
      <c r="D17" s="43">
        <v>-116.815162976425</v>
      </c>
      <c r="E17" s="43" t="s">
        <v>98</v>
      </c>
      <c r="F17" s="44" t="s">
        <v>926</v>
      </c>
      <c r="G17" s="45" t="s">
        <v>1383</v>
      </c>
      <c r="H17" s="46"/>
      <c r="I17" s="11" t="b">
        <v>1</v>
      </c>
      <c r="J17" s="86" t="str">
        <f t="shared" si="3"/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IFERROR(__xludf.DUMMYFUNCTION("""COMPUTED_VALUE"""),"Lanyasummer")</f>
        <v>Lanyasummer</v>
      </c>
      <c r="R17" s="49">
        <f>IFERROR(__xludf.DUMMYFUNCTION("""COMPUTED_VALUE"""),4399.0)</f>
        <v>4399</v>
      </c>
      <c r="S17" s="49"/>
    </row>
    <row r="18">
      <c r="A18" s="43">
        <v>3.0</v>
      </c>
      <c r="B18" s="43">
        <v>1.0</v>
      </c>
      <c r="C18" s="43">
        <v>32.8276386882583</v>
      </c>
      <c r="D18" s="43">
        <v>-116.816189258452</v>
      </c>
      <c r="E18" s="43" t="s">
        <v>98</v>
      </c>
      <c r="F18" s="44" t="s">
        <v>950</v>
      </c>
      <c r="G18" s="45" t="s">
        <v>1384</v>
      </c>
      <c r="H18" s="146">
        <v>44051.0</v>
      </c>
      <c r="I18" s="11" t="b">
        <v>1</v>
      </c>
      <c r="J18" s="86" t="str">
        <f t="shared" si="3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IFERROR(__xludf.DUMMYFUNCTION("""COMPUTED_VALUE"""),"babyw")</f>
        <v>babyw</v>
      </c>
      <c r="R18" s="49">
        <f>IFERROR(__xludf.DUMMYFUNCTION("""COMPUTED_VALUE"""),3118.0)</f>
        <v>3118</v>
      </c>
      <c r="S18" s="49"/>
    </row>
    <row r="19">
      <c r="A19" s="43">
        <v>3.0</v>
      </c>
      <c r="B19" s="43">
        <v>2.0</v>
      </c>
      <c r="C19" s="43">
        <v>32.827638688142</v>
      </c>
      <c r="D19" s="43">
        <v>-116.816018212924</v>
      </c>
      <c r="E19" s="43" t="s">
        <v>98</v>
      </c>
      <c r="F19" s="44" t="s">
        <v>116</v>
      </c>
      <c r="G19" s="45" t="s">
        <v>1385</v>
      </c>
      <c r="H19" s="46"/>
      <c r="I19" s="11" t="b">
        <v>1</v>
      </c>
      <c r="J19" s="86" t="str">
        <f t="shared" si="3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IFERROR(__xludf.DUMMYFUNCTION("""COMPUTED_VALUE"""),"fsafranek")</f>
        <v>fsafranek</v>
      </c>
      <c r="R19" s="49">
        <f>IFERROR(__xludf.DUMMYFUNCTION("""COMPUTED_VALUE"""),4427.0)</f>
        <v>4427</v>
      </c>
      <c r="S19" s="49"/>
    </row>
    <row r="20">
      <c r="A20" s="43">
        <v>3.0</v>
      </c>
      <c r="B20" s="43">
        <v>3.0</v>
      </c>
      <c r="C20" s="43">
        <v>32.8276386880257</v>
      </c>
      <c r="D20" s="43">
        <v>-116.815847167396</v>
      </c>
      <c r="E20" s="43" t="s">
        <v>98</v>
      </c>
      <c r="F20" s="44" t="s">
        <v>918</v>
      </c>
      <c r="G20" s="45" t="s">
        <v>1386</v>
      </c>
      <c r="H20" s="46"/>
      <c r="I20" s="11" t="b">
        <v>1</v>
      </c>
      <c r="J20" s="86" t="str">
        <f t="shared" si="3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IFERROR(__xludf.DUMMYFUNCTION("""COMPUTED_VALUE"""),"5Star")</f>
        <v>5Star</v>
      </c>
      <c r="R20" s="49">
        <f>IFERROR(__xludf.DUMMYFUNCTION("""COMPUTED_VALUE"""),5758.0)</f>
        <v>5758</v>
      </c>
      <c r="S20" s="51">
        <v>44046.43670556713</v>
      </c>
    </row>
    <row r="21">
      <c r="A21" s="43">
        <v>3.0</v>
      </c>
      <c r="B21" s="43">
        <v>4.0</v>
      </c>
      <c r="C21" s="43">
        <v>32.8276386879094</v>
      </c>
      <c r="D21" s="43">
        <v>-116.815676121868</v>
      </c>
      <c r="E21" s="43" t="s">
        <v>98</v>
      </c>
      <c r="F21" s="44" t="s">
        <v>110</v>
      </c>
      <c r="G21" s="52" t="s">
        <v>1387</v>
      </c>
      <c r="H21" s="46"/>
      <c r="I21" s="11" t="b">
        <v>1</v>
      </c>
      <c r="J21" s="86" t="str">
        <f t="shared" si="3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IFERROR(__xludf.DUMMYFUNCTION("""COMPUTED_VALUE"""),"BrotherWilliam")</f>
        <v>BrotherWilliam</v>
      </c>
      <c r="R21" s="49">
        <f>IFERROR(__xludf.DUMMYFUNCTION("""COMPUTED_VALUE"""),3946.0)</f>
        <v>3946</v>
      </c>
      <c r="S21" s="49"/>
    </row>
    <row r="22">
      <c r="A22" s="43">
        <v>3.0</v>
      </c>
      <c r="B22" s="43">
        <v>5.0</v>
      </c>
      <c r="C22" s="43">
        <v>32.8276386877931</v>
      </c>
      <c r="D22" s="43">
        <v>-116.81550507634</v>
      </c>
      <c r="E22" s="43" t="s">
        <v>98</v>
      </c>
      <c r="F22" s="44" t="s">
        <v>112</v>
      </c>
      <c r="G22" s="52" t="s">
        <v>1388</v>
      </c>
      <c r="H22" s="46"/>
      <c r="I22" s="11" t="b">
        <v>1</v>
      </c>
      <c r="J22" s="86" t="str">
        <f t="shared" si="3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IFERROR(__xludf.DUMMYFUNCTION("""COMPUTED_VALUE"""),"ArtofEco")</f>
        <v>ArtofEco</v>
      </c>
      <c r="R22" s="49">
        <f>IFERROR(__xludf.DUMMYFUNCTION("""COMPUTED_VALUE"""),2969.0)</f>
        <v>2969</v>
      </c>
      <c r="S22" s="49"/>
    </row>
    <row r="23">
      <c r="A23" s="43">
        <v>3.0</v>
      </c>
      <c r="B23" s="43">
        <v>6.0</v>
      </c>
      <c r="C23" s="43">
        <v>32.8276386876768</v>
      </c>
      <c r="D23" s="43">
        <v>-116.815334030812</v>
      </c>
      <c r="E23" s="43" t="s">
        <v>98</v>
      </c>
      <c r="F23" s="44" t="s">
        <v>122</v>
      </c>
      <c r="G23" s="45" t="s">
        <v>1389</v>
      </c>
      <c r="H23" s="46"/>
      <c r="I23" s="11" t="b">
        <v>1</v>
      </c>
      <c r="J23" s="86" t="str">
        <f t="shared" si="3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IFERROR(__xludf.DUMMYFUNCTION("""COMPUTED_VALUE"""),"Drazoria")</f>
        <v>Drazoria</v>
      </c>
      <c r="R23" s="49">
        <f>IFERROR(__xludf.DUMMYFUNCTION("""COMPUTED_VALUE"""),754.0)</f>
        <v>754</v>
      </c>
      <c r="S23" s="51">
        <v>44048.66382469908</v>
      </c>
    </row>
    <row r="24">
      <c r="A24" s="43">
        <v>3.0</v>
      </c>
      <c r="B24" s="43">
        <v>7.0</v>
      </c>
      <c r="C24" s="43">
        <v>32.8276386875605</v>
      </c>
      <c r="D24" s="43">
        <v>-116.815162985284</v>
      </c>
      <c r="E24" s="43" t="s">
        <v>98</v>
      </c>
      <c r="F24" s="44" t="s">
        <v>124</v>
      </c>
      <c r="G24" s="45" t="s">
        <v>1390</v>
      </c>
      <c r="H24" s="46"/>
      <c r="I24" s="11" t="b">
        <v>1</v>
      </c>
      <c r="J24" s="86" t="str">
        <f t="shared" si="3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IFERROR(__xludf.DUMMYFUNCTION("""COMPUTED_VALUE"""),"Tinake1309")</f>
        <v>Tinake1309</v>
      </c>
      <c r="R24" s="49">
        <f>IFERROR(__xludf.DUMMYFUNCTION("""COMPUTED_VALUE"""),751.0)</f>
        <v>751</v>
      </c>
      <c r="S24" s="51">
        <v>44048.663932511576</v>
      </c>
    </row>
    <row r="25">
      <c r="A25" s="43">
        <v>3.0</v>
      </c>
      <c r="B25" s="43">
        <v>8.0</v>
      </c>
      <c r="C25" s="43">
        <v>32.8276386874442</v>
      </c>
      <c r="D25" s="43">
        <v>-116.814991939756</v>
      </c>
      <c r="E25" s="43" t="s">
        <v>98</v>
      </c>
      <c r="F25" s="44" t="s">
        <v>1391</v>
      </c>
      <c r="G25" s="45" t="s">
        <v>1392</v>
      </c>
      <c r="H25" s="46"/>
      <c r="I25" s="11" t="b">
        <v>1</v>
      </c>
      <c r="J25" s="86" t="str">
        <f t="shared" si="3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IFERROR(__xludf.DUMMYFUNCTION("""COMPUTED_VALUE"""),"Berg14")</f>
        <v>Berg14</v>
      </c>
      <c r="R25" s="49">
        <f>IFERROR(__xludf.DUMMYFUNCTION("""COMPUTED_VALUE"""),589.0)</f>
        <v>589</v>
      </c>
      <c r="S25" s="51">
        <v>44048.663950358794</v>
      </c>
    </row>
    <row r="26">
      <c r="A26" s="43">
        <v>4.0</v>
      </c>
      <c r="B26" s="43">
        <v>1.0</v>
      </c>
      <c r="C26" s="43">
        <v>32.8274949578128</v>
      </c>
      <c r="D26" s="43">
        <v>-116.816189265649</v>
      </c>
      <c r="E26" s="43" t="s">
        <v>98</v>
      </c>
      <c r="F26" s="44" t="s">
        <v>128</v>
      </c>
      <c r="G26" s="45" t="s">
        <v>1393</v>
      </c>
      <c r="H26" s="46"/>
      <c r="I26" s="11" t="b">
        <v>1</v>
      </c>
      <c r="J26" s="86" t="str">
        <f t="shared" si="3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IFERROR(__xludf.DUMMYFUNCTION("""COMPUTED_VALUE"""),"Niks13")</f>
        <v>Niks13</v>
      </c>
      <c r="R26" s="49">
        <f>IFERROR(__xludf.DUMMYFUNCTION("""COMPUTED_VALUE"""),557.0)</f>
        <v>557</v>
      </c>
      <c r="S26" s="51">
        <v>44048.66395934028</v>
      </c>
    </row>
    <row r="27">
      <c r="A27" s="43">
        <v>4.0</v>
      </c>
      <c r="B27" s="43">
        <v>2.0</v>
      </c>
      <c r="C27" s="43">
        <v>32.8274949576965</v>
      </c>
      <c r="D27" s="43">
        <v>-116.816018220398</v>
      </c>
      <c r="E27" s="43" t="s">
        <v>103</v>
      </c>
      <c r="F27" s="44" t="s">
        <v>166</v>
      </c>
      <c r="G27" s="45" t="s">
        <v>1394</v>
      </c>
      <c r="H27" s="46"/>
      <c r="I27" s="11" t="b">
        <v>1</v>
      </c>
      <c r="J27" s="86" t="str">
        <f t="shared" si="3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IFERROR(__xludf.DUMMYFUNCTION("""COMPUTED_VALUE"""),"all0123")</f>
        <v>all0123</v>
      </c>
      <c r="R27" s="49">
        <f>IFERROR(__xludf.DUMMYFUNCTION("""COMPUTED_VALUE"""),3944.0)</f>
        <v>3944</v>
      </c>
      <c r="S27" s="49"/>
    </row>
    <row r="28">
      <c r="A28" s="43">
        <v>4.0</v>
      </c>
      <c r="B28" s="43">
        <v>3.0</v>
      </c>
      <c r="C28" s="43">
        <v>32.8274949575802</v>
      </c>
      <c r="D28" s="43">
        <v>-116.815847175147</v>
      </c>
      <c r="E28" s="43" t="s">
        <v>98</v>
      </c>
      <c r="F28" s="44" t="s">
        <v>1395</v>
      </c>
      <c r="G28" s="45" t="s">
        <v>1396</v>
      </c>
      <c r="H28" s="44"/>
      <c r="I28" s="11" t="b">
        <v>1</v>
      </c>
      <c r="J28" s="86" t="str">
        <f t="shared" si="3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IFERROR(__xludf.DUMMYFUNCTION("""COMPUTED_VALUE"""),"belladivadee")</f>
        <v>belladivadee</v>
      </c>
      <c r="R28" s="49">
        <f>IFERROR(__xludf.DUMMYFUNCTION("""COMPUTED_VALUE"""),3035.0)</f>
        <v>3035</v>
      </c>
      <c r="S28" s="49"/>
    </row>
    <row r="29">
      <c r="A29" s="43">
        <v>4.0</v>
      </c>
      <c r="B29" s="43">
        <v>4.0</v>
      </c>
      <c r="C29" s="43">
        <v>32.8274949574639</v>
      </c>
      <c r="D29" s="43">
        <v>-116.815676129895</v>
      </c>
      <c r="E29" s="43" t="s">
        <v>98</v>
      </c>
      <c r="F29" s="44" t="s">
        <v>138</v>
      </c>
      <c r="G29" s="45" t="s">
        <v>1397</v>
      </c>
      <c r="H29" s="46"/>
      <c r="I29" s="11" t="b">
        <v>1</v>
      </c>
      <c r="J29" s="141"/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IFERROR(__xludf.DUMMYFUNCTION("""COMPUTED_VALUE"""),2816.0)</f>
        <v>2816</v>
      </c>
      <c r="S29" s="49"/>
    </row>
    <row r="30">
      <c r="A30" s="43">
        <v>4.0</v>
      </c>
      <c r="B30" s="43">
        <v>5.0</v>
      </c>
      <c r="C30" s="43">
        <v>32.8274949573476</v>
      </c>
      <c r="D30" s="43">
        <v>-116.815505084644</v>
      </c>
      <c r="E30" s="43" t="s">
        <v>98</v>
      </c>
      <c r="F30" s="44" t="s">
        <v>190</v>
      </c>
      <c r="G30" s="52" t="s">
        <v>1398</v>
      </c>
      <c r="H30" s="46"/>
      <c r="I30" s="11" t="b">
        <v>1</v>
      </c>
      <c r="J30" s="86" t="str">
        <f t="shared" ref="J30:J41" si="4">if(I30=true,"",S30)</f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IFERROR(__xludf.DUMMYFUNCTION("""COMPUTED_VALUE"""),"GroteSufferd")</f>
        <v>GroteSufferd</v>
      </c>
      <c r="R30" s="49">
        <f>IFERROR(__xludf.DUMMYFUNCTION("""COMPUTED_VALUE"""),377.0)</f>
        <v>377</v>
      </c>
      <c r="S30" s="51">
        <v>44054.516946250005</v>
      </c>
    </row>
    <row r="31">
      <c r="A31" s="43">
        <v>4.0</v>
      </c>
      <c r="B31" s="43">
        <v>6.0</v>
      </c>
      <c r="C31" s="43">
        <v>32.8274949572313</v>
      </c>
      <c r="D31" s="43">
        <v>-116.815334039393</v>
      </c>
      <c r="E31" s="43" t="s">
        <v>103</v>
      </c>
      <c r="F31" s="44" t="s">
        <v>1025</v>
      </c>
      <c r="G31" s="65" t="s">
        <v>1399</v>
      </c>
      <c r="H31" s="46"/>
      <c r="I31" s="11" t="b">
        <v>1</v>
      </c>
      <c r="J31" s="86" t="str">
        <f t="shared" si="4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IFERROR(__xludf.DUMMYFUNCTION("""COMPUTED_VALUE"""),"upapou")</f>
        <v>upapou</v>
      </c>
      <c r="R31" s="49">
        <f>IFERROR(__xludf.DUMMYFUNCTION("""COMPUTED_VALUE"""),1011.0)</f>
        <v>1011</v>
      </c>
      <c r="S31" s="49"/>
    </row>
    <row r="32">
      <c r="A32" s="43">
        <v>4.0</v>
      </c>
      <c r="B32" s="43">
        <v>7.0</v>
      </c>
      <c r="C32" s="43">
        <v>32.827494957115</v>
      </c>
      <c r="D32" s="43">
        <v>-116.815162994142</v>
      </c>
      <c r="E32" s="43" t="s">
        <v>98</v>
      </c>
      <c r="F32" s="44" t="s">
        <v>1197</v>
      </c>
      <c r="G32" s="45" t="s">
        <v>1400</v>
      </c>
      <c r="H32" s="46"/>
      <c r="I32" s="11" t="b">
        <v>1</v>
      </c>
      <c r="J32" s="86" t="str">
        <f t="shared" si="4"/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IFERROR(__xludf.DUMMYFUNCTION("""COMPUTED_VALUE"""),"KublaKhan")</f>
        <v>KublaKhan</v>
      </c>
      <c r="R32" s="49">
        <f>IFERROR(__xludf.DUMMYFUNCTION("""COMPUTED_VALUE"""),618.0)</f>
        <v>618</v>
      </c>
      <c r="S32" s="49"/>
    </row>
    <row r="33">
      <c r="A33" s="43">
        <v>4.0</v>
      </c>
      <c r="B33" s="43">
        <v>8.0</v>
      </c>
      <c r="C33" s="43">
        <v>32.8274949569987</v>
      </c>
      <c r="D33" s="43">
        <v>-116.814991948891</v>
      </c>
      <c r="E33" s="43" t="s">
        <v>98</v>
      </c>
      <c r="F33" s="44" t="s">
        <v>182</v>
      </c>
      <c r="G33" s="45" t="s">
        <v>1401</v>
      </c>
      <c r="H33" s="46"/>
      <c r="I33" s="11" t="b">
        <v>1</v>
      </c>
      <c r="J33" s="86" t="str">
        <f t="shared" si="4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IFERROR(__xludf.DUMMYFUNCTION("""COMPUTED_VALUE"""),"TheFatCats")</f>
        <v>TheFatCats</v>
      </c>
      <c r="R33" s="49">
        <f>IFERROR(__xludf.DUMMYFUNCTION("""COMPUTED_VALUE"""),3521.0)</f>
        <v>3521</v>
      </c>
      <c r="S33" s="49"/>
    </row>
    <row r="34">
      <c r="A34" s="43">
        <v>5.0</v>
      </c>
      <c r="B34" s="43">
        <v>1.0</v>
      </c>
      <c r="C34" s="43">
        <v>32.8273512273674</v>
      </c>
      <c r="D34" s="43">
        <v>-116.816189272846</v>
      </c>
      <c r="E34" s="43" t="s">
        <v>103</v>
      </c>
      <c r="F34" s="44" t="s">
        <v>629</v>
      </c>
      <c r="G34" s="52" t="s">
        <v>1402</v>
      </c>
      <c r="H34" s="46"/>
      <c r="I34" s="11" t="b">
        <v>1</v>
      </c>
      <c r="J34" s="86" t="str">
        <f t="shared" si="4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IFERROR(__xludf.DUMMYFUNCTION("""COMPUTED_VALUE"""),"IggiePiggie")</f>
        <v>IggiePiggie</v>
      </c>
      <c r="R34" s="49">
        <f>IFERROR(__xludf.DUMMYFUNCTION("""COMPUTED_VALUE"""),1877.0)</f>
        <v>1877</v>
      </c>
      <c r="S34" s="49"/>
    </row>
    <row r="35">
      <c r="A35" s="43">
        <v>5.0</v>
      </c>
      <c r="B35" s="43">
        <v>2.0</v>
      </c>
      <c r="C35" s="43">
        <v>32.8273512272511</v>
      </c>
      <c r="D35" s="43">
        <v>-116.816018227872</v>
      </c>
      <c r="E35" s="43" t="s">
        <v>98</v>
      </c>
      <c r="F35" s="44" t="s">
        <v>141</v>
      </c>
      <c r="G35" s="54" t="s">
        <v>1403</v>
      </c>
      <c r="H35" s="46"/>
      <c r="I35" s="11" t="b">
        <v>1</v>
      </c>
      <c r="J35" s="86" t="str">
        <f t="shared" si="4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IFERROR(__xludf.DUMMYFUNCTION("""COMPUTED_VALUE"""),2406.0)</f>
        <v>2406</v>
      </c>
      <c r="S35" s="49"/>
    </row>
    <row r="36">
      <c r="A36" s="43">
        <v>5.0</v>
      </c>
      <c r="B36" s="43">
        <v>3.0</v>
      </c>
      <c r="C36" s="43">
        <v>32.8273512271348</v>
      </c>
      <c r="D36" s="43">
        <v>-116.815847182897</v>
      </c>
      <c r="E36" s="43" t="s">
        <v>103</v>
      </c>
      <c r="F36" s="44" t="s">
        <v>182</v>
      </c>
      <c r="G36" s="45" t="s">
        <v>1404</v>
      </c>
      <c r="H36" s="46"/>
      <c r="I36" s="11" t="b">
        <v>1</v>
      </c>
      <c r="J36" s="86" t="str">
        <f t="shared" si="4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IFERROR(__xludf.DUMMYFUNCTION("""COMPUTED_VALUE"""),"TheFatCats")</f>
        <v>TheFatCats</v>
      </c>
      <c r="R36" s="49">
        <f>IFERROR(__xludf.DUMMYFUNCTION("""COMPUTED_VALUE"""),3499.0)</f>
        <v>3499</v>
      </c>
      <c r="S36" s="49"/>
    </row>
    <row r="37">
      <c r="A37" s="43">
        <v>5.0</v>
      </c>
      <c r="B37" s="43">
        <v>4.0</v>
      </c>
      <c r="C37" s="43">
        <v>32.8273512270185</v>
      </c>
      <c r="D37" s="43">
        <v>-116.815676137923</v>
      </c>
      <c r="E37" s="43" t="s">
        <v>98</v>
      </c>
      <c r="F37" s="44" t="s">
        <v>1201</v>
      </c>
      <c r="G37" s="45" t="s">
        <v>1405</v>
      </c>
      <c r="H37" s="46"/>
      <c r="I37" s="11" t="b">
        <v>1</v>
      </c>
      <c r="J37" s="86" t="str">
        <f t="shared" si="4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IFERROR(__xludf.DUMMYFUNCTION("""COMPUTED_VALUE"""),"MurphyLM")</f>
        <v>MurphyLM</v>
      </c>
      <c r="R37" s="49">
        <f>IFERROR(__xludf.DUMMYFUNCTION("""COMPUTED_VALUE"""),86.0)</f>
        <v>86</v>
      </c>
      <c r="S37" s="49"/>
    </row>
    <row r="38">
      <c r="A38" s="43">
        <v>5.0</v>
      </c>
      <c r="B38" s="43">
        <v>5.0</v>
      </c>
      <c r="C38" s="43">
        <v>32.8273512269022</v>
      </c>
      <c r="D38" s="43">
        <v>-116.815505092949</v>
      </c>
      <c r="E38" s="43" t="s">
        <v>98</v>
      </c>
      <c r="F38" s="44" t="s">
        <v>920</v>
      </c>
      <c r="G38" s="45" t="s">
        <v>1406</v>
      </c>
      <c r="H38" s="46"/>
      <c r="I38" s="11" t="b">
        <v>1</v>
      </c>
      <c r="J38" s="86" t="str">
        <f t="shared" si="4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IFERROR(__xludf.DUMMYFUNCTION("""COMPUTED_VALUE"""),"FromTheTardis")</f>
        <v>FromTheTardis</v>
      </c>
      <c r="R38" s="49">
        <f>IFERROR(__xludf.DUMMYFUNCTION("""COMPUTED_VALUE"""),1410.0)</f>
        <v>1410</v>
      </c>
      <c r="S38" s="49"/>
    </row>
    <row r="39">
      <c r="A39" s="43">
        <v>5.0</v>
      </c>
      <c r="B39" s="43">
        <v>6.0</v>
      </c>
      <c r="C39" s="43">
        <v>32.8273512267859</v>
      </c>
      <c r="D39" s="43">
        <v>-116.815334047974</v>
      </c>
      <c r="E39" s="43" t="s">
        <v>98</v>
      </c>
      <c r="F39" s="44" t="s">
        <v>1407</v>
      </c>
      <c r="G39" s="65" t="s">
        <v>1408</v>
      </c>
      <c r="H39" s="46"/>
      <c r="I39" s="11" t="b">
        <v>1</v>
      </c>
      <c r="J39" s="86" t="str">
        <f t="shared" si="4"/>
        <v/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IFERROR(__xludf.DUMMYFUNCTION("""COMPUTED_VALUE"""),"Beermaven")</f>
        <v>Beermaven</v>
      </c>
      <c r="R39" s="49">
        <f>IFERROR(__xludf.DUMMYFUNCTION("""COMPUTED_VALUE"""),2916.0)</f>
        <v>2916</v>
      </c>
      <c r="S39" s="49"/>
    </row>
    <row r="40">
      <c r="A40" s="43">
        <v>5.0</v>
      </c>
      <c r="B40" s="43">
        <v>7.0</v>
      </c>
      <c r="C40" s="43">
        <v>32.8273512266696</v>
      </c>
      <c r="D40" s="43">
        <v>-116.815163003</v>
      </c>
      <c r="E40" s="43" t="s">
        <v>98</v>
      </c>
      <c r="F40" s="44" t="s">
        <v>1201</v>
      </c>
      <c r="G40" s="45" t="s">
        <v>1409</v>
      </c>
      <c r="H40" s="46"/>
      <c r="I40" s="11" t="b">
        <v>1</v>
      </c>
      <c r="J40" s="86" t="str">
        <f t="shared" si="4"/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IFERROR(__xludf.DUMMYFUNCTION("""COMPUTED_VALUE"""),"MurphyLM")</f>
        <v>MurphyLM</v>
      </c>
      <c r="R40" s="49">
        <f>IFERROR(__xludf.DUMMYFUNCTION("""COMPUTED_VALUE"""),92.0)</f>
        <v>92</v>
      </c>
      <c r="S40" s="49"/>
    </row>
    <row r="41">
      <c r="A41" s="43">
        <v>5.0</v>
      </c>
      <c r="B41" s="43">
        <v>8.0</v>
      </c>
      <c r="C41" s="43">
        <v>32.8273512265533</v>
      </c>
      <c r="D41" s="43">
        <v>-116.814991958025</v>
      </c>
      <c r="E41" s="43" t="s">
        <v>98</v>
      </c>
      <c r="F41" s="44" t="s">
        <v>314</v>
      </c>
      <c r="G41" s="45" t="s">
        <v>1410</v>
      </c>
      <c r="H41" s="46"/>
      <c r="I41" s="11" t="b">
        <v>1</v>
      </c>
      <c r="J41" s="86" t="str">
        <f t="shared" si="4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IFERROR(__xludf.DUMMYFUNCTION("""COMPUTED_VALUE"""),"Trappertje")</f>
        <v>Trappertje</v>
      </c>
      <c r="R41" s="49">
        <f>IFERROR(__xludf.DUMMYFUNCTION("""COMPUTED_VALUE"""),5069.0)</f>
        <v>5069</v>
      </c>
      <c r="S41" s="49"/>
    </row>
    <row r="42">
      <c r="A42" s="43">
        <v>6.0</v>
      </c>
      <c r="B42" s="43">
        <v>1.0</v>
      </c>
      <c r="C42" s="43">
        <v>32.8272074969219</v>
      </c>
      <c r="D42" s="43">
        <v>-116.816189280043</v>
      </c>
      <c r="E42" s="43" t="s">
        <v>98</v>
      </c>
      <c r="F42" s="44" t="s">
        <v>766</v>
      </c>
      <c r="G42" s="45" t="s">
        <v>1411</v>
      </c>
      <c r="H42" s="46"/>
      <c r="I42" s="11" t="b">
        <v>1</v>
      </c>
      <c r="J42" s="86"/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IFERROR(__xludf.DUMMYFUNCTION("""COMPUTED_VALUE"""),"BartWullems")</f>
        <v>BartWullems</v>
      </c>
      <c r="R42" s="49">
        <f>IFERROR(__xludf.DUMMYFUNCTION("""COMPUTED_VALUE"""),5609.0)</f>
        <v>5609</v>
      </c>
      <c r="S42" s="51">
        <v>44066.7560231713</v>
      </c>
    </row>
    <row r="43">
      <c r="A43" s="43">
        <v>6.0</v>
      </c>
      <c r="B43" s="43">
        <v>2.0</v>
      </c>
      <c r="C43" s="43">
        <v>32.8272074968056</v>
      </c>
      <c r="D43" s="43">
        <v>-116.816018235345</v>
      </c>
      <c r="E43" s="43" t="s">
        <v>98</v>
      </c>
      <c r="F43" s="44" t="s">
        <v>140</v>
      </c>
      <c r="G43" s="45" t="s">
        <v>1412</v>
      </c>
      <c r="H43" s="46"/>
      <c r="I43" s="11" t="b">
        <v>1</v>
      </c>
      <c r="J43" s="86"/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IFERROR(__xludf.DUMMYFUNCTION("""COMPUTED_VALUE"""),"Fossillady")</f>
        <v>Fossillady</v>
      </c>
      <c r="R43" s="49">
        <f>IFERROR(__xludf.DUMMYFUNCTION("""COMPUTED_VALUE"""),3540.0)</f>
        <v>3540</v>
      </c>
      <c r="S43" s="51">
        <v>44050.39471199074</v>
      </c>
    </row>
    <row r="44">
      <c r="A44" s="43">
        <v>6.0</v>
      </c>
      <c r="B44" s="43">
        <v>3.0</v>
      </c>
      <c r="C44" s="43">
        <v>32.8272074966893</v>
      </c>
      <c r="D44" s="43">
        <v>-116.815847190648</v>
      </c>
      <c r="E44" s="43" t="s">
        <v>103</v>
      </c>
      <c r="F44" s="44" t="s">
        <v>940</v>
      </c>
      <c r="G44" s="45" t="s">
        <v>1413</v>
      </c>
      <c r="H44" s="46"/>
      <c r="I44" s="11" t="b">
        <v>1</v>
      </c>
      <c r="J44" s="86" t="str">
        <f t="shared" ref="J44:J59" si="5">if(I44=true,"",S44)</f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IFERROR(__xludf.DUMMYFUNCTION("""COMPUTED_VALUE"""),"WiseOldWizard")</f>
        <v>WiseOldWizard</v>
      </c>
      <c r="R44" s="49">
        <f>IFERROR(__xludf.DUMMYFUNCTION("""COMPUTED_VALUE"""),3984.0)</f>
        <v>3984</v>
      </c>
      <c r="S44" s="49"/>
    </row>
    <row r="45">
      <c r="A45" s="43">
        <v>6.0</v>
      </c>
      <c r="B45" s="43">
        <v>4.0</v>
      </c>
      <c r="C45" s="43">
        <v>32.827207496573</v>
      </c>
      <c r="D45" s="43">
        <v>-116.81567614595</v>
      </c>
      <c r="E45" s="43" t="s">
        <v>98</v>
      </c>
      <c r="F45" s="44" t="s">
        <v>1414</v>
      </c>
      <c r="G45" s="45" t="s">
        <v>1415</v>
      </c>
      <c r="H45" s="46"/>
      <c r="I45" s="11" t="b">
        <v>1</v>
      </c>
      <c r="J45" s="86" t="str">
        <f t="shared" si="5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IFERROR(__xludf.DUMMYFUNCTION("""COMPUTED_VALUE"""),"szakica")</f>
        <v>szakica</v>
      </c>
      <c r="R45" s="49">
        <f>IFERROR(__xludf.DUMMYFUNCTION("""COMPUTED_VALUE"""),2030.0)</f>
        <v>2030</v>
      </c>
      <c r="S45" s="49"/>
    </row>
    <row r="46">
      <c r="A46" s="43">
        <v>6.0</v>
      </c>
      <c r="B46" s="43">
        <v>5.0</v>
      </c>
      <c r="C46" s="43">
        <v>32.8272074964567</v>
      </c>
      <c r="D46" s="43">
        <v>-116.815505101252</v>
      </c>
      <c r="E46" s="43" t="s">
        <v>98</v>
      </c>
      <c r="F46" s="44" t="s">
        <v>134</v>
      </c>
      <c r="G46" s="52" t="s">
        <v>1416</v>
      </c>
      <c r="H46" s="46"/>
      <c r="I46" s="11" t="b">
        <v>1</v>
      </c>
      <c r="J46" s="86" t="str">
        <f t="shared" si="5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IFERROR(__xludf.DUMMYFUNCTION("""COMPUTED_VALUE"""),"Wangotango")</f>
        <v>Wangotango</v>
      </c>
      <c r="R46" s="49">
        <f>IFERROR(__xludf.DUMMYFUNCTION("""COMPUTED_VALUE"""),1266.0)</f>
        <v>1266</v>
      </c>
      <c r="S46" s="49"/>
    </row>
    <row r="47">
      <c r="A47" s="43">
        <v>6.0</v>
      </c>
      <c r="B47" s="43">
        <v>6.0</v>
      </c>
      <c r="C47" s="43">
        <v>32.8272074963404</v>
      </c>
      <c r="D47" s="43">
        <v>-116.815334056555</v>
      </c>
      <c r="E47" s="43" t="s">
        <v>103</v>
      </c>
      <c r="F47" s="44" t="s">
        <v>1417</v>
      </c>
      <c r="G47" s="45" t="s">
        <v>1418</v>
      </c>
      <c r="H47" s="46"/>
      <c r="I47" s="11" t="b">
        <v>1</v>
      </c>
      <c r="J47" s="86" t="str">
        <f t="shared" si="5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IFERROR(__xludf.DUMMYFUNCTION("""COMPUTED_VALUE"""),"mihul")</f>
        <v>mihul</v>
      </c>
      <c r="R47" s="49">
        <f>IFERROR(__xludf.DUMMYFUNCTION("""COMPUTED_VALUE"""),4344.0)</f>
        <v>4344</v>
      </c>
      <c r="S47" s="49"/>
    </row>
    <row r="48">
      <c r="A48" s="43">
        <v>6.0</v>
      </c>
      <c r="B48" s="43">
        <v>7.0</v>
      </c>
      <c r="C48" s="43">
        <v>32.8272074962241</v>
      </c>
      <c r="D48" s="43">
        <v>-116.815163011857</v>
      </c>
      <c r="E48" s="43" t="s">
        <v>98</v>
      </c>
      <c r="F48" s="44" t="s">
        <v>145</v>
      </c>
      <c r="G48" s="52" t="s">
        <v>1419</v>
      </c>
      <c r="H48" s="46"/>
      <c r="I48" s="11" t="b">
        <v>1</v>
      </c>
      <c r="J48" s="86" t="str">
        <f t="shared" si="5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IFERROR(__xludf.DUMMYFUNCTION("""COMPUTED_VALUE"""),4237.0)</f>
        <v>4237</v>
      </c>
      <c r="S48" s="51">
        <v>44046.436322546295</v>
      </c>
    </row>
    <row r="49">
      <c r="A49" s="43">
        <v>6.0</v>
      </c>
      <c r="B49" s="43">
        <v>8.0</v>
      </c>
      <c r="C49" s="43">
        <v>32.8272074961078</v>
      </c>
      <c r="D49" s="43">
        <v>-116.81499196716</v>
      </c>
      <c r="E49" s="43" t="s">
        <v>98</v>
      </c>
      <c r="F49" s="44" t="s">
        <v>147</v>
      </c>
      <c r="G49" s="52" t="s">
        <v>1420</v>
      </c>
      <c r="H49" s="46"/>
      <c r="I49" s="11" t="b">
        <v>1</v>
      </c>
      <c r="J49" s="86" t="str">
        <f t="shared" si="5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IFERROR(__xludf.DUMMYFUNCTION("""COMPUTED_VALUE"""),7166.0)</f>
        <v>7166</v>
      </c>
      <c r="S49" s="51">
        <v>44046.43638828704</v>
      </c>
    </row>
    <row r="50">
      <c r="A50" s="43">
        <v>7.0</v>
      </c>
      <c r="B50" s="43">
        <v>2.0</v>
      </c>
      <c r="C50" s="43">
        <v>32.8270637663602</v>
      </c>
      <c r="D50" s="43">
        <v>-116.816018242819</v>
      </c>
      <c r="E50" s="43" t="s">
        <v>103</v>
      </c>
      <c r="F50" s="44" t="s">
        <v>1197</v>
      </c>
      <c r="G50" s="45" t="s">
        <v>1421</v>
      </c>
      <c r="H50" s="46"/>
      <c r="I50" s="11" t="b">
        <v>1</v>
      </c>
      <c r="J50" s="86" t="str">
        <f t="shared" si="5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IFERROR(__xludf.DUMMYFUNCTION("""COMPUTED_VALUE"""),"KublaKhan")</f>
        <v>KublaKhan</v>
      </c>
      <c r="R50" s="49">
        <f>IFERROR(__xludf.DUMMYFUNCTION("""COMPUTED_VALUE"""),640.0)</f>
        <v>640</v>
      </c>
      <c r="S50" s="49"/>
    </row>
    <row r="51">
      <c r="A51" s="43">
        <v>7.0</v>
      </c>
      <c r="B51" s="43">
        <v>3.0</v>
      </c>
      <c r="C51" s="43">
        <v>32.8270637662439</v>
      </c>
      <c r="D51" s="43">
        <v>-116.815847198398</v>
      </c>
      <c r="E51" s="43" t="s">
        <v>98</v>
      </c>
      <c r="F51" s="44" t="s">
        <v>1230</v>
      </c>
      <c r="G51" s="54" t="s">
        <v>1422</v>
      </c>
      <c r="H51" s="46"/>
      <c r="I51" s="11" t="b">
        <v>1</v>
      </c>
      <c r="J51" s="86" t="str">
        <f t="shared" si="5"/>
        <v/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IFERROR(__xludf.DUMMYFUNCTION("""COMPUTED_VALUE"""),"FlatBlack")</f>
        <v>FlatBlack</v>
      </c>
      <c r="R51" s="49">
        <f>IFERROR(__xludf.DUMMYFUNCTION("""COMPUTED_VALUE"""),757.0)</f>
        <v>757</v>
      </c>
      <c r="S51" s="49"/>
    </row>
    <row r="52">
      <c r="A52" s="43">
        <v>7.0</v>
      </c>
      <c r="B52" s="43">
        <v>4.0</v>
      </c>
      <c r="C52" s="43">
        <v>32.8270637661276</v>
      </c>
      <c r="D52" s="43">
        <v>-116.815676153978</v>
      </c>
      <c r="E52" s="43" t="s">
        <v>98</v>
      </c>
      <c r="F52" s="44" t="s">
        <v>1423</v>
      </c>
      <c r="G52" s="45" t="s">
        <v>1424</v>
      </c>
      <c r="H52" s="46"/>
      <c r="I52" s="11" t="b">
        <v>1</v>
      </c>
      <c r="J52" s="86" t="str">
        <f t="shared" si="5"/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IFERROR(__xludf.DUMMYFUNCTION("""COMPUTED_VALUE"""),"Jawillia")</f>
        <v>Jawillia</v>
      </c>
      <c r="R52" s="49">
        <f>IFERROR(__xludf.DUMMYFUNCTION("""COMPUTED_VALUE"""),4385.0)</f>
        <v>4385</v>
      </c>
      <c r="S52" s="49"/>
    </row>
    <row r="53">
      <c r="A53" s="43">
        <v>7.0</v>
      </c>
      <c r="B53" s="43">
        <v>5.0</v>
      </c>
      <c r="C53" s="43">
        <v>32.8270637660113</v>
      </c>
      <c r="D53" s="43">
        <v>-116.815505109557</v>
      </c>
      <c r="E53" s="43" t="s">
        <v>98</v>
      </c>
      <c r="F53" s="44" t="s">
        <v>1197</v>
      </c>
      <c r="G53" s="45" t="s">
        <v>1425</v>
      </c>
      <c r="H53" s="46"/>
      <c r="I53" s="11" t="b">
        <v>1</v>
      </c>
      <c r="J53" s="86" t="str">
        <f t="shared" si="5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IFERROR(__xludf.DUMMYFUNCTION("""COMPUTED_VALUE"""),"KublaKhan")</f>
        <v>KublaKhan</v>
      </c>
      <c r="R53" s="49">
        <f>IFERROR(__xludf.DUMMYFUNCTION("""COMPUTED_VALUE"""),689.0)</f>
        <v>689</v>
      </c>
      <c r="S53" s="49"/>
    </row>
    <row r="54">
      <c r="A54" s="43">
        <v>7.0</v>
      </c>
      <c r="B54" s="43">
        <v>6.0</v>
      </c>
      <c r="C54" s="43">
        <v>32.827063765895</v>
      </c>
      <c r="D54" s="43">
        <v>-116.815334065136</v>
      </c>
      <c r="E54" s="43" t="s">
        <v>98</v>
      </c>
      <c r="F54" s="44" t="s">
        <v>1426</v>
      </c>
      <c r="G54" s="45" t="s">
        <v>1427</v>
      </c>
      <c r="H54" s="46"/>
      <c r="I54" s="11" t="b">
        <v>1</v>
      </c>
      <c r="J54" s="86" t="str">
        <f t="shared" si="5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IFERROR(__xludf.DUMMYFUNCTION("""COMPUTED_VALUE"""),"PennyCat")</f>
        <v>PennyCat</v>
      </c>
      <c r="R54" s="49">
        <f>IFERROR(__xludf.DUMMYFUNCTION("""COMPUTED_VALUE"""),136.0)</f>
        <v>136</v>
      </c>
      <c r="S54" s="49"/>
    </row>
    <row r="55">
      <c r="A55" s="43">
        <v>7.0</v>
      </c>
      <c r="B55" s="43">
        <v>7.0</v>
      </c>
      <c r="C55" s="43">
        <v>32.8270637657787</v>
      </c>
      <c r="D55" s="43">
        <v>-116.815163020715</v>
      </c>
      <c r="E55" s="43" t="s">
        <v>98</v>
      </c>
      <c r="F55" s="44" t="s">
        <v>157</v>
      </c>
      <c r="G55" s="45" t="s">
        <v>1428</v>
      </c>
      <c r="H55" s="46"/>
      <c r="I55" s="11" t="b">
        <v>1</v>
      </c>
      <c r="J55" s="86" t="str">
        <f t="shared" si="5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IFERROR(__xludf.DUMMYFUNCTION("""COMPUTED_VALUE"""),"barefootguru")</f>
        <v>barefootguru</v>
      </c>
      <c r="R55" s="49">
        <f>IFERROR(__xludf.DUMMYFUNCTION("""COMPUTED_VALUE"""),3135.0)</f>
        <v>3135</v>
      </c>
      <c r="S55" s="49"/>
    </row>
    <row r="56">
      <c r="A56" s="43">
        <v>8.0</v>
      </c>
      <c r="B56" s="43">
        <v>3.0</v>
      </c>
      <c r="C56" s="43">
        <v>32.8269200357984</v>
      </c>
      <c r="D56" s="43">
        <v>-116.81584720615</v>
      </c>
      <c r="E56" s="43" t="s">
        <v>98</v>
      </c>
      <c r="F56" s="44" t="s">
        <v>182</v>
      </c>
      <c r="G56" s="45" t="s">
        <v>1429</v>
      </c>
      <c r="H56" s="46"/>
      <c r="I56" s="11" t="b">
        <v>1</v>
      </c>
      <c r="J56" s="86" t="str">
        <f t="shared" si="5"/>
        <v/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IFERROR(__xludf.DUMMYFUNCTION("""COMPUTED_VALUE"""),"TheFatCats")</f>
        <v>TheFatCats</v>
      </c>
      <c r="R56" s="49">
        <f>IFERROR(__xludf.DUMMYFUNCTION("""COMPUTED_VALUE"""),3554.0)</f>
        <v>3554</v>
      </c>
      <c r="S56" s="49"/>
    </row>
    <row r="57">
      <c r="A57" s="43">
        <v>8.0</v>
      </c>
      <c r="B57" s="43">
        <v>4.0</v>
      </c>
      <c r="C57" s="43">
        <v>32.8269200356821</v>
      </c>
      <c r="D57" s="43">
        <v>-116.815676162006</v>
      </c>
      <c r="E57" s="43" t="s">
        <v>103</v>
      </c>
      <c r="F57" s="44" t="s">
        <v>243</v>
      </c>
      <c r="G57" s="65" t="s">
        <v>1430</v>
      </c>
      <c r="H57" s="146"/>
      <c r="I57" s="11" t="b">
        <v>1</v>
      </c>
      <c r="J57" s="86" t="str">
        <f t="shared" si="5"/>
        <v/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IFERROR(__xludf.DUMMYFUNCTION("""COMPUTED_VALUE"""),"Aniara")</f>
        <v>Aniara</v>
      </c>
      <c r="R57" s="49">
        <f>IFERROR(__xludf.DUMMYFUNCTION("""COMPUTED_VALUE"""),6633.0)</f>
        <v>6633</v>
      </c>
      <c r="S57" s="49"/>
    </row>
    <row r="58">
      <c r="A58" s="43">
        <v>8.0</v>
      </c>
      <c r="B58" s="43">
        <v>5.0</v>
      </c>
      <c r="C58" s="43">
        <v>32.8269200355658</v>
      </c>
      <c r="D58" s="43">
        <v>-116.815505117862</v>
      </c>
      <c r="E58" s="43" t="s">
        <v>103</v>
      </c>
      <c r="F58" s="44" t="s">
        <v>140</v>
      </c>
      <c r="G58" s="45" t="s">
        <v>1431</v>
      </c>
      <c r="H58" s="46"/>
      <c r="I58" s="11" t="b">
        <v>1</v>
      </c>
      <c r="J58" s="86" t="str">
        <f t="shared" si="5"/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IFERROR(__xludf.DUMMYFUNCTION("""COMPUTED_VALUE"""),"Fossillady")</f>
        <v>Fossillady</v>
      </c>
      <c r="R58" s="49">
        <f>IFERROR(__xludf.DUMMYFUNCTION("""COMPUTED_VALUE"""),3677.0)</f>
        <v>3677</v>
      </c>
      <c r="S58" s="49"/>
    </row>
    <row r="59">
      <c r="A59" s="43">
        <v>8.0</v>
      </c>
      <c r="B59" s="43">
        <v>6.0</v>
      </c>
      <c r="C59" s="43">
        <v>32.8269200354495</v>
      </c>
      <c r="D59" s="43">
        <v>-116.815334073718</v>
      </c>
      <c r="E59" s="43" t="s">
        <v>98</v>
      </c>
      <c r="F59" s="44" t="s">
        <v>182</v>
      </c>
      <c r="G59" s="45" t="s">
        <v>1432</v>
      </c>
      <c r="H59" s="46"/>
      <c r="I59" s="11" t="b">
        <v>1</v>
      </c>
      <c r="J59" s="86" t="str">
        <f t="shared" si="5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IFERROR(__xludf.DUMMYFUNCTION("""COMPUTED_VALUE"""),"TheFatCats")</f>
        <v>TheFatCats</v>
      </c>
      <c r="R59" s="49">
        <f>IFERROR(__xludf.DUMMYFUNCTION("""COMPUTED_VALUE"""),3836.0)</f>
        <v>3836</v>
      </c>
      <c r="S59" s="51">
        <v>44055.737834803236</v>
      </c>
    </row>
    <row r="60">
      <c r="J60" s="86"/>
    </row>
    <row r="61" hidden="1">
      <c r="F61" s="47">
        <f t="shared" ref="F61:G61" si="6">COUNTIF(F8:F59,"")</f>
        <v>0</v>
      </c>
      <c r="G61" s="47">
        <f t="shared" si="6"/>
        <v>0</v>
      </c>
      <c r="I61" s="47">
        <f>COUNTIF(I8:I59,TRUE)</f>
        <v>52</v>
      </c>
      <c r="J61" s="86"/>
    </row>
    <row r="62" hidden="1">
      <c r="J62" s="86"/>
    </row>
    <row r="63" hidden="1">
      <c r="J63" s="86"/>
    </row>
    <row r="64" hidden="1">
      <c r="J64" s="86"/>
    </row>
    <row r="65">
      <c r="J65" s="86"/>
    </row>
    <row r="66">
      <c r="J66" s="86"/>
    </row>
    <row r="67">
      <c r="J67" s="86"/>
    </row>
    <row r="68">
      <c r="J68" s="86"/>
    </row>
    <row r="69">
      <c r="J69" s="86"/>
    </row>
    <row r="70">
      <c r="J70" s="86"/>
    </row>
    <row r="71">
      <c r="J71" s="86"/>
    </row>
    <row r="72">
      <c r="J72" s="86"/>
    </row>
    <row r="73">
      <c r="J73" s="86"/>
    </row>
    <row r="74">
      <c r="J74" s="86"/>
    </row>
    <row r="75">
      <c r="J75" s="86"/>
    </row>
    <row r="76">
      <c r="J76" s="86"/>
    </row>
    <row r="77">
      <c r="J77" s="86"/>
    </row>
    <row r="78">
      <c r="J78" s="86"/>
    </row>
    <row r="79">
      <c r="J79" s="86"/>
    </row>
    <row r="80">
      <c r="J80" s="86"/>
    </row>
    <row r="81">
      <c r="J81" s="86"/>
    </row>
    <row r="82">
      <c r="J82" s="86"/>
    </row>
    <row r="83">
      <c r="J83" s="86"/>
    </row>
    <row r="84">
      <c r="J84" s="86"/>
    </row>
    <row r="85">
      <c r="J85" s="86"/>
    </row>
    <row r="86">
      <c r="J86" s="86"/>
    </row>
    <row r="87">
      <c r="J87" s="86"/>
    </row>
    <row r="88">
      <c r="J88" s="86"/>
    </row>
    <row r="89">
      <c r="J89" s="86"/>
    </row>
    <row r="90">
      <c r="J90" s="86"/>
    </row>
    <row r="91">
      <c r="J91" s="86"/>
    </row>
    <row r="92">
      <c r="J92" s="86"/>
    </row>
  </sheetData>
  <mergeCells count="3">
    <mergeCell ref="B1:C1"/>
    <mergeCell ref="H2:H3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2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/>
  </sheetViews>
  <sheetFormatPr customHeight="1" defaultColWidth="12.63" defaultRowHeight="15.75" outlineLevelCol="1"/>
  <cols>
    <col customWidth="1" min="1" max="1" width="8.0"/>
    <col customWidth="1" min="2" max="2" width="7.25"/>
    <col customWidth="1" min="5" max="5" width="17.75"/>
    <col customWidth="1" min="6" max="6" width="14.63"/>
    <col customWidth="1" min="7" max="7" width="42.38"/>
    <col customWidth="1" min="8" max="8" width="15.38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51</v>
      </c>
      <c r="D1" s="37" t="s">
        <v>52</v>
      </c>
      <c r="E1" s="2" t="s">
        <v>79</v>
      </c>
      <c r="F1" s="24" t="s">
        <v>106</v>
      </c>
      <c r="G1" s="69" t="s">
        <v>1433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75">
        <v>44281.70668333334</v>
      </c>
    </row>
    <row r="2">
      <c r="A2" s="2"/>
      <c r="B2" s="2"/>
      <c r="C2" s="2"/>
      <c r="D2" s="2"/>
      <c r="E2" s="2" t="s">
        <v>82</v>
      </c>
      <c r="F2" s="2"/>
      <c r="G2" s="4" t="s">
        <v>1434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97" t="s">
        <v>769</v>
      </c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57.6495144761014</v>
      </c>
      <c r="D8" s="43">
        <v>11.9081954160963</v>
      </c>
      <c r="E8" s="43" t="s">
        <v>98</v>
      </c>
      <c r="F8" s="44" t="s">
        <v>319</v>
      </c>
      <c r="G8" s="45" t="s">
        <v>1435</v>
      </c>
      <c r="H8" s="46"/>
      <c r="I8" s="11" t="b">
        <v>1</v>
      </c>
      <c r="J8" s="47" t="str">
        <f t="shared" ref="J8:J15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12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IFERROR(__xludf.DUMMYFUNCTION("""COMPUTED_VALUE"""),3272.0)</f>
        <v>3272</v>
      </c>
      <c r="S8" s="51">
        <v>44110.61163943287</v>
      </c>
    </row>
    <row r="9">
      <c r="A9" s="43">
        <v>1.0</v>
      </c>
      <c r="B9" s="43">
        <v>4.0</v>
      </c>
      <c r="C9" s="43">
        <v>57.6495144758168</v>
      </c>
      <c r="D9" s="43">
        <v>11.9084640224667</v>
      </c>
      <c r="E9" s="43" t="s">
        <v>98</v>
      </c>
      <c r="F9" s="44" t="s">
        <v>101</v>
      </c>
      <c r="G9" s="45" t="s">
        <v>1436</v>
      </c>
      <c r="H9" s="46"/>
      <c r="I9" s="11" t="b">
        <v>1</v>
      </c>
      <c r="J9" s="47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IFERROR(__xludf.DUMMYFUNCTION("""COMPUTED_VALUE"""),4638.0)</f>
        <v>4638</v>
      </c>
      <c r="S9" s="51">
        <v>44110.61167103009</v>
      </c>
    </row>
    <row r="10">
      <c r="A10" s="43">
        <v>1.0</v>
      </c>
      <c r="B10" s="43">
        <v>5.0</v>
      </c>
      <c r="C10" s="43">
        <v>57.6495144755322</v>
      </c>
      <c r="D10" s="43">
        <v>11.9087326288372</v>
      </c>
      <c r="E10" s="43" t="s">
        <v>103</v>
      </c>
      <c r="F10" s="44" t="s">
        <v>1119</v>
      </c>
      <c r="G10" s="45" t="s">
        <v>1437</v>
      </c>
      <c r="H10" s="44"/>
      <c r="I10" s="11" t="b">
        <v>1</v>
      </c>
      <c r="J10" s="47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IFERROR(__xludf.DUMMYFUNCTION("""COMPUTED_VALUE"""),3057.0)</f>
        <v>3057</v>
      </c>
      <c r="S10" s="51">
        <v>44200.89639862269</v>
      </c>
    </row>
    <row r="11">
      <c r="A11" s="43">
        <v>1.0</v>
      </c>
      <c r="B11" s="43">
        <v>6.0</v>
      </c>
      <c r="C11" s="43">
        <v>57.6495144752476</v>
      </c>
      <c r="D11" s="43">
        <v>11.9090012352077</v>
      </c>
      <c r="E11" s="43" t="s">
        <v>103</v>
      </c>
      <c r="F11" s="44" t="s">
        <v>106</v>
      </c>
      <c r="G11" s="45" t="s">
        <v>1438</v>
      </c>
      <c r="H11" s="46"/>
      <c r="I11" s="11" t="b">
        <v>1</v>
      </c>
      <c r="J11" s="47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IFERROR(__xludf.DUMMYFUNCTION("""COMPUTED_VALUE"""),3334.0)</f>
        <v>3334</v>
      </c>
      <c r="S11" s="51">
        <v>44110.61175793981</v>
      </c>
    </row>
    <row r="12">
      <c r="A12" s="43">
        <v>2.0</v>
      </c>
      <c r="B12" s="43">
        <v>2.0</v>
      </c>
      <c r="C12" s="43">
        <v>57.6493707459406</v>
      </c>
      <c r="D12" s="43">
        <v>11.9079267810041</v>
      </c>
      <c r="E12" s="43" t="s">
        <v>98</v>
      </c>
      <c r="F12" s="44" t="s">
        <v>112</v>
      </c>
      <c r="G12" s="52" t="s">
        <v>1439</v>
      </c>
      <c r="H12" s="44"/>
      <c r="I12" s="11" t="b">
        <v>1</v>
      </c>
      <c r="J12" s="47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IFERROR(__xludf.DUMMYFUNCTION("""COMPUTED_VALUE"""),"ArtofEco")</f>
        <v>ArtofEco</v>
      </c>
      <c r="R12" s="49">
        <f>IFERROR(__xludf.DUMMYFUNCTION("""COMPUTED_VALUE"""),3060.0)</f>
        <v>3060</v>
      </c>
      <c r="S12" s="49"/>
    </row>
    <row r="13">
      <c r="A13" s="43">
        <v>2.0</v>
      </c>
      <c r="B13" s="43">
        <v>3.0</v>
      </c>
      <c r="C13" s="43">
        <v>57.649370745656</v>
      </c>
      <c r="D13" s="43">
        <v>11.9081953863108</v>
      </c>
      <c r="E13" s="43" t="s">
        <v>98</v>
      </c>
      <c r="F13" s="11" t="s">
        <v>110</v>
      </c>
      <c r="G13" s="54" t="s">
        <v>1440</v>
      </c>
      <c r="H13" s="46"/>
      <c r="I13" s="11" t="b">
        <v>1</v>
      </c>
      <c r="J13" s="47" t="str">
        <f t="shared" si="1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>if(I13=TRUE,2,IF(ISTEXT(#REF!),1,0))</f>
        <v>2</v>
      </c>
      <c r="N13" s="49" t="str">
        <f>IFERROR(__xludf.DUMMYFUNCTION("split(#REF!,""/"")"),"#REF!")</f>
        <v>#REF!</v>
      </c>
      <c r="O13" s="50"/>
      <c r="P13" s="49"/>
      <c r="Q13" s="49"/>
      <c r="R13" s="49"/>
      <c r="S13" s="49"/>
    </row>
    <row r="14">
      <c r="A14" s="43">
        <v>2.0</v>
      </c>
      <c r="B14" s="43">
        <v>4.0</v>
      </c>
      <c r="C14" s="43">
        <v>57.6493707453714</v>
      </c>
      <c r="D14" s="43">
        <v>11.9084639916175</v>
      </c>
      <c r="E14" s="43" t="s">
        <v>98</v>
      </c>
      <c r="F14" s="44" t="s">
        <v>950</v>
      </c>
      <c r="G14" s="45" t="s">
        <v>1441</v>
      </c>
      <c r="H14" s="44"/>
      <c r="I14" s="11" t="b">
        <v>1</v>
      </c>
      <c r="J14" s="47" t="str">
        <f t="shared" si="1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ref="M14:M20" si="3">if(I14=TRUE,2,IF(ISTEXT(G14),1,0))</f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IFERROR(__xludf.DUMMYFUNCTION("""COMPUTED_VALUE"""),"babyw")</f>
        <v>babyw</v>
      </c>
      <c r="R14" s="49">
        <f>IFERROR(__xludf.DUMMYFUNCTION("""COMPUTED_VALUE"""),3255.0)</f>
        <v>3255</v>
      </c>
      <c r="S14" s="49"/>
    </row>
    <row r="15">
      <c r="A15" s="43">
        <v>2.0</v>
      </c>
      <c r="B15" s="43">
        <v>5.0</v>
      </c>
      <c r="C15" s="43">
        <v>57.6493707450868</v>
      </c>
      <c r="D15" s="43">
        <v>11.9087325969242</v>
      </c>
      <c r="E15" s="43" t="s">
        <v>103</v>
      </c>
      <c r="F15" s="44" t="s">
        <v>207</v>
      </c>
      <c r="G15" s="45" t="s">
        <v>1442</v>
      </c>
      <c r="H15" s="44"/>
      <c r="I15" s="11" t="b">
        <v>1</v>
      </c>
      <c r="J15" s="47" t="str">
        <f t="shared" si="1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3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IFERROR(__xludf.DUMMYFUNCTION("""COMPUTED_VALUE"""),"5Star")</f>
        <v>5Star</v>
      </c>
      <c r="R15" s="49">
        <f>IFERROR(__xludf.DUMMYFUNCTION("""COMPUTED_VALUE"""),5979.0)</f>
        <v>5979</v>
      </c>
      <c r="S15" s="51">
        <v>44110.6122684838</v>
      </c>
    </row>
    <row r="16">
      <c r="A16" s="43">
        <v>2.0</v>
      </c>
      <c r="B16" s="43">
        <v>6.0</v>
      </c>
      <c r="C16" s="43">
        <v>57.6493707448022</v>
      </c>
      <c r="D16" s="43">
        <v>11.9090012022309</v>
      </c>
      <c r="E16" s="43" t="s">
        <v>98</v>
      </c>
      <c r="F16" s="44" t="s">
        <v>141</v>
      </c>
      <c r="G16" s="52" t="s">
        <v>1443</v>
      </c>
      <c r="H16" s="44"/>
      <c r="I16" s="11" t="b">
        <v>1</v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3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IFERROR(__xludf.DUMMYFUNCTION("""COMPUTED_VALUE"""),"cbf600")</f>
        <v>cbf600</v>
      </c>
      <c r="R16" s="49">
        <f>IFERROR(__xludf.DUMMYFUNCTION("""COMPUTED_VALUE"""),2867.0)</f>
        <v>2867</v>
      </c>
      <c r="S16" s="51">
        <v>44258.63704695602</v>
      </c>
    </row>
    <row r="17">
      <c r="A17" s="43">
        <v>2.0</v>
      </c>
      <c r="B17" s="43">
        <v>7.0</v>
      </c>
      <c r="C17" s="43">
        <v>57.6493707445176</v>
      </c>
      <c r="D17" s="43">
        <v>11.9092698075376</v>
      </c>
      <c r="E17" s="43" t="s">
        <v>98</v>
      </c>
      <c r="F17" s="44" t="s">
        <v>116</v>
      </c>
      <c r="G17" s="45" t="s">
        <v>1444</v>
      </c>
      <c r="H17" s="46"/>
      <c r="I17" s="11" t="b">
        <v>1</v>
      </c>
      <c r="J17" s="47" t="str">
        <f t="shared" ref="J17:J28" si="4">if(I17=true,"",S17)</f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3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IFERROR(__xludf.DUMMYFUNCTION("""COMPUTED_VALUE"""),"fsafranek")</f>
        <v>fsafranek</v>
      </c>
      <c r="R17" s="49">
        <f>IFERROR(__xludf.DUMMYFUNCTION("""COMPUTED_VALUE"""),4674.0)</f>
        <v>4674</v>
      </c>
      <c r="S17" s="49"/>
    </row>
    <row r="18">
      <c r="A18" s="43">
        <v>3.0</v>
      </c>
      <c r="B18" s="43">
        <v>1.0</v>
      </c>
      <c r="C18" s="43">
        <v>57.6492270157798</v>
      </c>
      <c r="D18" s="43">
        <v>11.9076581480378</v>
      </c>
      <c r="E18" s="43" t="s">
        <v>98</v>
      </c>
      <c r="F18" s="44" t="s">
        <v>136</v>
      </c>
      <c r="G18" s="45" t="s">
        <v>1445</v>
      </c>
      <c r="H18" s="46"/>
      <c r="I18" s="11" t="b">
        <v>1</v>
      </c>
      <c r="J18" s="47" t="str">
        <f t="shared" si="4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3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IFERROR(__xludf.DUMMYFUNCTION("""COMPUTED_VALUE"""),"OdinsFiRe")</f>
        <v>OdinsFiRe</v>
      </c>
      <c r="R18" s="49">
        <f>IFERROR(__xludf.DUMMYFUNCTION("""COMPUTED_VALUE"""),1811.0)</f>
        <v>1811</v>
      </c>
      <c r="S18" s="49"/>
    </row>
    <row r="19">
      <c r="A19" s="43">
        <v>3.0</v>
      </c>
      <c r="B19" s="43">
        <v>2.0</v>
      </c>
      <c r="C19" s="43">
        <v>57.6492270154952</v>
      </c>
      <c r="D19" s="43">
        <v>11.9079267522806</v>
      </c>
      <c r="E19" s="43" t="s">
        <v>98</v>
      </c>
      <c r="F19" s="44" t="s">
        <v>120</v>
      </c>
      <c r="G19" s="45" t="s">
        <v>1446</v>
      </c>
      <c r="H19" s="46"/>
      <c r="I19" s="11" t="b">
        <v>1</v>
      </c>
      <c r="J19" s="47" t="str">
        <f t="shared" si="4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3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IFERROR(__xludf.DUMMYFUNCTION("""COMPUTED_VALUE"""),"xrayneex")</f>
        <v>xrayneex</v>
      </c>
      <c r="R19" s="49">
        <f>IFERROR(__xludf.DUMMYFUNCTION("""COMPUTED_VALUE"""),1552.0)</f>
        <v>1552</v>
      </c>
      <c r="S19" s="49"/>
    </row>
    <row r="20">
      <c r="A20" s="43">
        <v>3.0</v>
      </c>
      <c r="B20" s="43">
        <v>3.0</v>
      </c>
      <c r="C20" s="43">
        <v>57.6492270152106</v>
      </c>
      <c r="D20" s="43">
        <v>11.9081953565234</v>
      </c>
      <c r="E20" s="43" t="s">
        <v>98</v>
      </c>
      <c r="F20" s="44" t="s">
        <v>243</v>
      </c>
      <c r="G20" s="45" t="s">
        <v>1447</v>
      </c>
      <c r="H20" s="46"/>
      <c r="I20" s="11" t="b">
        <v>1</v>
      </c>
      <c r="J20" s="47" t="str">
        <f t="shared" si="4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3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IFERROR(__xludf.DUMMYFUNCTION("""COMPUTED_VALUE"""),"Aniara")</f>
        <v>Aniara</v>
      </c>
      <c r="R20" s="49">
        <f>IFERROR(__xludf.DUMMYFUNCTION("""COMPUTED_VALUE"""),6952.0)</f>
        <v>6952</v>
      </c>
      <c r="S20" s="49"/>
    </row>
    <row r="21">
      <c r="A21" s="43">
        <v>3.0</v>
      </c>
      <c r="B21" s="43">
        <v>4.0</v>
      </c>
      <c r="C21" s="43">
        <v>57.649227014926</v>
      </c>
      <c r="D21" s="43">
        <v>11.9084639607663</v>
      </c>
      <c r="E21" s="43" t="s">
        <v>98</v>
      </c>
      <c r="F21" s="44" t="s">
        <v>122</v>
      </c>
      <c r="G21" s="45" t="s">
        <v>1448</v>
      </c>
      <c r="H21" s="46"/>
      <c r="I21" s="11" t="b">
        <v>1</v>
      </c>
      <c r="J21" s="47" t="str">
        <f t="shared" si="4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ref="M21:M23" si="5">if(I22=TRUE,2,IF(ISTEXT(G21),1,0))</f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IFERROR(__xludf.DUMMYFUNCTION("""COMPUTED_VALUE"""),"Drazoria")</f>
        <v>Drazoria</v>
      </c>
      <c r="R21" s="49">
        <f>IFERROR(__xludf.DUMMYFUNCTION("""COMPUTED_VALUE"""),848.0)</f>
        <v>848</v>
      </c>
      <c r="S21" s="51">
        <v>44115.528158298606</v>
      </c>
    </row>
    <row r="22">
      <c r="A22" s="43">
        <v>3.0</v>
      </c>
      <c r="B22" s="43">
        <v>5.0</v>
      </c>
      <c r="C22" s="43">
        <v>57.6492270146413</v>
      </c>
      <c r="D22" s="43">
        <v>11.9087325650091</v>
      </c>
      <c r="E22" s="43" t="s">
        <v>98</v>
      </c>
      <c r="F22" s="44" t="s">
        <v>124</v>
      </c>
      <c r="G22" s="52" t="s">
        <v>1449</v>
      </c>
      <c r="H22" s="46"/>
      <c r="I22" s="11" t="b">
        <v>1</v>
      </c>
      <c r="J22" s="47" t="str">
        <f t="shared" si="4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5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IFERROR(__xludf.DUMMYFUNCTION("""COMPUTED_VALUE"""),"Tinake1309")</f>
        <v>Tinake1309</v>
      </c>
      <c r="R22" s="49">
        <f>IFERROR(__xludf.DUMMYFUNCTION("""COMPUTED_VALUE"""),851.0)</f>
        <v>851</v>
      </c>
      <c r="S22" s="51">
        <v>44115.52820223379</v>
      </c>
    </row>
    <row r="23">
      <c r="A23" s="43">
        <v>3.0</v>
      </c>
      <c r="B23" s="43">
        <v>6.0</v>
      </c>
      <c r="C23" s="43">
        <v>57.6492270143567</v>
      </c>
      <c r="D23" s="43">
        <v>11.9090011692519</v>
      </c>
      <c r="E23" s="43" t="s">
        <v>98</v>
      </c>
      <c r="F23" s="44" t="s">
        <v>126</v>
      </c>
      <c r="G23" s="45" t="s">
        <v>1450</v>
      </c>
      <c r="H23" s="46"/>
      <c r="I23" s="11" t="b">
        <v>1</v>
      </c>
      <c r="J23" s="47" t="str">
        <f t="shared" si="4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5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IFERROR(__xludf.DUMMYFUNCTION("""COMPUTED_VALUE"""),"Berg14")</f>
        <v>Berg14</v>
      </c>
      <c r="R23" s="49">
        <f>IFERROR(__xludf.DUMMYFUNCTION("""COMPUTED_VALUE"""),654.0)</f>
        <v>654</v>
      </c>
      <c r="S23" s="51">
        <v>44115.52826850694</v>
      </c>
    </row>
    <row r="24">
      <c r="A24" s="43">
        <v>3.0</v>
      </c>
      <c r="B24" s="43">
        <v>7.0</v>
      </c>
      <c r="C24" s="43">
        <v>57.6492270140721</v>
      </c>
      <c r="D24" s="43">
        <v>11.9092697734947</v>
      </c>
      <c r="E24" s="43" t="s">
        <v>98</v>
      </c>
      <c r="F24" s="44" t="s">
        <v>128</v>
      </c>
      <c r="G24" s="45" t="s">
        <v>1451</v>
      </c>
      <c r="H24" s="46"/>
      <c r="I24" s="11" t="b">
        <v>1</v>
      </c>
      <c r="J24" s="47" t="str">
        <f t="shared" si="4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ref="M24:M59" si="6">if(I24=TRUE,2,IF(ISTEXT(G24),1,0))</f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IFERROR(__xludf.DUMMYFUNCTION("""COMPUTED_VALUE"""),"Niks13")</f>
        <v>Niks13</v>
      </c>
      <c r="R24" s="49">
        <f>IFERROR(__xludf.DUMMYFUNCTION("""COMPUTED_VALUE"""),636.0)</f>
        <v>636</v>
      </c>
      <c r="S24" s="51">
        <v>44115.52841788194</v>
      </c>
    </row>
    <row r="25">
      <c r="A25" s="43">
        <v>3.0</v>
      </c>
      <c r="B25" s="43">
        <v>8.0</v>
      </c>
      <c r="C25" s="43">
        <v>57.6492270137875</v>
      </c>
      <c r="D25" s="43">
        <v>11.9095383777375</v>
      </c>
      <c r="E25" s="43" t="s">
        <v>98</v>
      </c>
      <c r="F25" s="44" t="s">
        <v>188</v>
      </c>
      <c r="G25" s="45" t="s">
        <v>1452</v>
      </c>
      <c r="H25" s="46"/>
      <c r="I25" s="11" t="b">
        <v>1</v>
      </c>
      <c r="J25" s="47" t="str">
        <f t="shared" si="4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6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IFERROR(__xludf.DUMMYFUNCTION("""COMPUTED_VALUE"""),"Anetzet")</f>
        <v>Anetzet</v>
      </c>
      <c r="R25" s="49">
        <f>IFERROR(__xludf.DUMMYFUNCTION("""COMPUTED_VALUE"""),3159.0)</f>
        <v>3159</v>
      </c>
      <c r="S25" s="49"/>
    </row>
    <row r="26">
      <c r="A26" s="43">
        <v>4.0</v>
      </c>
      <c r="B26" s="43">
        <v>1.0</v>
      </c>
      <c r="C26" s="43">
        <v>57.6490832853344</v>
      </c>
      <c r="D26" s="43">
        <v>11.9076581203811</v>
      </c>
      <c r="E26" s="43" t="s">
        <v>98</v>
      </c>
      <c r="F26" s="44" t="s">
        <v>157</v>
      </c>
      <c r="G26" s="45" t="s">
        <v>1453</v>
      </c>
      <c r="H26" s="46"/>
      <c r="I26" s="11" t="b">
        <v>1</v>
      </c>
      <c r="J26" s="47" t="str">
        <f t="shared" si="4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6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IFERROR(__xludf.DUMMYFUNCTION("""COMPUTED_VALUE"""),"barefootguru")</f>
        <v>barefootguru</v>
      </c>
      <c r="R26" s="49">
        <f>IFERROR(__xludf.DUMMYFUNCTION("""COMPUTED_VALUE"""),3197.0)</f>
        <v>3197</v>
      </c>
      <c r="S26" s="49"/>
    </row>
    <row r="27">
      <c r="A27" s="43">
        <v>4.0</v>
      </c>
      <c r="B27" s="43">
        <v>2.0</v>
      </c>
      <c r="C27" s="43">
        <v>57.6490832850498</v>
      </c>
      <c r="D27" s="43">
        <v>11.9079267235601</v>
      </c>
      <c r="E27" s="43" t="s">
        <v>103</v>
      </c>
      <c r="F27" s="44" t="s">
        <v>190</v>
      </c>
      <c r="G27" s="52" t="s">
        <v>1454</v>
      </c>
      <c r="H27" s="46"/>
      <c r="I27" s="11" t="b">
        <v>1</v>
      </c>
      <c r="J27" s="47" t="str">
        <f t="shared" si="4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6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IFERROR(__xludf.DUMMYFUNCTION("""COMPUTED_VALUE"""),"GroteSufferd")</f>
        <v>GroteSufferd</v>
      </c>
      <c r="R27" s="49">
        <f>IFERROR(__xludf.DUMMYFUNCTION("""COMPUTED_VALUE"""),441.0)</f>
        <v>441</v>
      </c>
      <c r="S27" s="49"/>
    </row>
    <row r="28">
      <c r="A28" s="43">
        <v>4.0</v>
      </c>
      <c r="B28" s="43">
        <v>3.0</v>
      </c>
      <c r="C28" s="43">
        <v>57.6490832847652</v>
      </c>
      <c r="D28" s="43">
        <v>11.9081953267392</v>
      </c>
      <c r="E28" s="43" t="s">
        <v>98</v>
      </c>
      <c r="F28" s="104" t="s">
        <v>114</v>
      </c>
      <c r="G28" s="52" t="s">
        <v>1455</v>
      </c>
      <c r="H28" s="44"/>
      <c r="I28" s="11" t="b">
        <v>1</v>
      </c>
      <c r="J28" s="47" t="str">
        <f t="shared" si="4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6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IFERROR(__xludf.DUMMYFUNCTION("""COMPUTED_VALUE"""),"J1Huisman")</f>
        <v>J1Huisman</v>
      </c>
      <c r="R28" s="49">
        <f>IFERROR(__xludf.DUMMYFUNCTION("""COMPUTED_VALUE"""),11792.0)</f>
        <v>11792</v>
      </c>
      <c r="S28" s="49"/>
    </row>
    <row r="29">
      <c r="A29" s="43">
        <v>4.0</v>
      </c>
      <c r="B29" s="43">
        <v>4.0</v>
      </c>
      <c r="C29" s="43">
        <v>57.6490832844806</v>
      </c>
      <c r="D29" s="43">
        <v>11.9084639299182</v>
      </c>
      <c r="E29" s="43" t="s">
        <v>98</v>
      </c>
      <c r="F29" s="44" t="s">
        <v>217</v>
      </c>
      <c r="G29" s="52" t="s">
        <v>1456</v>
      </c>
      <c r="H29" s="46"/>
      <c r="I29" s="11" t="b">
        <v>1</v>
      </c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6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IFERROR(__xludf.DUMMYFUNCTION("""COMPUTED_VALUE"""),"EmileP68")</f>
        <v>EmileP68</v>
      </c>
      <c r="R29" s="49">
        <f>IFERROR(__xludf.DUMMYFUNCTION("""COMPUTED_VALUE"""),4051.0)</f>
        <v>4051</v>
      </c>
      <c r="S29" s="51">
        <v>44294.87776861111</v>
      </c>
    </row>
    <row r="30">
      <c r="A30" s="43">
        <v>4.0</v>
      </c>
      <c r="B30" s="43">
        <v>5.0</v>
      </c>
      <c r="C30" s="43">
        <v>57.6490832841959</v>
      </c>
      <c r="D30" s="43">
        <v>11.9087325330973</v>
      </c>
      <c r="E30" s="43" t="s">
        <v>98</v>
      </c>
      <c r="F30" s="44" t="s">
        <v>112</v>
      </c>
      <c r="G30" s="52" t="s">
        <v>1457</v>
      </c>
      <c r="H30" s="46"/>
      <c r="I30" s="11" t="b">
        <v>1</v>
      </c>
      <c r="J30" s="47" t="str">
        <f t="shared" ref="J30:J50" si="7">if(I30=true,"",S30)</f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6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IFERROR(__xludf.DUMMYFUNCTION("""COMPUTED_VALUE"""),"ArtofEco")</f>
        <v>ArtofEco</v>
      </c>
      <c r="R30" s="49">
        <f>IFERROR(__xludf.DUMMYFUNCTION("""COMPUTED_VALUE"""),3061.0)</f>
        <v>3061</v>
      </c>
      <c r="S30" s="49"/>
    </row>
    <row r="31">
      <c r="A31" s="43">
        <v>4.0</v>
      </c>
      <c r="B31" s="43">
        <v>6.0</v>
      </c>
      <c r="C31" s="43">
        <v>57.6490832839113</v>
      </c>
      <c r="D31" s="43">
        <v>11.9090011362764</v>
      </c>
      <c r="E31" s="43" t="s">
        <v>103</v>
      </c>
      <c r="F31" s="44" t="s">
        <v>243</v>
      </c>
      <c r="G31" s="52" t="s">
        <v>1458</v>
      </c>
      <c r="H31" s="46"/>
      <c r="I31" s="11" t="b">
        <v>1</v>
      </c>
      <c r="J31" s="47" t="str">
        <f t="shared" si="7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6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IFERROR(__xludf.DUMMYFUNCTION("""COMPUTED_VALUE"""),"Aniara")</f>
        <v>Aniara</v>
      </c>
      <c r="R31" s="49">
        <f>IFERROR(__xludf.DUMMYFUNCTION("""COMPUTED_VALUE"""),6951.0)</f>
        <v>6951</v>
      </c>
      <c r="S31" s="49"/>
    </row>
    <row r="32">
      <c r="A32" s="43">
        <v>4.0</v>
      </c>
      <c r="B32" s="43">
        <v>7.0</v>
      </c>
      <c r="C32" s="43">
        <v>57.6490832836267</v>
      </c>
      <c r="D32" s="43">
        <v>11.9092697394554</v>
      </c>
      <c r="E32" s="43" t="s">
        <v>98</v>
      </c>
      <c r="F32" s="44" t="s">
        <v>110</v>
      </c>
      <c r="G32" s="52" t="s">
        <v>1459</v>
      </c>
      <c r="H32" s="46"/>
      <c r="I32" s="11" t="b">
        <v>1</v>
      </c>
      <c r="J32" s="47" t="str">
        <f t="shared" si="7"/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6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IFERROR(__xludf.DUMMYFUNCTION("""COMPUTED_VALUE"""),"BrotherWilliam")</f>
        <v>BrotherWilliam</v>
      </c>
      <c r="R32" s="49">
        <f>IFERROR(__xludf.DUMMYFUNCTION("""COMPUTED_VALUE"""),4236.0)</f>
        <v>4236</v>
      </c>
      <c r="S32" s="49"/>
    </row>
    <row r="33">
      <c r="A33" s="43">
        <v>4.0</v>
      </c>
      <c r="B33" s="43">
        <v>8.0</v>
      </c>
      <c r="C33" s="43">
        <v>57.6490832833421</v>
      </c>
      <c r="D33" s="43">
        <v>11.9095383426345</v>
      </c>
      <c r="E33" s="43" t="s">
        <v>98</v>
      </c>
      <c r="F33" s="44" t="s">
        <v>80</v>
      </c>
      <c r="G33" s="45" t="s">
        <v>1460</v>
      </c>
      <c r="H33" s="46"/>
      <c r="I33" s="11" t="b">
        <v>1</v>
      </c>
      <c r="J33" s="47" t="str">
        <f t="shared" si="7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6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IFERROR(__xludf.DUMMYFUNCTION("""COMPUTED_VALUE"""),"Derlame")</f>
        <v>Derlame</v>
      </c>
      <c r="R33" s="49">
        <f>IFERROR(__xludf.DUMMYFUNCTION("""COMPUTED_VALUE"""),13443.0)</f>
        <v>13443</v>
      </c>
      <c r="S33" s="49"/>
    </row>
    <row r="34">
      <c r="A34" s="43">
        <v>5.0</v>
      </c>
      <c r="B34" s="43">
        <v>1.0</v>
      </c>
      <c r="C34" s="43">
        <v>57.6489395548889</v>
      </c>
      <c r="D34" s="43">
        <v>11.9076580927219</v>
      </c>
      <c r="E34" s="43" t="s">
        <v>103</v>
      </c>
      <c r="F34" s="44" t="s">
        <v>1461</v>
      </c>
      <c r="G34" s="45" t="s">
        <v>1462</v>
      </c>
      <c r="H34" s="46"/>
      <c r="I34" s="11" t="b">
        <v>1</v>
      </c>
      <c r="J34" s="47" t="str">
        <f t="shared" si="7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6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IFERROR(__xludf.DUMMYFUNCTION("""COMPUTED_VALUE"""),"GeodudeDK")</f>
        <v>GeodudeDK</v>
      </c>
      <c r="R34" s="49">
        <f>IFERROR(__xludf.DUMMYFUNCTION("""COMPUTED_VALUE"""),3403.0)</f>
        <v>3403</v>
      </c>
      <c r="S34" s="49"/>
    </row>
    <row r="35">
      <c r="A35" s="43">
        <v>5.0</v>
      </c>
      <c r="B35" s="43">
        <v>2.0</v>
      </c>
      <c r="C35" s="43">
        <v>57.6489395546043</v>
      </c>
      <c r="D35" s="43">
        <v>11.9079266948372</v>
      </c>
      <c r="E35" s="43" t="s">
        <v>98</v>
      </c>
      <c r="F35" s="44" t="s">
        <v>141</v>
      </c>
      <c r="G35" s="45" t="s">
        <v>1463</v>
      </c>
      <c r="H35" s="46"/>
      <c r="I35" s="11" t="b">
        <v>1</v>
      </c>
      <c r="J35" s="47" t="str">
        <f t="shared" si="7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6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IFERROR(__xludf.DUMMYFUNCTION("""COMPUTED_VALUE"""),2539.0)</f>
        <v>2539</v>
      </c>
      <c r="S35" s="49"/>
    </row>
    <row r="36">
      <c r="A36" s="43">
        <v>5.0</v>
      </c>
      <c r="B36" s="43">
        <v>3.0</v>
      </c>
      <c r="C36" s="43">
        <v>57.6489395543197</v>
      </c>
      <c r="D36" s="43">
        <v>11.9081952969525</v>
      </c>
      <c r="E36" s="43" t="s">
        <v>103</v>
      </c>
      <c r="F36" s="44" t="s">
        <v>178</v>
      </c>
      <c r="G36" s="45" t="s">
        <v>1464</v>
      </c>
      <c r="H36" s="46"/>
      <c r="I36" s="11" t="b">
        <v>1</v>
      </c>
      <c r="J36" s="47" t="str">
        <f t="shared" si="7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6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IFERROR(__xludf.DUMMYFUNCTION("""COMPUTED_VALUE"""),"lison55")</f>
        <v>lison55</v>
      </c>
      <c r="R36" s="49">
        <f>IFERROR(__xludf.DUMMYFUNCTION("""COMPUTED_VALUE"""),5523.0)</f>
        <v>5523</v>
      </c>
      <c r="S36" s="49"/>
    </row>
    <row r="37">
      <c r="A37" s="43">
        <v>5.0</v>
      </c>
      <c r="B37" s="43">
        <v>4.0</v>
      </c>
      <c r="C37" s="43">
        <v>57.6489395540351</v>
      </c>
      <c r="D37" s="43">
        <v>11.9084638990677</v>
      </c>
      <c r="E37" s="43" t="s">
        <v>98</v>
      </c>
      <c r="F37" s="44" t="s">
        <v>149</v>
      </c>
      <c r="G37" s="45" t="s">
        <v>1465</v>
      </c>
      <c r="H37" s="46"/>
      <c r="I37" s="11" t="b">
        <v>1</v>
      </c>
      <c r="J37" s="47" t="str">
        <f t="shared" si="7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6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IFERROR(__xludf.DUMMYFUNCTION("""COMPUTED_VALUE"""),"Bisquick2")</f>
        <v>Bisquick2</v>
      </c>
      <c r="R37" s="49">
        <f>IFERROR(__xludf.DUMMYFUNCTION("""COMPUTED_VALUE"""),4560.0)</f>
        <v>4560</v>
      </c>
      <c r="S37" s="49"/>
    </row>
    <row r="38">
      <c r="A38" s="43">
        <v>5.0</v>
      </c>
      <c r="B38" s="43">
        <v>5.0</v>
      </c>
      <c r="C38" s="43">
        <v>57.6489395537505</v>
      </c>
      <c r="D38" s="43">
        <v>11.908732501183</v>
      </c>
      <c r="E38" s="43" t="s">
        <v>98</v>
      </c>
      <c r="F38" s="44" t="s">
        <v>1461</v>
      </c>
      <c r="G38" s="45" t="s">
        <v>1466</v>
      </c>
      <c r="H38" s="46"/>
      <c r="I38" s="11" t="b">
        <v>1</v>
      </c>
      <c r="J38" s="47" t="str">
        <f t="shared" si="7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6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IFERROR(__xludf.DUMMYFUNCTION("""COMPUTED_VALUE"""),"GeodudeDK")</f>
        <v>GeodudeDK</v>
      </c>
      <c r="R38" s="49">
        <f>IFERROR(__xludf.DUMMYFUNCTION("""COMPUTED_VALUE"""),3404.0)</f>
        <v>3404</v>
      </c>
      <c r="S38" s="49"/>
    </row>
    <row r="39">
      <c r="A39" s="43">
        <v>5.0</v>
      </c>
      <c r="B39" s="43">
        <v>6.0</v>
      </c>
      <c r="C39" s="43">
        <v>57.6489395534659</v>
      </c>
      <c r="D39" s="43">
        <v>11.9090011032983</v>
      </c>
      <c r="E39" s="43" t="s">
        <v>98</v>
      </c>
      <c r="F39" s="61" t="s">
        <v>169</v>
      </c>
      <c r="G39" s="52" t="s">
        <v>1467</v>
      </c>
      <c r="H39" s="46"/>
      <c r="I39" s="11" t="b">
        <v>1</v>
      </c>
      <c r="J39" s="47" t="str">
        <f t="shared" si="7"/>
        <v/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6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IFERROR(__xludf.DUMMYFUNCTION("""COMPUTED_VALUE"""),"Pinkeltje")</f>
        <v>Pinkeltje</v>
      </c>
      <c r="R39" s="49">
        <f>IFERROR(__xludf.DUMMYFUNCTION("""COMPUTED_VALUE"""),1537.0)</f>
        <v>1537</v>
      </c>
      <c r="S39" s="49"/>
    </row>
    <row r="40">
      <c r="A40" s="43">
        <v>5.0</v>
      </c>
      <c r="B40" s="43">
        <v>7.0</v>
      </c>
      <c r="C40" s="43">
        <v>57.6489395531812</v>
      </c>
      <c r="D40" s="43">
        <v>11.9092697054136</v>
      </c>
      <c r="E40" s="43" t="s">
        <v>98</v>
      </c>
      <c r="F40" s="44" t="s">
        <v>870</v>
      </c>
      <c r="G40" s="45" t="s">
        <v>1468</v>
      </c>
      <c r="H40" s="46"/>
      <c r="I40" s="11" t="b">
        <v>1</v>
      </c>
      <c r="J40" s="47" t="str">
        <f t="shared" si="7"/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6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IFERROR(__xludf.DUMMYFUNCTION("""COMPUTED_VALUE"""),"amadoreugen")</f>
        <v>amadoreugen</v>
      </c>
      <c r="R40" s="49">
        <f>IFERROR(__xludf.DUMMYFUNCTION("""COMPUTED_VALUE"""),5826.0)</f>
        <v>5826</v>
      </c>
      <c r="S40" s="49"/>
    </row>
    <row r="41">
      <c r="A41" s="43">
        <v>5.0</v>
      </c>
      <c r="B41" s="43">
        <v>8.0</v>
      </c>
      <c r="C41" s="43">
        <v>57.6489395528966</v>
      </c>
      <c r="D41" s="43">
        <v>11.9095383075289</v>
      </c>
      <c r="E41" s="43" t="s">
        <v>98</v>
      </c>
      <c r="F41" s="44" t="s">
        <v>141</v>
      </c>
      <c r="G41" s="52" t="s">
        <v>1469</v>
      </c>
      <c r="H41" s="44"/>
      <c r="I41" s="11" t="b">
        <v>1</v>
      </c>
      <c r="J41" s="47" t="str">
        <f t="shared" si="7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6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IFERROR(__xludf.DUMMYFUNCTION("""COMPUTED_VALUE"""),"cbf600")</f>
        <v>cbf600</v>
      </c>
      <c r="R41" s="49">
        <f>IFERROR(__xludf.DUMMYFUNCTION("""COMPUTED_VALUE"""),2647.0)</f>
        <v>2647</v>
      </c>
      <c r="S41" s="49"/>
    </row>
    <row r="42">
      <c r="A42" s="43">
        <v>6.0</v>
      </c>
      <c r="B42" s="43">
        <v>1.0</v>
      </c>
      <c r="C42" s="43">
        <v>57.6487958244435</v>
      </c>
      <c r="D42" s="43">
        <v>11.9076580650655</v>
      </c>
      <c r="E42" s="43" t="s">
        <v>98</v>
      </c>
      <c r="F42" s="44" t="s">
        <v>116</v>
      </c>
      <c r="G42" s="45" t="s">
        <v>1470</v>
      </c>
      <c r="H42" s="46"/>
      <c r="I42" s="11" t="b">
        <v>1</v>
      </c>
      <c r="J42" s="47" t="str">
        <f t="shared" si="7"/>
        <v/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6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IFERROR(__xludf.DUMMYFUNCTION("""COMPUTED_VALUE"""),"fsafranek")</f>
        <v>fsafranek</v>
      </c>
      <c r="R42" s="49">
        <f>IFERROR(__xludf.DUMMYFUNCTION("""COMPUTED_VALUE"""),4760.0)</f>
        <v>4760</v>
      </c>
      <c r="S42" s="49"/>
    </row>
    <row r="43">
      <c r="A43" s="43">
        <v>6.0</v>
      </c>
      <c r="B43" s="43">
        <v>2.0</v>
      </c>
      <c r="C43" s="43">
        <v>57.6487958241589</v>
      </c>
      <c r="D43" s="43">
        <v>11.9079266661171</v>
      </c>
      <c r="E43" s="43" t="s">
        <v>98</v>
      </c>
      <c r="F43" s="44" t="s">
        <v>140</v>
      </c>
      <c r="G43" s="45" t="s">
        <v>1471</v>
      </c>
      <c r="H43" s="46"/>
      <c r="I43" s="11" t="b">
        <v>1</v>
      </c>
      <c r="J43" s="47" t="str">
        <f t="shared" si="7"/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6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IFERROR(__xludf.DUMMYFUNCTION("""COMPUTED_VALUE"""),"Fossillady")</f>
        <v>Fossillady</v>
      </c>
      <c r="R43" s="49">
        <f>IFERROR(__xludf.DUMMYFUNCTION("""COMPUTED_VALUE"""),3447.0)</f>
        <v>3447</v>
      </c>
      <c r="S43" s="49"/>
    </row>
    <row r="44">
      <c r="A44" s="43">
        <v>6.0</v>
      </c>
      <c r="B44" s="43">
        <v>3.0</v>
      </c>
      <c r="C44" s="43">
        <v>57.6487958238743</v>
      </c>
      <c r="D44" s="43">
        <v>11.9081952671688</v>
      </c>
      <c r="E44" s="43" t="s">
        <v>103</v>
      </c>
      <c r="F44" s="44" t="s">
        <v>629</v>
      </c>
      <c r="G44" s="52" t="s">
        <v>1472</v>
      </c>
      <c r="H44" s="46"/>
      <c r="I44" s="11" t="b">
        <v>1</v>
      </c>
      <c r="J44" s="47" t="str">
        <f t="shared" si="7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6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IFERROR(__xludf.DUMMYFUNCTION("""COMPUTED_VALUE"""),"IggiePiggie")</f>
        <v>IggiePiggie</v>
      </c>
      <c r="R44" s="49">
        <f>IFERROR(__xludf.DUMMYFUNCTION("""COMPUTED_VALUE"""),2127.0)</f>
        <v>2127</v>
      </c>
      <c r="S44" s="49"/>
    </row>
    <row r="45">
      <c r="A45" s="43">
        <v>6.0</v>
      </c>
      <c r="B45" s="43">
        <v>4.0</v>
      </c>
      <c r="C45" s="43">
        <v>57.6487958235897</v>
      </c>
      <c r="D45" s="43">
        <v>11.9084638682204</v>
      </c>
      <c r="E45" s="43" t="s">
        <v>98</v>
      </c>
      <c r="F45" s="44" t="s">
        <v>110</v>
      </c>
      <c r="G45" s="52" t="s">
        <v>1473</v>
      </c>
      <c r="H45" s="46"/>
      <c r="I45" s="11" t="b">
        <v>1</v>
      </c>
      <c r="J45" s="47" t="str">
        <f t="shared" si="7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6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IFERROR(__xludf.DUMMYFUNCTION("""COMPUTED_VALUE"""),"BrotherWilliam")</f>
        <v>BrotherWilliam</v>
      </c>
      <c r="R45" s="49">
        <f>IFERROR(__xludf.DUMMYFUNCTION("""COMPUTED_VALUE"""),4289.0)</f>
        <v>4289</v>
      </c>
      <c r="S45" s="49"/>
    </row>
    <row r="46">
      <c r="A46" s="43">
        <v>6.0</v>
      </c>
      <c r="B46" s="43">
        <v>5.0</v>
      </c>
      <c r="C46" s="43">
        <v>57.6487958233051</v>
      </c>
      <c r="D46" s="43">
        <v>11.908732469272</v>
      </c>
      <c r="E46" s="43" t="s">
        <v>98</v>
      </c>
      <c r="F46" s="44" t="s">
        <v>887</v>
      </c>
      <c r="G46" s="45" t="s">
        <v>1474</v>
      </c>
      <c r="H46" s="46"/>
      <c r="I46" s="11" t="b">
        <v>1</v>
      </c>
      <c r="J46" s="47" t="str">
        <f t="shared" si="7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6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IFERROR(__xludf.DUMMYFUNCTION("""COMPUTED_VALUE"""),"mding4gold")</f>
        <v>mding4gold</v>
      </c>
      <c r="R46" s="49">
        <f>IFERROR(__xludf.DUMMYFUNCTION("""COMPUTED_VALUE"""),4985.0)</f>
        <v>4985</v>
      </c>
      <c r="S46" s="49"/>
    </row>
    <row r="47">
      <c r="A47" s="43">
        <v>6.0</v>
      </c>
      <c r="B47" s="43">
        <v>6.0</v>
      </c>
      <c r="C47" s="43">
        <v>57.6487958230205</v>
      </c>
      <c r="D47" s="43">
        <v>11.9090010703237</v>
      </c>
      <c r="E47" s="43" t="s">
        <v>103</v>
      </c>
      <c r="F47" s="44" t="s">
        <v>120</v>
      </c>
      <c r="G47" s="45" t="s">
        <v>1475</v>
      </c>
      <c r="H47" s="46"/>
      <c r="I47" s="11" t="b">
        <v>1</v>
      </c>
      <c r="J47" s="47" t="str">
        <f t="shared" si="7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6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IFERROR(__xludf.DUMMYFUNCTION("""COMPUTED_VALUE"""),"xrayneex")</f>
        <v>xrayneex</v>
      </c>
      <c r="R47" s="49">
        <f>IFERROR(__xludf.DUMMYFUNCTION("""COMPUTED_VALUE"""),1549.0)</f>
        <v>1549</v>
      </c>
      <c r="S47" s="49"/>
    </row>
    <row r="48">
      <c r="A48" s="43">
        <v>6.0</v>
      </c>
      <c r="B48" s="43">
        <v>7.0</v>
      </c>
      <c r="C48" s="43">
        <v>57.6487958227358</v>
      </c>
      <c r="D48" s="43">
        <v>11.9092696713753</v>
      </c>
      <c r="E48" s="43" t="s">
        <v>98</v>
      </c>
      <c r="F48" s="44" t="s">
        <v>145</v>
      </c>
      <c r="G48" s="45" t="s">
        <v>1476</v>
      </c>
      <c r="H48" s="46"/>
      <c r="I48" s="11" t="b">
        <v>1</v>
      </c>
      <c r="J48" s="47" t="str">
        <f t="shared" si="7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6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IFERROR(__xludf.DUMMYFUNCTION("""COMPUTED_VALUE"""),5203.0)</f>
        <v>5203</v>
      </c>
      <c r="S48" s="51">
        <v>44200.89664114584</v>
      </c>
    </row>
    <row r="49">
      <c r="A49" s="43">
        <v>6.0</v>
      </c>
      <c r="B49" s="43">
        <v>8.0</v>
      </c>
      <c r="C49" s="43">
        <v>57.6487958224512</v>
      </c>
      <c r="D49" s="43">
        <v>11.9095382724269</v>
      </c>
      <c r="E49" s="43" t="s">
        <v>98</v>
      </c>
      <c r="F49" s="44" t="s">
        <v>147</v>
      </c>
      <c r="G49" s="45" t="s">
        <v>1477</v>
      </c>
      <c r="H49" s="46"/>
      <c r="I49" s="11" t="b">
        <v>1</v>
      </c>
      <c r="J49" s="47" t="str">
        <f t="shared" si="7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6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IFERROR(__xludf.DUMMYFUNCTION("""COMPUTED_VALUE"""),7722.0)</f>
        <v>7722</v>
      </c>
      <c r="S49" s="51">
        <v>44110.61199685185</v>
      </c>
    </row>
    <row r="50">
      <c r="A50" s="43">
        <v>7.0</v>
      </c>
      <c r="B50" s="43">
        <v>2.0</v>
      </c>
      <c r="C50" s="43">
        <v>57.6486520937135</v>
      </c>
      <c r="D50" s="43">
        <v>11.9079266373954</v>
      </c>
      <c r="E50" s="43" t="s">
        <v>103</v>
      </c>
      <c r="F50" s="44" t="s">
        <v>870</v>
      </c>
      <c r="G50" s="45" t="s">
        <v>1478</v>
      </c>
      <c r="H50" s="46"/>
      <c r="I50" s="11" t="b">
        <v>1</v>
      </c>
      <c r="J50" s="47" t="str">
        <f t="shared" si="7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6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IFERROR(__xludf.DUMMYFUNCTION("""COMPUTED_VALUE"""),"amadoreugen")</f>
        <v>amadoreugen</v>
      </c>
      <c r="R50" s="49">
        <f>IFERROR(__xludf.DUMMYFUNCTION("""COMPUTED_VALUE"""),5842.0)</f>
        <v>5842</v>
      </c>
      <c r="S50" s="49"/>
    </row>
    <row r="51">
      <c r="A51" s="43">
        <v>7.0</v>
      </c>
      <c r="B51" s="43">
        <v>3.0</v>
      </c>
      <c r="C51" s="43">
        <v>57.6486520934289</v>
      </c>
      <c r="D51" s="43">
        <v>11.9081952373833</v>
      </c>
      <c r="E51" s="43" t="s">
        <v>98</v>
      </c>
      <c r="F51" s="44" t="s">
        <v>1212</v>
      </c>
      <c r="G51" s="52" t="s">
        <v>1479</v>
      </c>
      <c r="H51" s="46"/>
      <c r="I51" s="11" t="b">
        <v>1</v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6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IFERROR(__xludf.DUMMYFUNCTION("""COMPUTED_VALUE"""),"Mallet75")</f>
        <v>Mallet75</v>
      </c>
      <c r="R51" s="49">
        <f>IFERROR(__xludf.DUMMYFUNCTION("""COMPUTED_VALUE"""),781.0)</f>
        <v>781</v>
      </c>
      <c r="S51" s="49"/>
    </row>
    <row r="52">
      <c r="A52" s="43">
        <v>7.0</v>
      </c>
      <c r="B52" s="43">
        <v>4.0</v>
      </c>
      <c r="C52" s="43">
        <v>57.6486520931442</v>
      </c>
      <c r="D52" s="43">
        <v>11.9084638373711</v>
      </c>
      <c r="E52" s="43" t="s">
        <v>98</v>
      </c>
      <c r="F52" s="44" t="s">
        <v>314</v>
      </c>
      <c r="G52" s="45" t="s">
        <v>1480</v>
      </c>
      <c r="H52" s="46"/>
      <c r="I52" s="11" t="b">
        <v>1</v>
      </c>
      <c r="J52" s="47" t="str">
        <f t="shared" ref="J52:J59" si="8">if(I52=true,"",S52)</f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6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IFERROR(__xludf.DUMMYFUNCTION("""COMPUTED_VALUE"""),"Trappertje")</f>
        <v>Trappertje</v>
      </c>
      <c r="R52" s="49">
        <f>IFERROR(__xludf.DUMMYFUNCTION("""COMPUTED_VALUE"""),5521.0)</f>
        <v>5521</v>
      </c>
      <c r="S52" s="49"/>
    </row>
    <row r="53">
      <c r="A53" s="43">
        <v>7.0</v>
      </c>
      <c r="B53" s="43">
        <v>5.0</v>
      </c>
      <c r="C53" s="43">
        <v>57.6486520928596</v>
      </c>
      <c r="D53" s="43">
        <v>11.908732437359</v>
      </c>
      <c r="E53" s="43" t="s">
        <v>98</v>
      </c>
      <c r="F53" s="44" t="s">
        <v>1119</v>
      </c>
      <c r="G53" s="45" t="s">
        <v>1481</v>
      </c>
      <c r="H53" s="46"/>
      <c r="I53" s="11" t="b">
        <v>1</v>
      </c>
      <c r="J53" s="47" t="str">
        <f t="shared" si="8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6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IFERROR(__xludf.DUMMYFUNCTION("""COMPUTED_VALUE"""),"PawPatrolThomas")</f>
        <v>PawPatrolThomas</v>
      </c>
      <c r="R53" s="49">
        <f>IFERROR(__xludf.DUMMYFUNCTION("""COMPUTED_VALUE"""),2089.0)</f>
        <v>2089</v>
      </c>
      <c r="S53" s="51">
        <v>44258.633753807866</v>
      </c>
    </row>
    <row r="54">
      <c r="A54" s="43">
        <v>7.0</v>
      </c>
      <c r="B54" s="43">
        <v>6.0</v>
      </c>
      <c r="C54" s="43">
        <v>57.648652092575</v>
      </c>
      <c r="D54" s="43">
        <v>11.9090010373469</v>
      </c>
      <c r="E54" s="43" t="s">
        <v>98</v>
      </c>
      <c r="F54" s="44" t="s">
        <v>908</v>
      </c>
      <c r="G54" s="45" t="s">
        <v>1482</v>
      </c>
      <c r="H54" s="44"/>
      <c r="I54" s="11" t="b">
        <v>1</v>
      </c>
      <c r="J54" s="47" t="str">
        <f t="shared" si="8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6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IFERROR(__xludf.DUMMYFUNCTION("""COMPUTED_VALUE"""),"Wangotango")</f>
        <v>Wangotango</v>
      </c>
      <c r="R54" s="49">
        <f>IFERROR(__xludf.DUMMYFUNCTION("""COMPUTED_VALUE"""),1644.0)</f>
        <v>1644</v>
      </c>
      <c r="S54" s="49"/>
    </row>
    <row r="55">
      <c r="A55" s="43">
        <v>7.0</v>
      </c>
      <c r="B55" s="43">
        <v>7.0</v>
      </c>
      <c r="C55" s="43">
        <v>57.6486520922904</v>
      </c>
      <c r="D55" s="43">
        <v>11.9092696373347</v>
      </c>
      <c r="E55" s="43" t="s">
        <v>98</v>
      </c>
      <c r="F55" s="44" t="s">
        <v>106</v>
      </c>
      <c r="G55" s="45" t="s">
        <v>1483</v>
      </c>
      <c r="H55" s="46"/>
      <c r="I55" s="11" t="b">
        <v>1</v>
      </c>
      <c r="J55" s="47" t="str">
        <f t="shared" si="8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6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IFERROR(__xludf.DUMMYFUNCTION("""COMPUTED_VALUE"""),"EmileP68")</f>
        <v>EmileP68</v>
      </c>
      <c r="R55" s="49">
        <f>IFERROR(__xludf.DUMMYFUNCTION("""COMPUTED_VALUE"""),2790.0)</f>
        <v>2790</v>
      </c>
      <c r="S55" s="51">
        <v>44258.63484924768</v>
      </c>
    </row>
    <row r="56">
      <c r="A56" s="43">
        <v>8.0</v>
      </c>
      <c r="B56" s="43">
        <v>3.0</v>
      </c>
      <c r="C56" s="43">
        <v>57.6485083629835</v>
      </c>
      <c r="D56" s="43">
        <v>11.9081952075978</v>
      </c>
      <c r="E56" s="43" t="s">
        <v>98</v>
      </c>
      <c r="F56" s="44" t="s">
        <v>101</v>
      </c>
      <c r="G56" s="45" t="s">
        <v>1484</v>
      </c>
      <c r="H56" s="46"/>
      <c r="I56" s="11" t="b">
        <v>1</v>
      </c>
      <c r="J56" s="47" t="str">
        <f t="shared" si="8"/>
        <v/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6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IFERROR(__xludf.DUMMYFUNCTION("""COMPUTED_VALUE"""),"sverlaan")</f>
        <v>sverlaan</v>
      </c>
      <c r="R56" s="49">
        <f>IFERROR(__xludf.DUMMYFUNCTION("""COMPUTED_VALUE"""),3886.0)</f>
        <v>3886</v>
      </c>
      <c r="S56" s="51">
        <v>44258.63692583333</v>
      </c>
    </row>
    <row r="57">
      <c r="A57" s="43">
        <v>8.0</v>
      </c>
      <c r="B57" s="43">
        <v>4.0</v>
      </c>
      <c r="C57" s="43">
        <v>57.6485083626989</v>
      </c>
      <c r="D57" s="43">
        <v>11.9084638065219</v>
      </c>
      <c r="E57" s="43" t="s">
        <v>103</v>
      </c>
      <c r="F57" s="44" t="s">
        <v>243</v>
      </c>
      <c r="G57" s="45" t="s">
        <v>1485</v>
      </c>
      <c r="H57" s="46"/>
      <c r="I57" s="11" t="b">
        <v>1</v>
      </c>
      <c r="J57" s="47" t="str">
        <f t="shared" si="8"/>
        <v/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6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IFERROR(__xludf.DUMMYFUNCTION("""COMPUTED_VALUE"""),"Aniara")</f>
        <v>Aniara</v>
      </c>
      <c r="R57" s="49">
        <f>IFERROR(__xludf.DUMMYFUNCTION("""COMPUTED_VALUE"""),6947.0)</f>
        <v>6947</v>
      </c>
      <c r="S57" s="49"/>
    </row>
    <row r="58">
      <c r="A58" s="43">
        <v>8.0</v>
      </c>
      <c r="B58" s="43">
        <v>5.0</v>
      </c>
      <c r="C58" s="43">
        <v>57.6485083624142</v>
      </c>
      <c r="D58" s="43">
        <v>11.908732405446</v>
      </c>
      <c r="E58" s="43" t="s">
        <v>103</v>
      </c>
      <c r="F58" s="44" t="s">
        <v>254</v>
      </c>
      <c r="G58" s="45" t="s">
        <v>1486</v>
      </c>
      <c r="H58" s="46"/>
      <c r="I58" s="11" t="b">
        <v>1</v>
      </c>
      <c r="J58" s="47" t="str">
        <f t="shared" si="8"/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6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IFERROR(__xludf.DUMMYFUNCTION("""COMPUTED_VALUE"""),"wally62")</f>
        <v>wally62</v>
      </c>
      <c r="R58" s="49">
        <f>IFERROR(__xludf.DUMMYFUNCTION("""COMPUTED_VALUE"""),4468.0)</f>
        <v>4468</v>
      </c>
      <c r="S58" s="49"/>
    </row>
    <row r="59">
      <c r="A59" s="43">
        <v>8.0</v>
      </c>
      <c r="B59" s="43">
        <v>6.0</v>
      </c>
      <c r="C59" s="43">
        <v>57.6485083621296</v>
      </c>
      <c r="D59" s="43">
        <v>11.9090010043701</v>
      </c>
      <c r="E59" s="43" t="s">
        <v>98</v>
      </c>
      <c r="F59" s="44" t="s">
        <v>870</v>
      </c>
      <c r="G59" s="45" t="s">
        <v>1487</v>
      </c>
      <c r="H59" s="46"/>
      <c r="I59" s="11" t="b">
        <v>1</v>
      </c>
      <c r="J59" s="47" t="str">
        <f t="shared" si="8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6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IFERROR(__xludf.DUMMYFUNCTION("""COMPUTED_VALUE"""),"amadoreugen")</f>
        <v>amadoreugen</v>
      </c>
      <c r="R59" s="49">
        <f>IFERROR(__xludf.DUMMYFUNCTION("""COMPUTED_VALUE"""),5994.0)</f>
        <v>5994</v>
      </c>
      <c r="S59" s="49"/>
    </row>
    <row r="61" hidden="1">
      <c r="F61" s="47">
        <f t="shared" ref="F61:G61" si="9">COUNTIF(F8:F59,"")</f>
        <v>0</v>
      </c>
      <c r="G61" s="47">
        <f t="shared" si="9"/>
        <v>0</v>
      </c>
      <c r="I61" s="47">
        <f>COUNTIF(I8:I59,TRUE)</f>
        <v>52</v>
      </c>
    </row>
    <row r="62" hidden="1"/>
  </sheetData>
  <mergeCells count="3">
    <mergeCell ref="B1:C1"/>
    <mergeCell ref="H3:H4"/>
    <mergeCell ref="N7:S7"/>
  </mergeCells>
  <conditionalFormatting sqref="F1 F8:F12 F14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9.5"/>
    <col customWidth="1" min="2" max="2" width="8.75"/>
    <col customWidth="1" min="3" max="3" width="14.38"/>
    <col customWidth="1" min="4" max="4" width="13.75"/>
    <col customWidth="1" min="5" max="5" width="16.75"/>
    <col customWidth="1" min="6" max="6" width="14.88"/>
    <col customWidth="1" min="7" max="7" width="40.0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33</v>
      </c>
      <c r="B1" s="37" t="s">
        <v>66</v>
      </c>
      <c r="D1" s="37"/>
      <c r="E1" s="2" t="s">
        <v>79</v>
      </c>
      <c r="F1" s="59" t="s">
        <v>147</v>
      </c>
      <c r="G1" s="60" t="s">
        <v>159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160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11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41</v>
      </c>
      <c r="G5" s="39">
        <f>F5/52</f>
        <v>0.7884615385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-34.4896737156617</v>
      </c>
      <c r="D8" s="43">
        <v>150.803673318923</v>
      </c>
      <c r="E8" s="43" t="s">
        <v>98</v>
      </c>
      <c r="F8" s="44" t="s">
        <v>161</v>
      </c>
      <c r="G8" s="45" t="s">
        <v>162</v>
      </c>
      <c r="H8" s="46"/>
      <c r="I8" s="11" t="b">
        <v>1</v>
      </c>
      <c r="J8" s="47" t="str">
        <f t="shared" ref="J8:J35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IFERROR(__xludf.DUMMYFUNCTION("""COMPUTED_VALUE"""),3548.0)</f>
        <v>3548</v>
      </c>
      <c r="S8" s="51">
        <v>44255.62892643518</v>
      </c>
    </row>
    <row r="9">
      <c r="A9" s="43">
        <v>1.0</v>
      </c>
      <c r="B9" s="43">
        <v>4.0</v>
      </c>
      <c r="C9" s="43">
        <v>-34.4896737155379</v>
      </c>
      <c r="D9" s="43">
        <v>150.803847700769</v>
      </c>
      <c r="E9" s="43" t="s">
        <v>98</v>
      </c>
      <c r="F9" s="44" t="s">
        <v>101</v>
      </c>
      <c r="G9" s="45" t="s">
        <v>163</v>
      </c>
      <c r="H9" s="46"/>
      <c r="I9" s="11" t="b">
        <v>1</v>
      </c>
      <c r="J9" s="47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IFERROR(__xludf.DUMMYFUNCTION("""COMPUTED_VALUE"""),5173.0)</f>
        <v>5173</v>
      </c>
      <c r="S9" s="51">
        <v>44255.62894491898</v>
      </c>
    </row>
    <row r="10">
      <c r="A10" s="43">
        <v>1.0</v>
      </c>
      <c r="B10" s="43">
        <v>5.0</v>
      </c>
      <c r="C10" s="43">
        <v>-34.489673715414</v>
      </c>
      <c r="D10" s="43">
        <v>150.804022082616</v>
      </c>
      <c r="E10" s="43" t="s">
        <v>103</v>
      </c>
      <c r="F10" s="44" t="s">
        <v>106</v>
      </c>
      <c r="G10" s="45" t="s">
        <v>164</v>
      </c>
      <c r="H10" s="46"/>
      <c r="I10" s="11" t="b">
        <v>1</v>
      </c>
      <c r="J10" s="47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IFERROR(__xludf.DUMMYFUNCTION("""COMPUTED_VALUE"""),"EmileP68")</f>
        <v>EmileP68</v>
      </c>
      <c r="R10" s="49">
        <f>IFERROR(__xludf.DUMMYFUNCTION("""COMPUTED_VALUE"""),2783.0)</f>
        <v>2783</v>
      </c>
      <c r="S10" s="51">
        <v>44255.62899887731</v>
      </c>
    </row>
    <row r="11">
      <c r="A11" s="43">
        <v>1.0</v>
      </c>
      <c r="B11" s="43">
        <v>6.0</v>
      </c>
      <c r="C11" s="43">
        <v>-34.4896737152901</v>
      </c>
      <c r="D11" s="43">
        <v>150.804196464462</v>
      </c>
      <c r="E11" s="43" t="s">
        <v>103</v>
      </c>
      <c r="F11" s="44" t="s">
        <v>104</v>
      </c>
      <c r="G11" s="45" t="s">
        <v>165</v>
      </c>
      <c r="H11" s="46"/>
      <c r="I11" s="11" t="b">
        <v>1</v>
      </c>
      <c r="J11" s="47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IFERROR(__xludf.DUMMYFUNCTION("""COMPUTED_VALUE"""),"PawPatrolThomas")</f>
        <v>PawPatrolThomas</v>
      </c>
      <c r="R11" s="49">
        <f>IFERROR(__xludf.DUMMYFUNCTION("""COMPUTED_VALUE"""),3130.0)</f>
        <v>3130</v>
      </c>
      <c r="S11" s="51">
        <v>44255.62904979166</v>
      </c>
    </row>
    <row r="12">
      <c r="A12" s="43">
        <v>2.0</v>
      </c>
      <c r="B12" s="43">
        <v>2.0</v>
      </c>
      <c r="C12" s="43">
        <v>-34.489817446231</v>
      </c>
      <c r="D12" s="43">
        <v>150.80349894519</v>
      </c>
      <c r="E12" s="43" t="s">
        <v>98</v>
      </c>
      <c r="F12" s="44" t="s">
        <v>166</v>
      </c>
      <c r="G12" s="45" t="s">
        <v>167</v>
      </c>
      <c r="H12" s="44"/>
      <c r="I12" s="11" t="b">
        <v>1</v>
      </c>
      <c r="J12" s="47" t="str">
        <f t="shared" si="1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IFERROR(__xludf.DUMMYFUNCTION("""COMPUTED_VALUE"""),"all0123")</f>
        <v>all0123</v>
      </c>
      <c r="R12" s="49">
        <f>IFERROR(__xludf.DUMMYFUNCTION("""COMPUTED_VALUE"""),4644.0)</f>
        <v>4644</v>
      </c>
      <c r="S12" s="49"/>
    </row>
    <row r="13">
      <c r="A13" s="43">
        <v>2.0</v>
      </c>
      <c r="B13" s="43">
        <v>3.0</v>
      </c>
      <c r="C13" s="43">
        <v>-34.4898174461071</v>
      </c>
      <c r="D13" s="43">
        <v>150.803673327337</v>
      </c>
      <c r="E13" s="43" t="s">
        <v>98</v>
      </c>
      <c r="F13" s="61" t="s">
        <v>114</v>
      </c>
      <c r="G13" s="52" t="s">
        <v>168</v>
      </c>
      <c r="H13" s="46"/>
      <c r="I13" s="11" t="b">
        <v>1</v>
      </c>
      <c r="J13" s="47" t="str">
        <f t="shared" si="1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IFERROR(__xludf.DUMMYFUNCTION("""COMPUTED_VALUE"""),"J1Huisman")</f>
        <v>J1Huisman</v>
      </c>
      <c r="R13" s="49">
        <f>IFERROR(__xludf.DUMMYFUNCTION("""COMPUTED_VALUE"""),12541.0)</f>
        <v>12541</v>
      </c>
      <c r="S13" s="49"/>
    </row>
    <row r="14">
      <c r="A14" s="43">
        <v>2.0</v>
      </c>
      <c r="B14" s="43">
        <v>4.0</v>
      </c>
      <c r="C14" s="43">
        <v>-34.4898174459833</v>
      </c>
      <c r="D14" s="43">
        <v>150.803847709485</v>
      </c>
      <c r="E14" s="43" t="s">
        <v>98</v>
      </c>
      <c r="F14" s="62" t="s">
        <v>169</v>
      </c>
      <c r="G14" s="52" t="s">
        <v>170</v>
      </c>
      <c r="H14" s="46"/>
      <c r="I14" s="11" t="b">
        <v>1</v>
      </c>
      <c r="J14" s="47" t="str">
        <f t="shared" si="1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IFERROR(__xludf.DUMMYFUNCTION("""COMPUTED_VALUE"""),"Pinkeltje")</f>
        <v>Pinkeltje</v>
      </c>
      <c r="R14" s="49">
        <f>IFERROR(__xludf.DUMMYFUNCTION("""COMPUTED_VALUE"""),1957.0)</f>
        <v>1957</v>
      </c>
      <c r="S14" s="49"/>
    </row>
    <row r="15">
      <c r="A15" s="43">
        <v>2.0</v>
      </c>
      <c r="B15" s="43">
        <v>5.0</v>
      </c>
      <c r="C15" s="43">
        <v>-34.4898174458594</v>
      </c>
      <c r="D15" s="43">
        <v>150.804022091632</v>
      </c>
      <c r="E15" s="43" t="s">
        <v>103</v>
      </c>
      <c r="F15" s="44" t="s">
        <v>120</v>
      </c>
      <c r="G15" s="45" t="s">
        <v>171</v>
      </c>
      <c r="H15" s="46"/>
      <c r="I15" s="11" t="b">
        <v>1</v>
      </c>
      <c r="J15" s="47" t="str">
        <f t="shared" si="1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IFERROR(__xludf.DUMMYFUNCTION("""COMPUTED_VALUE"""),"xrayneex")</f>
        <v>xrayneex</v>
      </c>
      <c r="R15" s="49">
        <f>IFERROR(__xludf.DUMMYFUNCTION("""COMPUTED_VALUE"""),2139.0)</f>
        <v>2139</v>
      </c>
      <c r="S15" s="49"/>
    </row>
    <row r="16">
      <c r="A16" s="43">
        <v>2.0</v>
      </c>
      <c r="B16" s="43">
        <v>6.0</v>
      </c>
      <c r="C16" s="43">
        <v>-34.4898174457356</v>
      </c>
      <c r="D16" s="43">
        <v>150.804196473779</v>
      </c>
      <c r="E16" s="43" t="s">
        <v>98</v>
      </c>
      <c r="F16" s="44" t="s">
        <v>112</v>
      </c>
      <c r="G16" s="52" t="s">
        <v>172</v>
      </c>
      <c r="H16" s="46"/>
      <c r="I16" s="11" t="b">
        <v>1</v>
      </c>
      <c r="J16" s="47" t="str">
        <f t="shared" si="1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IFERROR(__xludf.DUMMYFUNCTION("""COMPUTED_VALUE"""),"ArtofEco")</f>
        <v>ArtofEco</v>
      </c>
      <c r="R16" s="49">
        <f>IFERROR(__xludf.DUMMYFUNCTION("""COMPUTED_VALUE"""),3294.0)</f>
        <v>3294</v>
      </c>
      <c r="S16" s="49"/>
    </row>
    <row r="17">
      <c r="A17" s="43">
        <v>2.0</v>
      </c>
      <c r="B17" s="43">
        <v>7.0</v>
      </c>
      <c r="C17" s="43">
        <v>-34.4898174456117</v>
      </c>
      <c r="D17" s="43">
        <v>150.804370855926</v>
      </c>
      <c r="E17" s="43" t="s">
        <v>98</v>
      </c>
      <c r="F17" s="44" t="s">
        <v>110</v>
      </c>
      <c r="G17" s="52" t="s">
        <v>173</v>
      </c>
      <c r="H17" s="44"/>
      <c r="I17" s="11" t="b">
        <v>1</v>
      </c>
      <c r="J17" s="47" t="str">
        <f t="shared" si="1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IFERROR(__xludf.DUMMYFUNCTION("""COMPUTED_VALUE"""),"BrotherWilliam")</f>
        <v>BrotherWilliam</v>
      </c>
      <c r="R17" s="49">
        <f>IFERROR(__xludf.DUMMYFUNCTION("""COMPUTED_VALUE"""),4477.0)</f>
        <v>4477</v>
      </c>
      <c r="S17" s="49"/>
    </row>
    <row r="18">
      <c r="A18" s="43">
        <v>3.0</v>
      </c>
      <c r="B18" s="43">
        <v>1.0</v>
      </c>
      <c r="C18" s="43">
        <v>-34.4899611768003</v>
      </c>
      <c r="D18" s="43">
        <v>150.803324570856</v>
      </c>
      <c r="E18" s="43" t="s">
        <v>98</v>
      </c>
      <c r="F18" s="44" t="s">
        <v>122</v>
      </c>
      <c r="G18" s="45" t="s">
        <v>174</v>
      </c>
      <c r="H18" s="46"/>
      <c r="I18" s="11" t="b">
        <v>1</v>
      </c>
      <c r="J18" s="47" t="str">
        <f t="shared" si="1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IFERROR(__xludf.DUMMYFUNCTION("""COMPUTED_VALUE"""),"Drazoria")</f>
        <v>Drazoria</v>
      </c>
      <c r="R18" s="49">
        <f>IFERROR(__xludf.DUMMYFUNCTION("""COMPUTED_VALUE"""),1530.0)</f>
        <v>1530</v>
      </c>
      <c r="S18" s="51">
        <v>44258.00409828704</v>
      </c>
    </row>
    <row r="19">
      <c r="A19" s="43">
        <v>3.0</v>
      </c>
      <c r="B19" s="43">
        <v>2.0</v>
      </c>
      <c r="C19" s="43">
        <v>-34.4899611766765</v>
      </c>
      <c r="D19" s="43">
        <v>150.803498953304</v>
      </c>
      <c r="E19" s="43" t="s">
        <v>98</v>
      </c>
      <c r="F19" s="44" t="s">
        <v>124</v>
      </c>
      <c r="G19" s="45" t="s">
        <v>175</v>
      </c>
      <c r="H19" s="46"/>
      <c r="I19" s="11" t="b">
        <v>1</v>
      </c>
      <c r="J19" s="47" t="str">
        <f t="shared" si="1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IFERROR(__xludf.DUMMYFUNCTION("""COMPUTED_VALUE"""),"Tinake1309")</f>
        <v>Tinake1309</v>
      </c>
      <c r="R19" s="49">
        <f>IFERROR(__xludf.DUMMYFUNCTION("""COMPUTED_VALUE"""),1539.0)</f>
        <v>1539</v>
      </c>
      <c r="S19" s="51">
        <v>44258.00418863426</v>
      </c>
    </row>
    <row r="20">
      <c r="A20" s="43">
        <v>3.0</v>
      </c>
      <c r="B20" s="43">
        <v>3.0</v>
      </c>
      <c r="C20" s="43">
        <v>-34.4899611765526</v>
      </c>
      <c r="D20" s="43">
        <v>150.803673335751</v>
      </c>
      <c r="E20" s="43" t="s">
        <v>98</v>
      </c>
      <c r="F20" s="44" t="s">
        <v>126</v>
      </c>
      <c r="G20" s="45" t="s">
        <v>176</v>
      </c>
      <c r="H20" s="46"/>
      <c r="I20" s="11" t="b">
        <v>1</v>
      </c>
      <c r="J20" s="47" t="str">
        <f t="shared" si="1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IFERROR(__xludf.DUMMYFUNCTION("""COMPUTED_VALUE"""),"Berg14")</f>
        <v>Berg14</v>
      </c>
      <c r="R20" s="49">
        <f>IFERROR(__xludf.DUMMYFUNCTION("""COMPUTED_VALUE"""),1314.0)</f>
        <v>1314</v>
      </c>
      <c r="S20" s="51">
        <v>44258.00425795139</v>
      </c>
    </row>
    <row r="21">
      <c r="A21" s="43">
        <v>3.0</v>
      </c>
      <c r="B21" s="43">
        <v>4.0</v>
      </c>
      <c r="C21" s="43">
        <v>-34.4899611764287</v>
      </c>
      <c r="D21" s="43">
        <v>150.803847718199</v>
      </c>
      <c r="E21" s="43" t="s">
        <v>98</v>
      </c>
      <c r="F21" s="44" t="s">
        <v>128</v>
      </c>
      <c r="G21" s="45" t="s">
        <v>177</v>
      </c>
      <c r="H21" s="46"/>
      <c r="I21" s="11" t="b">
        <v>1</v>
      </c>
      <c r="J21" s="47" t="str">
        <f t="shared" si="1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IFERROR(__xludf.DUMMYFUNCTION("""COMPUTED_VALUE"""),"Niks13")</f>
        <v>Niks13</v>
      </c>
      <c r="R21" s="49">
        <f>IFERROR(__xludf.DUMMYFUNCTION("""COMPUTED_VALUE"""),1309.0)</f>
        <v>1309</v>
      </c>
      <c r="S21" s="51">
        <v>44258.004337569444</v>
      </c>
    </row>
    <row r="22">
      <c r="A22" s="43">
        <v>3.0</v>
      </c>
      <c r="B22" s="43">
        <v>5.0</v>
      </c>
      <c r="C22" s="43">
        <v>-34.4899611763049</v>
      </c>
      <c r="D22" s="43">
        <v>150.804022100647</v>
      </c>
      <c r="E22" s="43" t="s">
        <v>98</v>
      </c>
      <c r="F22" s="44" t="s">
        <v>178</v>
      </c>
      <c r="G22" s="45" t="s">
        <v>179</v>
      </c>
      <c r="H22" s="46"/>
      <c r="I22" s="11" t="b">
        <v>1</v>
      </c>
      <c r="J22" s="47" t="str">
        <f t="shared" si="1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IFERROR(__xludf.DUMMYFUNCTION("""COMPUTED_VALUE"""),"lison55")</f>
        <v>lison55</v>
      </c>
      <c r="R22" s="49">
        <f>IFERROR(__xludf.DUMMYFUNCTION("""COMPUTED_VALUE"""),6319.0)</f>
        <v>6319</v>
      </c>
      <c r="S22" s="49"/>
    </row>
    <row r="23">
      <c r="A23" s="43">
        <v>3.0</v>
      </c>
      <c r="B23" s="43">
        <v>6.0</v>
      </c>
      <c r="C23" s="43">
        <v>-34.489961176181</v>
      </c>
      <c r="D23" s="43">
        <v>150.804196483094</v>
      </c>
      <c r="E23" s="43" t="s">
        <v>98</v>
      </c>
      <c r="F23" s="44" t="s">
        <v>116</v>
      </c>
      <c r="G23" s="45" t="s">
        <v>180</v>
      </c>
      <c r="H23" s="46"/>
      <c r="I23" s="11" t="b">
        <v>1</v>
      </c>
      <c r="J23" s="47" t="str">
        <f t="shared" si="1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IFERROR(__xludf.DUMMYFUNCTION("""COMPUTED_VALUE"""),"fsafranek")</f>
        <v>fsafranek</v>
      </c>
      <c r="R23" s="49">
        <f>IFERROR(__xludf.DUMMYFUNCTION("""COMPUTED_VALUE"""),5160.0)</f>
        <v>5160</v>
      </c>
      <c r="S23" s="49"/>
    </row>
    <row r="24">
      <c r="A24" s="43">
        <v>3.0</v>
      </c>
      <c r="B24" s="43">
        <v>7.0</v>
      </c>
      <c r="C24" s="43">
        <v>-34.4899611760572</v>
      </c>
      <c r="D24" s="43">
        <v>150.804370865542</v>
      </c>
      <c r="E24" s="43" t="s">
        <v>98</v>
      </c>
      <c r="F24" s="44" t="s">
        <v>157</v>
      </c>
      <c r="G24" s="45" t="s">
        <v>181</v>
      </c>
      <c r="H24" s="46"/>
      <c r="I24" s="11" t="b">
        <v>1</v>
      </c>
      <c r="J24" s="47" t="str">
        <f t="shared" si="1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IFERROR(__xludf.DUMMYFUNCTION("""COMPUTED_VALUE"""),"barefootguru")</f>
        <v>barefootguru</v>
      </c>
      <c r="R24" s="49">
        <f>IFERROR(__xludf.DUMMYFUNCTION("""COMPUTED_VALUE"""),3318.0)</f>
        <v>3318</v>
      </c>
      <c r="S24" s="49"/>
    </row>
    <row r="25">
      <c r="A25" s="43">
        <v>3.0</v>
      </c>
      <c r="B25" s="43">
        <v>8.0</v>
      </c>
      <c r="C25" s="43">
        <v>-34.4899611759333</v>
      </c>
      <c r="D25" s="43">
        <v>150.804545247989</v>
      </c>
      <c r="E25" s="43" t="s">
        <v>98</v>
      </c>
      <c r="F25" s="44" t="s">
        <v>182</v>
      </c>
      <c r="G25" s="45" t="s">
        <v>183</v>
      </c>
      <c r="H25" s="46"/>
      <c r="I25" s="11" t="b">
        <v>1</v>
      </c>
      <c r="J25" s="47" t="str">
        <f t="shared" si="1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IFERROR(__xludf.DUMMYFUNCTION("""COMPUTED_VALUE"""),"TheFatCats")</f>
        <v>TheFatCats</v>
      </c>
      <c r="R25" s="49">
        <f>IFERROR(__xludf.DUMMYFUNCTION("""COMPUTED_VALUE"""),4809.0)</f>
        <v>4809</v>
      </c>
      <c r="S25" s="49"/>
    </row>
    <row r="26">
      <c r="A26" s="43">
        <v>4.0</v>
      </c>
      <c r="B26" s="43">
        <v>1.0</v>
      </c>
      <c r="C26" s="43">
        <v>-34.4901049072458</v>
      </c>
      <c r="D26" s="43">
        <v>150.803324578671</v>
      </c>
      <c r="E26" s="43" t="s">
        <v>98</v>
      </c>
      <c r="F26" s="44" t="s">
        <v>184</v>
      </c>
      <c r="G26" s="45" t="s">
        <v>185</v>
      </c>
      <c r="H26" s="46"/>
      <c r="I26" s="11" t="b">
        <v>1</v>
      </c>
      <c r="J26" s="47" t="str">
        <f t="shared" si="1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IFERROR(__xludf.DUMMYFUNCTION("""COMPUTED_VALUE"""),"Jennbaby82")</f>
        <v>Jennbaby82</v>
      </c>
      <c r="R26" s="49">
        <f>IFERROR(__xludf.DUMMYFUNCTION("""COMPUTED_VALUE"""),6437.0)</f>
        <v>6437</v>
      </c>
      <c r="S26" s="49"/>
    </row>
    <row r="27">
      <c r="A27" s="43">
        <v>4.0</v>
      </c>
      <c r="B27" s="43">
        <v>2.0</v>
      </c>
      <c r="C27" s="43">
        <v>-34.4901049071219</v>
      </c>
      <c r="D27" s="43">
        <v>150.803498961419</v>
      </c>
      <c r="E27" s="43" t="s">
        <v>103</v>
      </c>
      <c r="F27" s="44" t="s">
        <v>151</v>
      </c>
      <c r="G27" s="52" t="s">
        <v>186</v>
      </c>
      <c r="H27" s="46"/>
      <c r="I27" s="11" t="b">
        <v>1</v>
      </c>
      <c r="J27" s="47" t="str">
        <f t="shared" si="1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IFERROR(__xludf.DUMMYFUNCTION("""COMPUTED_VALUE"""),"res2100")</f>
        <v>res2100</v>
      </c>
      <c r="R27" s="49">
        <f>IFERROR(__xludf.DUMMYFUNCTION("""COMPUTED_VALUE"""),833.0)</f>
        <v>833</v>
      </c>
      <c r="S27" s="49"/>
    </row>
    <row r="28">
      <c r="A28" s="43">
        <v>4.0</v>
      </c>
      <c r="B28" s="43">
        <v>3.0</v>
      </c>
      <c r="C28" s="43">
        <v>-34.4901049069981</v>
      </c>
      <c r="D28" s="43">
        <v>150.803673344167</v>
      </c>
      <c r="E28" s="43" t="s">
        <v>98</v>
      </c>
      <c r="F28" s="44" t="s">
        <v>130</v>
      </c>
      <c r="G28" s="45" t="s">
        <v>187</v>
      </c>
      <c r="H28" s="46"/>
      <c r="I28" s="11" t="b">
        <v>1</v>
      </c>
      <c r="J28" s="47" t="str">
        <f t="shared" si="1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IFERROR(__xludf.DUMMYFUNCTION("""COMPUTED_VALUE"""),"lupo6")</f>
        <v>lupo6</v>
      </c>
      <c r="R28" s="49">
        <f>IFERROR(__xludf.DUMMYFUNCTION("""COMPUTED_VALUE"""),6969.0)</f>
        <v>6969</v>
      </c>
      <c r="S28" s="49"/>
    </row>
    <row r="29">
      <c r="A29" s="43">
        <v>4.0</v>
      </c>
      <c r="B29" s="43">
        <v>4.0</v>
      </c>
      <c r="C29" s="43">
        <v>-34.4901049068742</v>
      </c>
      <c r="D29" s="43">
        <v>150.803847726915</v>
      </c>
      <c r="E29" s="43" t="s">
        <v>98</v>
      </c>
      <c r="F29" s="44" t="s">
        <v>188</v>
      </c>
      <c r="G29" s="45" t="s">
        <v>189</v>
      </c>
      <c r="H29" s="44"/>
      <c r="I29" s="11" t="b">
        <v>1</v>
      </c>
      <c r="J29" s="47" t="str">
        <f t="shared" si="1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IFERROR(__xludf.DUMMYFUNCTION("""COMPUTED_VALUE"""),3883.0)</f>
        <v>3883</v>
      </c>
      <c r="S29" s="49"/>
    </row>
    <row r="30">
      <c r="A30" s="43">
        <v>4.0</v>
      </c>
      <c r="B30" s="43">
        <v>5.0</v>
      </c>
      <c r="C30" s="43">
        <v>-34.4901049067503</v>
      </c>
      <c r="D30" s="43">
        <v>150.804022109663</v>
      </c>
      <c r="E30" s="43" t="s">
        <v>98</v>
      </c>
      <c r="F30" s="44" t="s">
        <v>190</v>
      </c>
      <c r="G30" s="52" t="s">
        <v>191</v>
      </c>
      <c r="H30" s="44"/>
      <c r="I30" s="11" t="b">
        <v>1</v>
      </c>
      <c r="J30" s="47" t="str">
        <f t="shared" si="1"/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IFERROR(__xludf.DUMMYFUNCTION("""COMPUTED_VALUE"""),"GroteSufferd")</f>
        <v>GroteSufferd</v>
      </c>
      <c r="R30" s="49">
        <f>IFERROR(__xludf.DUMMYFUNCTION("""COMPUTED_VALUE"""),545.0)</f>
        <v>545</v>
      </c>
      <c r="S30" s="49"/>
    </row>
    <row r="31">
      <c r="A31" s="43">
        <v>4.0</v>
      </c>
      <c r="B31" s="43">
        <v>6.0</v>
      </c>
      <c r="C31" s="43">
        <v>-34.4901049066265</v>
      </c>
      <c r="D31" s="43">
        <v>150.804196492412</v>
      </c>
      <c r="E31" s="43" t="s">
        <v>103</v>
      </c>
      <c r="F31" s="44" t="s">
        <v>155</v>
      </c>
      <c r="G31" s="52" t="s">
        <v>192</v>
      </c>
      <c r="H31" s="46"/>
      <c r="I31" s="11" t="b">
        <v>1</v>
      </c>
      <c r="J31" s="47" t="str">
        <f t="shared" si="1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IFERROR(__xludf.DUMMYFUNCTION("""COMPUTED_VALUE"""),"Ellesche")</f>
        <v>Ellesche</v>
      </c>
      <c r="R31" s="49">
        <f>IFERROR(__xludf.DUMMYFUNCTION("""COMPUTED_VALUE"""),794.0)</f>
        <v>794</v>
      </c>
      <c r="S31" s="49"/>
    </row>
    <row r="32">
      <c r="A32" s="43">
        <v>4.0</v>
      </c>
      <c r="B32" s="43">
        <v>7.0</v>
      </c>
      <c r="C32" s="43">
        <v>-34.4901049065026</v>
      </c>
      <c r="D32" s="43">
        <v>150.80437087516</v>
      </c>
      <c r="E32" s="43" t="s">
        <v>98</v>
      </c>
      <c r="F32" s="44" t="s">
        <v>193</v>
      </c>
      <c r="G32" s="45" t="s">
        <v>194</v>
      </c>
      <c r="H32" s="46"/>
      <c r="I32" s="11" t="b">
        <v>1</v>
      </c>
      <c r="J32" s="47" t="str">
        <f t="shared" si="1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IFERROR(__xludf.DUMMYFUNCTION("""COMPUTED_VALUE"""),"OdinsFiRe")</f>
        <v>OdinsFiRe</v>
      </c>
      <c r="R32" s="49">
        <f>IFERROR(__xludf.DUMMYFUNCTION("""COMPUTED_VALUE"""),1982.0)</f>
        <v>1982</v>
      </c>
      <c r="S32" s="49"/>
    </row>
    <row r="33">
      <c r="A33" s="43">
        <v>4.0</v>
      </c>
      <c r="B33" s="43">
        <v>8.0</v>
      </c>
      <c r="C33" s="43">
        <v>-34.4901049063788</v>
      </c>
      <c r="D33" s="43">
        <v>150.804545257908</v>
      </c>
      <c r="E33" s="43" t="s">
        <v>98</v>
      </c>
      <c r="F33" s="44" t="s">
        <v>132</v>
      </c>
      <c r="G33" s="45" t="s">
        <v>195</v>
      </c>
      <c r="H33" s="46"/>
      <c r="I33" s="11" t="b">
        <v>1</v>
      </c>
      <c r="J33" s="47" t="str">
        <f t="shared" si="1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IFERROR(__xludf.DUMMYFUNCTION("""COMPUTED_VALUE"""),"crscousins")</f>
        <v>crscousins</v>
      </c>
      <c r="R33" s="49">
        <f>IFERROR(__xludf.DUMMYFUNCTION("""COMPUTED_VALUE"""),4107.0)</f>
        <v>4107</v>
      </c>
      <c r="S33" s="49"/>
    </row>
    <row r="34">
      <c r="A34" s="43">
        <v>5.0</v>
      </c>
      <c r="B34" s="43">
        <v>1.0</v>
      </c>
      <c r="C34" s="43">
        <v>-34.490248637691</v>
      </c>
      <c r="D34" s="43">
        <v>150.803324586486</v>
      </c>
      <c r="E34" s="43" t="s">
        <v>103</v>
      </c>
      <c r="F34" s="44" t="s">
        <v>182</v>
      </c>
      <c r="G34" s="45" t="s">
        <v>196</v>
      </c>
      <c r="H34" s="46"/>
      <c r="I34" s="11" t="b">
        <v>1</v>
      </c>
      <c r="J34" s="47" t="str">
        <f t="shared" si="1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IFERROR(__xludf.DUMMYFUNCTION("""COMPUTED_VALUE"""),"TheFatCats")</f>
        <v>TheFatCats</v>
      </c>
      <c r="R34" s="49">
        <f>IFERROR(__xludf.DUMMYFUNCTION("""COMPUTED_VALUE"""),4812.0)</f>
        <v>4812</v>
      </c>
      <c r="S34" s="49"/>
    </row>
    <row r="35">
      <c r="A35" s="43">
        <v>5.0</v>
      </c>
      <c r="B35" s="43">
        <v>2.0</v>
      </c>
      <c r="C35" s="43">
        <v>-34.4902486375671</v>
      </c>
      <c r="D35" s="43">
        <v>150.803498969535</v>
      </c>
      <c r="E35" s="43" t="s">
        <v>98</v>
      </c>
      <c r="F35" s="44" t="s">
        <v>141</v>
      </c>
      <c r="G35" s="52" t="s">
        <v>197</v>
      </c>
      <c r="H35" s="46"/>
      <c r="I35" s="11" t="b">
        <v>1</v>
      </c>
      <c r="J35" s="47" t="str">
        <f t="shared" si="1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IFERROR(__xludf.DUMMYFUNCTION("""COMPUTED_VALUE"""),2791.0)</f>
        <v>2791</v>
      </c>
      <c r="S35" s="49"/>
    </row>
    <row r="36">
      <c r="A36" s="43">
        <v>5.0</v>
      </c>
      <c r="B36" s="43">
        <v>3.0</v>
      </c>
      <c r="C36" s="43">
        <v>-34.4902486374433</v>
      </c>
      <c r="D36" s="43">
        <v>150.803673352584</v>
      </c>
      <c r="E36" s="43" t="s">
        <v>103</v>
      </c>
      <c r="F36" s="44" t="s">
        <v>99</v>
      </c>
      <c r="G36" s="52" t="s">
        <v>198</v>
      </c>
      <c r="H36" s="46"/>
      <c r="I36" s="11" t="b">
        <v>1</v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IFERROR(__xludf.DUMMYFUNCTION("""COMPUTED_VALUE"""),"raunas")</f>
        <v>raunas</v>
      </c>
      <c r="R36" s="49">
        <f>IFERROR(__xludf.DUMMYFUNCTION("""COMPUTED_VALUE"""),12872.0)</f>
        <v>12872</v>
      </c>
      <c r="S36" s="51">
        <v>44698.605668240736</v>
      </c>
    </row>
    <row r="37">
      <c r="A37" s="43">
        <v>5.0</v>
      </c>
      <c r="B37" s="43">
        <v>4.0</v>
      </c>
      <c r="C37" s="43">
        <v>-34.4902486373194</v>
      </c>
      <c r="D37" s="43">
        <v>150.803847735632</v>
      </c>
      <c r="E37" s="43" t="s">
        <v>98</v>
      </c>
      <c r="F37" s="44" t="s">
        <v>182</v>
      </c>
      <c r="G37" s="45" t="s">
        <v>199</v>
      </c>
      <c r="H37" s="46"/>
      <c r="I37" s="11" t="b">
        <v>1</v>
      </c>
      <c r="J37" s="47" t="str">
        <f t="shared" ref="J37:J38" si="3">if(I37=true,"",S37)</f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IFERROR(__xludf.DUMMYFUNCTION("""COMPUTED_VALUE"""),"TheFatCats")</f>
        <v>TheFatCats</v>
      </c>
      <c r="R37" s="49">
        <f>IFERROR(__xludf.DUMMYFUNCTION("""COMPUTED_VALUE"""),4850.0)</f>
        <v>4850</v>
      </c>
      <c r="S37" s="49"/>
    </row>
    <row r="38">
      <c r="A38" s="43">
        <v>5.0</v>
      </c>
      <c r="B38" s="43">
        <v>5.0</v>
      </c>
      <c r="C38" s="43">
        <v>-34.4902486371956</v>
      </c>
      <c r="D38" s="43">
        <v>150.804022118681</v>
      </c>
      <c r="E38" s="43" t="s">
        <v>98</v>
      </c>
      <c r="F38" s="11" t="s">
        <v>143</v>
      </c>
      <c r="G38" s="45" t="s">
        <v>200</v>
      </c>
      <c r="H38" s="46"/>
      <c r="I38" s="11" t="b">
        <v>1</v>
      </c>
      <c r="J38" s="47" t="str">
        <f t="shared" si="3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IFERROR(__xludf.DUMMYFUNCTION("""COMPUTED_VALUE"""),"CzPeet")</f>
        <v>CzPeet</v>
      </c>
      <c r="R38" s="49">
        <f>IFERROR(__xludf.DUMMYFUNCTION("""COMPUTED_VALUE"""),6726.0)</f>
        <v>6726</v>
      </c>
      <c r="S38" s="49"/>
    </row>
    <row r="39">
      <c r="A39" s="43">
        <v>5.0</v>
      </c>
      <c r="B39" s="43">
        <v>6.0</v>
      </c>
      <c r="C39" s="43">
        <v>-34.4902486370717</v>
      </c>
      <c r="D39" s="43">
        <v>150.80419650173</v>
      </c>
      <c r="E39" s="43" t="s">
        <v>98</v>
      </c>
      <c r="F39" s="44" t="s">
        <v>108</v>
      </c>
      <c r="G39" s="45" t="s">
        <v>201</v>
      </c>
      <c r="H39" s="46"/>
      <c r="I39" s="11" t="b">
        <v>1</v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IFERROR(__xludf.DUMMYFUNCTION("""COMPUTED_VALUE"""),"Bungle")</f>
        <v>Bungle</v>
      </c>
      <c r="R39" s="49">
        <f>IFERROR(__xludf.DUMMYFUNCTION("""COMPUTED_VALUE"""),10439.0)</f>
        <v>10439</v>
      </c>
      <c r="S39" s="51">
        <v>44256.72675578704</v>
      </c>
    </row>
    <row r="40">
      <c r="A40" s="43">
        <v>5.0</v>
      </c>
      <c r="B40" s="43">
        <v>7.0</v>
      </c>
      <c r="C40" s="43">
        <v>-34.4902486369478</v>
      </c>
      <c r="D40" s="43">
        <v>150.804370884779</v>
      </c>
      <c r="E40" s="43" t="s">
        <v>98</v>
      </c>
      <c r="F40" s="44" t="s">
        <v>118</v>
      </c>
      <c r="G40" s="45" t="s">
        <v>202</v>
      </c>
      <c r="H40" s="44" t="s">
        <v>203</v>
      </c>
      <c r="I40" s="11" t="b">
        <v>1</v>
      </c>
      <c r="J40" s="47" t="str">
        <f t="shared" ref="J40:J57" si="4">if(I40=true,"",S40)</f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IFERROR(__xludf.DUMMYFUNCTION("""COMPUTED_VALUE"""),"rita85gto")</f>
        <v>rita85gto</v>
      </c>
      <c r="R40" s="49">
        <f>IFERROR(__xludf.DUMMYFUNCTION("""COMPUTED_VALUE"""),5091.0)</f>
        <v>5091</v>
      </c>
      <c r="S40" s="49"/>
    </row>
    <row r="41">
      <c r="A41" s="55">
        <v>5.0</v>
      </c>
      <c r="B41" s="55">
        <v>8.0</v>
      </c>
      <c r="C41" s="55">
        <v>-34.490248636824</v>
      </c>
      <c r="D41" s="55">
        <v>150.804545267827</v>
      </c>
      <c r="E41" s="55" t="s">
        <v>98</v>
      </c>
      <c r="F41" s="46"/>
      <c r="G41" s="46"/>
      <c r="H41" s="46"/>
      <c r="I41" s="47" t="b">
        <v>0</v>
      </c>
      <c r="J41" s="47" t="str">
        <f t="shared" si="4"/>
        <v/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2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49"/>
    </row>
    <row r="42">
      <c r="A42" s="43">
        <v>6.0</v>
      </c>
      <c r="B42" s="43">
        <v>1.0</v>
      </c>
      <c r="C42" s="43">
        <v>-34.4903923681364</v>
      </c>
      <c r="D42" s="43">
        <v>150.803324594299</v>
      </c>
      <c r="E42" s="43" t="s">
        <v>98</v>
      </c>
      <c r="F42" s="44" t="s">
        <v>149</v>
      </c>
      <c r="G42" s="45" t="s">
        <v>204</v>
      </c>
      <c r="H42" s="63"/>
      <c r="I42" s="11" t="b">
        <v>1</v>
      </c>
      <c r="J42" s="47" t="str">
        <f t="shared" si="4"/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IFERROR(__xludf.DUMMYFUNCTION("""COMPUTED_VALUE"""),5195.0)</f>
        <v>5195</v>
      </c>
      <c r="S42" s="49"/>
    </row>
    <row r="43">
      <c r="A43" s="55">
        <v>6.0</v>
      </c>
      <c r="B43" s="55">
        <v>2.0</v>
      </c>
      <c r="C43" s="55">
        <v>-34.4903923680126</v>
      </c>
      <c r="D43" s="55">
        <v>150.803498977648</v>
      </c>
      <c r="E43" s="55" t="s">
        <v>98</v>
      </c>
      <c r="F43" s="46"/>
      <c r="G43" s="46"/>
      <c r="H43" s="46"/>
      <c r="I43" s="47" t="b">
        <v>0</v>
      </c>
      <c r="J43" s="47" t="str">
        <f t="shared" si="4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2"/>
        <v>0</v>
      </c>
      <c r="N43" s="49" t="str">
        <f>IFERROR(__xludf.DUMMYFUNCTION("split(G43,""/"")"),"#VALUE!")</f>
        <v>#VALUE!</v>
      </c>
      <c r="O43" s="50"/>
      <c r="P43" s="49"/>
      <c r="Q43" s="49"/>
      <c r="R43" s="49"/>
      <c r="S43" s="49"/>
    </row>
    <row r="44">
      <c r="A44" s="55">
        <v>6.0</v>
      </c>
      <c r="B44" s="55">
        <v>3.0</v>
      </c>
      <c r="C44" s="55">
        <v>-34.4903923678887</v>
      </c>
      <c r="D44" s="55">
        <v>150.803673360997</v>
      </c>
      <c r="E44" s="55" t="s">
        <v>103</v>
      </c>
      <c r="F44" s="46"/>
      <c r="G44" s="46"/>
      <c r="H44" s="46"/>
      <c r="I44" s="47" t="b">
        <v>0</v>
      </c>
      <c r="J44" s="47" t="str">
        <f t="shared" si="4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2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55">
        <v>-34.4903923677649</v>
      </c>
      <c r="D45" s="55">
        <v>150.803847744346</v>
      </c>
      <c r="E45" s="55" t="s">
        <v>98</v>
      </c>
      <c r="F45" s="46"/>
      <c r="G45" s="46"/>
      <c r="H45" s="46"/>
      <c r="I45" s="47" t="b">
        <v>0</v>
      </c>
      <c r="J45" s="47" t="str">
        <f t="shared" si="4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2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55">
        <v>-34.490392367641</v>
      </c>
      <c r="D46" s="55">
        <v>150.804022127696</v>
      </c>
      <c r="E46" s="55" t="s">
        <v>98</v>
      </c>
      <c r="F46" s="44"/>
      <c r="G46" s="46"/>
      <c r="H46" s="46"/>
      <c r="I46" s="47" t="b">
        <v>0</v>
      </c>
      <c r="J46" s="47" t="str">
        <f t="shared" si="4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2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55">
        <v>-34.4903923675171</v>
      </c>
      <c r="D47" s="55">
        <v>150.804196511045</v>
      </c>
      <c r="E47" s="55" t="s">
        <v>103</v>
      </c>
      <c r="F47" s="46"/>
      <c r="G47" s="46"/>
      <c r="H47" s="46"/>
      <c r="I47" s="11" t="b">
        <v>0</v>
      </c>
      <c r="J47" s="47" t="str">
        <f t="shared" si="4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2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-34.4903923673933</v>
      </c>
      <c r="D48" s="43">
        <v>150.804370894394</v>
      </c>
      <c r="E48" s="43" t="s">
        <v>98</v>
      </c>
      <c r="F48" s="44" t="s">
        <v>145</v>
      </c>
      <c r="G48" s="45" t="s">
        <v>205</v>
      </c>
      <c r="H48" s="46"/>
      <c r="I48" s="11" t="b">
        <v>1</v>
      </c>
      <c r="J48" s="47" t="str">
        <f t="shared" si="4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IFERROR(__xludf.DUMMYFUNCTION("""COMPUTED_VALUE"""),5201.0)</f>
        <v>5201</v>
      </c>
      <c r="S48" s="51">
        <v>44255.62925815972</v>
      </c>
    </row>
    <row r="49">
      <c r="A49" s="43">
        <v>6.0</v>
      </c>
      <c r="B49" s="43">
        <v>8.0</v>
      </c>
      <c r="C49" s="43">
        <v>-34.4903923672694</v>
      </c>
      <c r="D49" s="43">
        <v>150.804545277743</v>
      </c>
      <c r="E49" s="43" t="s">
        <v>98</v>
      </c>
      <c r="F49" s="44" t="s">
        <v>147</v>
      </c>
      <c r="G49" s="52" t="s">
        <v>206</v>
      </c>
      <c r="H49" s="46"/>
      <c r="I49" s="11" t="b">
        <v>1</v>
      </c>
      <c r="J49" s="47" t="str">
        <f t="shared" si="4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IFERROR(__xludf.DUMMYFUNCTION("""COMPUTED_VALUE"""),9358.0)</f>
        <v>9358</v>
      </c>
      <c r="S49" s="51">
        <v>44255.62941155092</v>
      </c>
    </row>
    <row r="50">
      <c r="A50" s="43">
        <v>7.0</v>
      </c>
      <c r="B50" s="43">
        <v>2.0</v>
      </c>
      <c r="C50" s="43">
        <v>-34.490536098458</v>
      </c>
      <c r="D50" s="43">
        <v>150.803498985764</v>
      </c>
      <c r="E50" s="43" t="s">
        <v>103</v>
      </c>
      <c r="F50" s="44" t="s">
        <v>207</v>
      </c>
      <c r="G50" s="45" t="s">
        <v>208</v>
      </c>
      <c r="H50" s="44"/>
      <c r="I50" s="11" t="b">
        <v>1</v>
      </c>
      <c r="J50" s="47" t="str">
        <f t="shared" si="4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IFERROR(__xludf.DUMMYFUNCTION("""COMPUTED_VALUE"""),"5Star")</f>
        <v>5Star</v>
      </c>
      <c r="R50" s="49">
        <f>IFERROR(__xludf.DUMMYFUNCTION("""COMPUTED_VALUE"""),6589.0)</f>
        <v>6589</v>
      </c>
      <c r="S50" s="51">
        <v>44255.629934780096</v>
      </c>
    </row>
    <row r="51">
      <c r="A51" s="43">
        <v>7.0</v>
      </c>
      <c r="B51" s="43">
        <v>3.0</v>
      </c>
      <c r="C51" s="43">
        <v>-34.4905360983341</v>
      </c>
      <c r="D51" s="43">
        <v>150.803673369413</v>
      </c>
      <c r="E51" s="43" t="s">
        <v>98</v>
      </c>
      <c r="F51" s="44" t="s">
        <v>153</v>
      </c>
      <c r="G51" s="45" t="s">
        <v>209</v>
      </c>
      <c r="H51" s="46"/>
      <c r="I51" s="11" t="b">
        <v>1</v>
      </c>
      <c r="J51" s="47" t="str">
        <f t="shared" si="4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IFERROR(__xludf.DUMMYFUNCTION("""COMPUTED_VALUE"""),"mortonfox")</f>
        <v>mortonfox</v>
      </c>
      <c r="R51" s="49">
        <f>IFERROR(__xludf.DUMMYFUNCTION("""COMPUTED_VALUE"""),22765.0)</f>
        <v>22765</v>
      </c>
      <c r="S51" s="49"/>
    </row>
    <row r="52">
      <c r="A52" s="55">
        <v>7.0</v>
      </c>
      <c r="B52" s="55">
        <v>4.0</v>
      </c>
      <c r="C52" s="55">
        <v>-34.4905360982103</v>
      </c>
      <c r="D52" s="55">
        <v>150.803847753063</v>
      </c>
      <c r="E52" s="55" t="s">
        <v>98</v>
      </c>
      <c r="F52" s="44"/>
      <c r="G52" s="46"/>
      <c r="H52" s="46"/>
      <c r="I52" s="47" t="b">
        <v>0</v>
      </c>
      <c r="J52" s="47" t="str">
        <f t="shared" si="4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2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55">
        <v>-34.4905360980864</v>
      </c>
      <c r="D53" s="55">
        <v>150.804022136713</v>
      </c>
      <c r="E53" s="55" t="s">
        <v>98</v>
      </c>
      <c r="F53" s="46"/>
      <c r="G53" s="46"/>
      <c r="H53" s="46"/>
      <c r="I53" s="11" t="b">
        <v>0</v>
      </c>
      <c r="J53" s="47" t="str">
        <f t="shared" si="4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2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55">
        <v>-34.4905360979626</v>
      </c>
      <c r="D54" s="55">
        <v>150.804196520363</v>
      </c>
      <c r="E54" s="55" t="s">
        <v>98</v>
      </c>
      <c r="F54" s="46"/>
      <c r="G54" s="46"/>
      <c r="H54" s="46"/>
      <c r="I54" s="47" t="b">
        <v>0</v>
      </c>
      <c r="J54" s="47" t="str">
        <f t="shared" si="4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2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-34.4905360978387</v>
      </c>
      <c r="D55" s="43">
        <v>150.804370904013</v>
      </c>
      <c r="E55" s="43" t="s">
        <v>98</v>
      </c>
      <c r="F55" s="44" t="s">
        <v>134</v>
      </c>
      <c r="G55" s="45" t="s">
        <v>210</v>
      </c>
      <c r="H55" s="46"/>
      <c r="I55" s="11" t="b">
        <v>1</v>
      </c>
      <c r="J55" s="47" t="str">
        <f t="shared" si="4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IFERROR(__xludf.DUMMYFUNCTION("""COMPUTED_VALUE"""),"WangoTango")</f>
        <v>WangoTango</v>
      </c>
      <c r="R55" s="49">
        <f>IFERROR(__xludf.DUMMYFUNCTION("""COMPUTED_VALUE"""),2129.0)</f>
        <v>2129</v>
      </c>
      <c r="S55" s="49"/>
    </row>
    <row r="56">
      <c r="A56" s="43">
        <v>8.0</v>
      </c>
      <c r="B56" s="43">
        <v>3.0</v>
      </c>
      <c r="C56" s="43">
        <v>-34.4906798287796</v>
      </c>
      <c r="D56" s="43">
        <v>150.803673377827</v>
      </c>
      <c r="E56" s="43" t="s">
        <v>98</v>
      </c>
      <c r="F56" s="44" t="s">
        <v>182</v>
      </c>
      <c r="G56" s="45" t="s">
        <v>211</v>
      </c>
      <c r="H56" s="46"/>
      <c r="I56" s="11" t="b">
        <v>1</v>
      </c>
      <c r="J56" s="47" t="str">
        <f t="shared" si="4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IFERROR(__xludf.DUMMYFUNCTION("""COMPUTED_VALUE"""),"TheFatCats")</f>
        <v>TheFatCats</v>
      </c>
      <c r="R56" s="49">
        <f>IFERROR(__xludf.DUMMYFUNCTION("""COMPUTED_VALUE"""),4853.0)</f>
        <v>4853</v>
      </c>
      <c r="S56" s="49"/>
    </row>
    <row r="57">
      <c r="A57" s="55">
        <v>8.0</v>
      </c>
      <c r="B57" s="55">
        <v>4.0</v>
      </c>
      <c r="C57" s="55">
        <v>-34.4906798286558</v>
      </c>
      <c r="D57" s="55">
        <v>150.803847761777</v>
      </c>
      <c r="E57" s="55" t="s">
        <v>103</v>
      </c>
      <c r="F57" s="46"/>
      <c r="G57" s="46"/>
      <c r="H57" s="46"/>
      <c r="I57" s="47" t="b">
        <v>0</v>
      </c>
      <c r="J57" s="47" t="str">
        <f t="shared" si="4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2"/>
        <v>0</v>
      </c>
      <c r="N57" s="49" t="str">
        <f>IFERROR(__xludf.DUMMYFUNCTION("split(G57,""/"")"),"#VALUE!")</f>
        <v>#VALUE!</v>
      </c>
      <c r="O57" s="50"/>
      <c r="P57" s="49"/>
      <c r="Q57" s="49"/>
      <c r="R57" s="49"/>
      <c r="S57" s="49"/>
    </row>
    <row r="58">
      <c r="A58" s="55">
        <v>8.0</v>
      </c>
      <c r="B58" s="55">
        <v>5.0</v>
      </c>
      <c r="C58" s="55">
        <v>-34.4906798285319</v>
      </c>
      <c r="D58" s="55">
        <v>150.804022145727</v>
      </c>
      <c r="E58" s="55" t="s">
        <v>103</v>
      </c>
      <c r="F58" s="44"/>
      <c r="G58" s="56"/>
      <c r="H58" s="46"/>
      <c r="I58" s="47" t="b">
        <v>0</v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2"/>
        <v>0</v>
      </c>
      <c r="N58" s="49" t="str">
        <f>IFERROR(__xludf.DUMMYFUNCTION("split(G58,""/"")"),"#VALUE!")</f>
        <v>#VALUE!</v>
      </c>
      <c r="O58" s="57"/>
      <c r="P58" s="49"/>
      <c r="Q58" s="49"/>
      <c r="R58" s="49"/>
      <c r="S58" s="51">
        <v>44698.60576548611</v>
      </c>
    </row>
    <row r="59">
      <c r="A59" s="43">
        <v>8.0</v>
      </c>
      <c r="B59" s="43">
        <v>6.0</v>
      </c>
      <c r="C59" s="43">
        <v>-34.490679828408</v>
      </c>
      <c r="D59" s="43">
        <v>150.804196529677</v>
      </c>
      <c r="E59" s="43" t="s">
        <v>98</v>
      </c>
      <c r="F59" s="44" t="s">
        <v>182</v>
      </c>
      <c r="G59" s="45" t="s">
        <v>212</v>
      </c>
      <c r="H59" s="46"/>
      <c r="I59" s="11" t="b">
        <v>1</v>
      </c>
      <c r="J59" s="47" t="str">
        <f>if(I59=true,"",S59)</f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IFERROR(__xludf.DUMMYFUNCTION("""COMPUTED_VALUE"""),"TheFatCats")</f>
        <v>TheFatCats</v>
      </c>
      <c r="R59" s="49">
        <f>IFERROR(__xludf.DUMMYFUNCTION("""COMPUTED_VALUE"""),4886.0)</f>
        <v>4886</v>
      </c>
      <c r="S59" s="49"/>
    </row>
    <row r="61" ht="18.0" hidden="1" customHeight="1">
      <c r="F61" s="47">
        <f t="shared" ref="F61:G61" si="5">COUNTIF(F8:F59,"")</f>
        <v>11</v>
      </c>
      <c r="G61" s="47">
        <f t="shared" si="5"/>
        <v>11</v>
      </c>
      <c r="I61" s="47">
        <f>COUNTIF(I8:I59,TRUE)</f>
        <v>41</v>
      </c>
    </row>
    <row r="62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O41"/>
    <hyperlink r:id="rId70" ref="G42"/>
    <hyperlink r:id="rId71" ref="O42"/>
    <hyperlink r:id="rId72" ref="O43"/>
    <hyperlink r:id="rId73" ref="O44"/>
    <hyperlink r:id="rId74" ref="O45"/>
    <hyperlink r:id="rId75" ref="O46"/>
    <hyperlink r:id="rId76" ref="O47"/>
    <hyperlink r:id="rId77" ref="G48"/>
    <hyperlink r:id="rId78" ref="O48"/>
    <hyperlink r:id="rId79" ref="G49"/>
    <hyperlink r:id="rId80" ref="O49"/>
    <hyperlink r:id="rId81" ref="G50"/>
    <hyperlink r:id="rId82" ref="O50"/>
    <hyperlink r:id="rId83" ref="G51"/>
    <hyperlink r:id="rId84" ref="O51"/>
    <hyperlink r:id="rId85" ref="O52"/>
    <hyperlink r:id="rId86" ref="O53"/>
    <hyperlink r:id="rId87" ref="O54"/>
    <hyperlink r:id="rId88" ref="G55"/>
    <hyperlink r:id="rId89" ref="O55"/>
    <hyperlink r:id="rId90" ref="G56"/>
    <hyperlink r:id="rId91" ref="O56"/>
    <hyperlink r:id="rId92" ref="O57"/>
    <hyperlink r:id="rId93" ref="G59"/>
    <hyperlink r:id="rId94" ref="O59"/>
  </hyperlinks>
  <drawing r:id="rId95"/>
  <tableParts count="1">
    <tablePart r:id="rId97"/>
  </tableParts>
</worksheet>
</file>

<file path=xl/worksheets/sheet3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0"/>
    <col customWidth="1" min="2" max="2" width="7.13"/>
    <col customWidth="1" min="3" max="3" width="14.0"/>
    <col customWidth="1" min="4" max="4" width="15.75"/>
    <col customWidth="1" min="5" max="5" width="17.0"/>
    <col customWidth="1" min="6" max="6" width="12.88"/>
    <col customWidth="1" min="7" max="7" width="40.5"/>
    <col customWidth="1" min="8" max="8" width="18.2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29</v>
      </c>
      <c r="D1" s="37" t="s">
        <v>30</v>
      </c>
      <c r="E1" s="2" t="s">
        <v>79</v>
      </c>
      <c r="F1" s="24" t="s">
        <v>147</v>
      </c>
      <c r="G1" s="147" t="s">
        <v>1488</v>
      </c>
      <c r="H1" s="2"/>
      <c r="I1" s="2"/>
      <c r="J1" s="100"/>
      <c r="K1" s="5"/>
      <c r="L1" s="5"/>
      <c r="M1" s="5"/>
      <c r="N1" s="5"/>
      <c r="O1" s="5"/>
      <c r="P1" s="5"/>
      <c r="Q1" s="5"/>
      <c r="R1" s="5"/>
      <c r="S1" s="75">
        <v>44036.4551390625</v>
      </c>
    </row>
    <row r="2">
      <c r="A2" s="2"/>
      <c r="B2" s="2"/>
      <c r="C2" s="2"/>
      <c r="D2" s="2"/>
      <c r="E2" s="2" t="s">
        <v>82</v>
      </c>
      <c r="F2" s="2"/>
      <c r="G2" s="4" t="s">
        <v>1489</v>
      </c>
      <c r="H2" s="2"/>
      <c r="I2" s="97" t="s">
        <v>769</v>
      </c>
      <c r="J2" s="100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J3" s="100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100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102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  <c r="J6" s="83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03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52.0214442291334</v>
      </c>
      <c r="D8" s="43">
        <v>4.66460130922837</v>
      </c>
      <c r="E8" s="43" t="s">
        <v>98</v>
      </c>
      <c r="F8" s="44" t="s">
        <v>942</v>
      </c>
      <c r="G8" s="45" t="s">
        <v>1490</v>
      </c>
      <c r="H8" s="46"/>
      <c r="I8" s="11" t="b">
        <v>1</v>
      </c>
      <c r="J8" s="83" t="str">
        <f t="shared" ref="J8:J9" si="1">if(I8=true,"",S8)</f>
        <v/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45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IFERROR(__xludf.DUMMYFUNCTION("""COMPUTED_VALUE"""),"hoekraam")</f>
        <v>hoekraam</v>
      </c>
      <c r="R8" s="49">
        <f>IFERROR(__xludf.DUMMYFUNCTION("""COMPUTED_VALUE"""),9011.0)</f>
        <v>9011</v>
      </c>
      <c r="S8" s="51"/>
    </row>
    <row r="9">
      <c r="A9" s="43">
        <v>1.0</v>
      </c>
      <c r="B9" s="43">
        <v>4.0</v>
      </c>
      <c r="C9" s="43">
        <v>52.0214442289024</v>
      </c>
      <c r="D9" s="43">
        <v>4.66483487807738</v>
      </c>
      <c r="E9" s="43" t="s">
        <v>98</v>
      </c>
      <c r="F9" s="44" t="s">
        <v>1491</v>
      </c>
      <c r="G9" s="45" t="s">
        <v>1492</v>
      </c>
      <c r="H9" s="46"/>
      <c r="I9" s="11" t="b">
        <v>1</v>
      </c>
      <c r="J9" s="83" t="str">
        <f t="shared" si="1"/>
        <v/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IFERROR(__xludf.DUMMYFUNCTION("""COMPUTED_VALUE"""),"Bambinacattiva")</f>
        <v>Bambinacattiva</v>
      </c>
      <c r="R9" s="49">
        <f>IFERROR(__xludf.DUMMYFUNCTION("""COMPUTED_VALUE"""),663.0)</f>
        <v>663</v>
      </c>
      <c r="S9" s="49"/>
    </row>
    <row r="10">
      <c r="A10" s="43">
        <v>1.0</v>
      </c>
      <c r="B10" s="43">
        <v>5.0</v>
      </c>
      <c r="C10" s="43">
        <v>52.0214442286715</v>
      </c>
      <c r="D10" s="43">
        <v>4.66506844692639</v>
      </c>
      <c r="E10" s="43" t="s">
        <v>103</v>
      </c>
      <c r="F10" s="44" t="s">
        <v>950</v>
      </c>
      <c r="G10" s="45" t="s">
        <v>1493</v>
      </c>
      <c r="H10" s="114"/>
      <c r="I10" s="11" t="b">
        <v>1</v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IFERROR(__xludf.DUMMYFUNCTION("""COMPUTED_VALUE"""),"babyw")</f>
        <v>babyw</v>
      </c>
      <c r="R10" s="49">
        <f>IFERROR(__xludf.DUMMYFUNCTION("""COMPUTED_VALUE"""),3051.0)</f>
        <v>3051</v>
      </c>
      <c r="S10" s="49"/>
    </row>
    <row r="11">
      <c r="A11" s="43">
        <v>1.0</v>
      </c>
      <c r="B11" s="43">
        <v>6.0</v>
      </c>
      <c r="C11" s="43">
        <v>52.0214442284406</v>
      </c>
      <c r="D11" s="43">
        <v>4.66530201577529</v>
      </c>
      <c r="E11" s="43" t="s">
        <v>103</v>
      </c>
      <c r="F11" s="44" t="s">
        <v>926</v>
      </c>
      <c r="G11" s="65" t="s">
        <v>1494</v>
      </c>
      <c r="H11" s="118">
        <v>44046.0</v>
      </c>
      <c r="I11" s="11" t="b">
        <v>1</v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IFERROR(__xludf.DUMMYFUNCTION("""COMPUTED_VALUE"""),"Lanyasummer")</f>
        <v>Lanyasummer</v>
      </c>
      <c r="R11" s="49">
        <f>IFERROR(__xludf.DUMMYFUNCTION("""COMPUTED_VALUE"""),4367.0)</f>
        <v>4367</v>
      </c>
      <c r="S11" s="49"/>
    </row>
    <row r="12">
      <c r="A12" s="43">
        <v>2.0</v>
      </c>
      <c r="B12" s="43">
        <v>2.0</v>
      </c>
      <c r="C12" s="43">
        <v>52.0213004989191</v>
      </c>
      <c r="D12" s="43">
        <v>4.66436772011422</v>
      </c>
      <c r="E12" s="43" t="s">
        <v>98</v>
      </c>
      <c r="F12" s="44" t="s">
        <v>101</v>
      </c>
      <c r="G12" s="52" t="s">
        <v>1495</v>
      </c>
      <c r="H12" s="44"/>
      <c r="I12" s="11" t="b">
        <v>1</v>
      </c>
      <c r="J12" s="83" t="str">
        <f t="shared" ref="J12:J44" si="3">if(I12=true,"",S12)</f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IFERROR(__xludf.DUMMYFUNCTION("""COMPUTED_VALUE"""),"sverlaan")</f>
        <v>sverlaan</v>
      </c>
      <c r="R12" s="49">
        <f>IFERROR(__xludf.DUMMYFUNCTION("""COMPUTED_VALUE"""),4185.0)</f>
        <v>4185</v>
      </c>
      <c r="S12" s="51">
        <v>44036.45493939814</v>
      </c>
    </row>
    <row r="13">
      <c r="A13" s="43">
        <v>2.0</v>
      </c>
      <c r="B13" s="43">
        <v>3.0</v>
      </c>
      <c r="C13" s="43">
        <v>52.0213004986882</v>
      </c>
      <c r="D13" s="43">
        <v>4.66460128821268</v>
      </c>
      <c r="E13" s="43" t="s">
        <v>98</v>
      </c>
      <c r="F13" s="44" t="s">
        <v>104</v>
      </c>
      <c r="G13" s="45" t="s">
        <v>1496</v>
      </c>
      <c r="H13" s="46"/>
      <c r="I13" s="11" t="b">
        <v>1</v>
      </c>
      <c r="J13" s="83" t="str">
        <f t="shared" si="3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IFERROR(__xludf.DUMMYFUNCTION("""COMPUTED_VALUE"""),"PawPatrolThomas")</f>
        <v>PawPatrolThomas</v>
      </c>
      <c r="R13" s="49">
        <f>IFERROR(__xludf.DUMMYFUNCTION("""COMPUTED_VALUE"""),2271.0)</f>
        <v>2271</v>
      </c>
      <c r="S13" s="51">
        <v>44036.45500177083</v>
      </c>
    </row>
    <row r="14">
      <c r="A14" s="43">
        <v>2.0</v>
      </c>
      <c r="B14" s="43">
        <v>4.0</v>
      </c>
      <c r="C14" s="43">
        <v>52.0213004984573</v>
      </c>
      <c r="D14" s="43">
        <v>4.66483485631113</v>
      </c>
      <c r="E14" s="43" t="s">
        <v>98</v>
      </c>
      <c r="F14" s="44" t="s">
        <v>106</v>
      </c>
      <c r="G14" s="52" t="s">
        <v>1497</v>
      </c>
      <c r="H14" s="46"/>
      <c r="I14" s="11" t="b">
        <v>1</v>
      </c>
      <c r="J14" s="83" t="str">
        <f t="shared" si="3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IFERROR(__xludf.DUMMYFUNCTION("""COMPUTED_VALUE"""),"EmileP68")</f>
        <v>EmileP68</v>
      </c>
      <c r="R14" s="49">
        <f>IFERROR(__xludf.DUMMYFUNCTION("""COMPUTED_VALUE"""),2964.0)</f>
        <v>2964</v>
      </c>
      <c r="S14" s="51">
        <v>44036.4550736574</v>
      </c>
    </row>
    <row r="15">
      <c r="A15" s="43">
        <v>2.0</v>
      </c>
      <c r="B15" s="43">
        <v>5.0</v>
      </c>
      <c r="C15" s="43">
        <v>52.0213004982264</v>
      </c>
      <c r="D15" s="43">
        <v>4.66506842440958</v>
      </c>
      <c r="E15" s="43" t="s">
        <v>103</v>
      </c>
      <c r="F15" s="44" t="s">
        <v>1092</v>
      </c>
      <c r="G15" s="45" t="s">
        <v>1498</v>
      </c>
      <c r="H15" s="46"/>
      <c r="I15" s="11" t="b">
        <v>1</v>
      </c>
      <c r="J15" s="83" t="str">
        <f t="shared" si="3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IFERROR(__xludf.DUMMYFUNCTION("""COMPUTED_VALUE"""),"belladivadee")</f>
        <v>belladivadee</v>
      </c>
      <c r="R15" s="49">
        <f>IFERROR(__xludf.DUMMYFUNCTION("""COMPUTED_VALUE"""),3025.0)</f>
        <v>3025</v>
      </c>
      <c r="S15" s="49"/>
    </row>
    <row r="16">
      <c r="A16" s="43">
        <v>2.0</v>
      </c>
      <c r="B16" s="43">
        <v>6.0</v>
      </c>
      <c r="C16" s="43">
        <v>52.0213004979955</v>
      </c>
      <c r="D16" s="43">
        <v>4.66530199250803</v>
      </c>
      <c r="E16" s="43" t="s">
        <v>98</v>
      </c>
      <c r="F16" s="44" t="s">
        <v>942</v>
      </c>
      <c r="G16" s="45" t="s">
        <v>1499</v>
      </c>
      <c r="H16" s="46"/>
      <c r="I16" s="11" t="b">
        <v>1</v>
      </c>
      <c r="J16" s="83" t="str">
        <f t="shared" si="3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IFERROR(__xludf.DUMMYFUNCTION("""COMPUTED_VALUE"""),"hoekraam")</f>
        <v>hoekraam</v>
      </c>
      <c r="R16" s="49">
        <f>IFERROR(__xludf.DUMMYFUNCTION("""COMPUTED_VALUE"""),8962.0)</f>
        <v>8962</v>
      </c>
      <c r="S16" s="49"/>
    </row>
    <row r="17">
      <c r="A17" s="43">
        <v>2.0</v>
      </c>
      <c r="B17" s="43">
        <v>7.0</v>
      </c>
      <c r="C17" s="43">
        <v>52.0213004977645</v>
      </c>
      <c r="D17" s="43">
        <v>4.66553556060648</v>
      </c>
      <c r="E17" s="43" t="s">
        <v>98</v>
      </c>
      <c r="F17" s="44" t="s">
        <v>178</v>
      </c>
      <c r="G17" s="45" t="s">
        <v>1500</v>
      </c>
      <c r="H17" s="46"/>
      <c r="I17" s="11" t="b">
        <v>1</v>
      </c>
      <c r="J17" s="83" t="str">
        <f t="shared" si="3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IFERROR(__xludf.DUMMYFUNCTION("""COMPUTED_VALUE"""),"lison55")</f>
        <v>lison55</v>
      </c>
      <c r="R17" s="49">
        <f>IFERROR(__xludf.DUMMYFUNCTION("""COMPUTED_VALUE"""),5298.0)</f>
        <v>5298</v>
      </c>
      <c r="S17" s="49"/>
    </row>
    <row r="18">
      <c r="A18" s="43">
        <v>3.0</v>
      </c>
      <c r="B18" s="43">
        <v>1.0</v>
      </c>
      <c r="C18" s="43">
        <v>52.0211567687046</v>
      </c>
      <c r="D18" s="43">
        <v>4.66413413250415</v>
      </c>
      <c r="E18" s="43" t="s">
        <v>98</v>
      </c>
      <c r="F18" s="44" t="s">
        <v>1122</v>
      </c>
      <c r="G18" s="45" t="s">
        <v>1501</v>
      </c>
      <c r="H18" s="46"/>
      <c r="I18" s="11" t="b">
        <v>1</v>
      </c>
      <c r="J18" s="83" t="str">
        <f t="shared" si="3"/>
        <v/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IFERROR(__xludf.DUMMYFUNCTION("""COMPUTED_VALUE"""),"Drazoria")</f>
        <v>Drazoria</v>
      </c>
      <c r="R18" s="49">
        <f>IFERROR(__xludf.DUMMYFUNCTION("""COMPUTED_VALUE"""),742.0)</f>
        <v>742</v>
      </c>
      <c r="S18" s="51">
        <v>44036.46401300926</v>
      </c>
    </row>
    <row r="19">
      <c r="A19" s="43">
        <v>3.0</v>
      </c>
      <c r="B19" s="43">
        <v>2.0</v>
      </c>
      <c r="C19" s="43">
        <v>52.0211567684737</v>
      </c>
      <c r="D19" s="43">
        <v>4.66436769985205</v>
      </c>
      <c r="E19" s="43" t="s">
        <v>98</v>
      </c>
      <c r="F19" s="44" t="s">
        <v>1124</v>
      </c>
      <c r="G19" s="45" t="s">
        <v>1502</v>
      </c>
      <c r="H19" s="46"/>
      <c r="I19" s="11" t="b">
        <v>1</v>
      </c>
      <c r="J19" s="83" t="str">
        <f t="shared" si="3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IFERROR(__xludf.DUMMYFUNCTION("""COMPUTED_VALUE"""),"Tinake1309")</f>
        <v>Tinake1309</v>
      </c>
      <c r="R19" s="49">
        <f>IFERROR(__xludf.DUMMYFUNCTION("""COMPUTED_VALUE"""),729.0)</f>
        <v>729</v>
      </c>
      <c r="S19" s="51">
        <v>44036.46410952546</v>
      </c>
    </row>
    <row r="20">
      <c r="A20" s="43">
        <v>3.0</v>
      </c>
      <c r="B20" s="43">
        <v>3.0</v>
      </c>
      <c r="C20" s="43">
        <v>52.0211567682428</v>
      </c>
      <c r="D20" s="43">
        <v>4.66460126719994</v>
      </c>
      <c r="E20" s="43" t="s">
        <v>98</v>
      </c>
      <c r="F20" s="44" t="s">
        <v>1128</v>
      </c>
      <c r="G20" s="45" t="s">
        <v>1503</v>
      </c>
      <c r="H20" s="46"/>
      <c r="I20" s="11" t="b">
        <v>1</v>
      </c>
      <c r="J20" s="83" t="str">
        <f t="shared" si="3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IFERROR(__xludf.DUMMYFUNCTION("""COMPUTED_VALUE"""),"Berg14")</f>
        <v>Berg14</v>
      </c>
      <c r="R20" s="49">
        <f>IFERROR(__xludf.DUMMYFUNCTION("""COMPUTED_VALUE"""),566.0)</f>
        <v>566</v>
      </c>
      <c r="S20" s="51">
        <v>44036.46414335648</v>
      </c>
    </row>
    <row r="21">
      <c r="A21" s="43">
        <v>3.0</v>
      </c>
      <c r="B21" s="43">
        <v>4.0</v>
      </c>
      <c r="C21" s="43">
        <v>52.0211567680119</v>
      </c>
      <c r="D21" s="43">
        <v>4.66483483454783</v>
      </c>
      <c r="E21" s="43" t="s">
        <v>98</v>
      </c>
      <c r="F21" s="44" t="s">
        <v>1126</v>
      </c>
      <c r="G21" s="65" t="s">
        <v>1504</v>
      </c>
      <c r="H21" s="46"/>
      <c r="I21" s="11" t="b">
        <v>1</v>
      </c>
      <c r="J21" s="83" t="str">
        <f t="shared" si="3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IFERROR(__xludf.DUMMYFUNCTION("""COMPUTED_VALUE"""),"Niks13")</f>
        <v>Niks13</v>
      </c>
      <c r="R21" s="49">
        <f>IFERROR(__xludf.DUMMYFUNCTION("""COMPUTED_VALUE"""),544.0)</f>
        <v>544</v>
      </c>
      <c r="S21" s="51">
        <v>44036.464186412035</v>
      </c>
    </row>
    <row r="22">
      <c r="A22" s="43">
        <v>3.0</v>
      </c>
      <c r="B22" s="43">
        <v>5.0</v>
      </c>
      <c r="C22" s="43">
        <v>52.0211567677809</v>
      </c>
      <c r="D22" s="43">
        <v>4.66506840189572</v>
      </c>
      <c r="E22" s="43" t="s">
        <v>98</v>
      </c>
      <c r="F22" s="44" t="s">
        <v>80</v>
      </c>
      <c r="G22" s="45" t="s">
        <v>1505</v>
      </c>
      <c r="H22" s="46"/>
      <c r="I22" s="11" t="b">
        <v>1</v>
      </c>
      <c r="J22" s="83" t="str">
        <f t="shared" si="3"/>
        <v/>
      </c>
      <c r="K22" s="49" t="str">
        <f>IFERROR(__xludf.DUMMYFUNCTION("IF(M22=1,IFERROR(IMPORTXML(G22, ""//p[@class='status-date']""),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IFERROR(__xludf.DUMMYFUNCTION("""COMPUTED_VALUE"""),"Derlame")</f>
        <v>Derlame</v>
      </c>
      <c r="R22" s="49">
        <f>IFERROR(__xludf.DUMMYFUNCTION("""COMPUTED_VALUE"""),12250.0)</f>
        <v>12250</v>
      </c>
      <c r="S22" s="49"/>
    </row>
    <row r="23">
      <c r="A23" s="43">
        <v>3.0</v>
      </c>
      <c r="B23" s="43">
        <v>6.0</v>
      </c>
      <c r="C23" s="43">
        <v>52.02115676755</v>
      </c>
      <c r="D23" s="43">
        <v>4.66530196924361</v>
      </c>
      <c r="E23" s="43" t="s">
        <v>98</v>
      </c>
      <c r="F23" s="44" t="s">
        <v>157</v>
      </c>
      <c r="G23" s="45" t="s">
        <v>1506</v>
      </c>
      <c r="H23" s="46"/>
      <c r="I23" s="11" t="b">
        <v>1</v>
      </c>
      <c r="J23" s="83" t="str">
        <f t="shared" si="3"/>
        <v/>
      </c>
      <c r="K23" s="49" t="str">
        <f>IFERROR(__xludf.DUMMYFUNCTION("IF(M23=1,IFERROR(IMPORTXML(G23, ""//p[@class='status-date']""),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IFERROR(__xludf.DUMMYFUNCTION("""COMPUTED_VALUE"""),"barefootguru")</f>
        <v>barefootguru</v>
      </c>
      <c r="R23" s="49">
        <f>IFERROR(__xludf.DUMMYFUNCTION("""COMPUTED_VALUE"""),3130.0)</f>
        <v>3130</v>
      </c>
      <c r="S23" s="49"/>
    </row>
    <row r="24">
      <c r="A24" s="43">
        <v>3.0</v>
      </c>
      <c r="B24" s="43">
        <v>7.0</v>
      </c>
      <c r="C24" s="43">
        <v>52.0211567673191</v>
      </c>
      <c r="D24" s="43">
        <v>4.6655355365915</v>
      </c>
      <c r="E24" s="43" t="s">
        <v>98</v>
      </c>
      <c r="F24" s="44" t="s">
        <v>885</v>
      </c>
      <c r="G24" s="45" t="s">
        <v>1507</v>
      </c>
      <c r="H24" s="46"/>
      <c r="I24" s="11" t="b">
        <v>1</v>
      </c>
      <c r="J24" s="83" t="str">
        <f t="shared" si="3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IFERROR(__xludf.DUMMYFUNCTION("""COMPUTED_VALUE"""),"JackSparrow")</f>
        <v>JackSparrow</v>
      </c>
      <c r="R24" s="49">
        <f>IFERROR(__xludf.DUMMYFUNCTION("""COMPUTED_VALUE"""),19712.0)</f>
        <v>19712</v>
      </c>
      <c r="S24" s="49"/>
    </row>
    <row r="25">
      <c r="A25" s="43">
        <v>3.0</v>
      </c>
      <c r="B25" s="43">
        <v>8.0</v>
      </c>
      <c r="C25" s="43">
        <v>52.0211567670882</v>
      </c>
      <c r="D25" s="43">
        <v>4.66576910393939</v>
      </c>
      <c r="E25" s="43" t="s">
        <v>98</v>
      </c>
      <c r="F25" s="44" t="s">
        <v>190</v>
      </c>
      <c r="G25" s="52" t="s">
        <v>1508</v>
      </c>
      <c r="H25" s="46"/>
      <c r="I25" s="11" t="b">
        <v>1</v>
      </c>
      <c r="J25" s="83" t="str">
        <f t="shared" si="3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IFERROR(__xludf.DUMMYFUNCTION("""COMPUTED_VALUE"""),"GroteSufferd")</f>
        <v>GroteSufferd</v>
      </c>
      <c r="R25" s="49">
        <f>IFERROR(__xludf.DUMMYFUNCTION("""COMPUTED_VALUE"""),322.0)</f>
        <v>322</v>
      </c>
      <c r="S25" s="49"/>
    </row>
    <row r="26">
      <c r="A26" s="43">
        <v>4.0</v>
      </c>
      <c r="B26" s="43">
        <v>1.0</v>
      </c>
      <c r="C26" s="43">
        <v>52.0210130382592</v>
      </c>
      <c r="D26" s="43">
        <v>4.66413411298958</v>
      </c>
      <c r="E26" s="43" t="s">
        <v>98</v>
      </c>
      <c r="F26" s="44" t="s">
        <v>116</v>
      </c>
      <c r="G26" s="45" t="s">
        <v>1509</v>
      </c>
      <c r="H26" s="46"/>
      <c r="I26" s="11" t="b">
        <v>1</v>
      </c>
      <c r="J26" s="83" t="str">
        <f t="shared" si="3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IFERROR(__xludf.DUMMYFUNCTION("""COMPUTED_VALUE"""),"fsafranek")</f>
        <v>fsafranek</v>
      </c>
      <c r="R26" s="49">
        <f>IFERROR(__xludf.DUMMYFUNCTION("""COMPUTED_VALUE"""),4154.0)</f>
        <v>4154</v>
      </c>
      <c r="S26" s="49"/>
    </row>
    <row r="27">
      <c r="A27" s="43">
        <v>4.0</v>
      </c>
      <c r="B27" s="43">
        <v>2.0</v>
      </c>
      <c r="C27" s="43">
        <v>52.0210130380283</v>
      </c>
      <c r="D27" s="43">
        <v>4.66436767958703</v>
      </c>
      <c r="E27" s="43" t="s">
        <v>103</v>
      </c>
      <c r="F27" s="44" t="s">
        <v>920</v>
      </c>
      <c r="G27" s="45" t="s">
        <v>1510</v>
      </c>
      <c r="H27" s="46"/>
      <c r="I27" s="11" t="b">
        <v>1</v>
      </c>
      <c r="J27" s="83" t="str">
        <f t="shared" si="3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IFERROR(__xludf.DUMMYFUNCTION("""COMPUTED_VALUE"""),"FromTheTardis")</f>
        <v>FromTheTardis</v>
      </c>
      <c r="R27" s="49">
        <f>IFERROR(__xludf.DUMMYFUNCTION("""COMPUTED_VALUE"""),1375.0)</f>
        <v>1375</v>
      </c>
      <c r="S27" s="49"/>
    </row>
    <row r="28">
      <c r="A28" s="43">
        <v>4.0</v>
      </c>
      <c r="B28" s="43">
        <v>3.0</v>
      </c>
      <c r="C28" s="43">
        <v>52.0210130377974</v>
      </c>
      <c r="D28" s="43">
        <v>4.66460124618447</v>
      </c>
      <c r="E28" s="43" t="s">
        <v>98</v>
      </c>
      <c r="F28" s="61" t="s">
        <v>114</v>
      </c>
      <c r="G28" s="52" t="s">
        <v>1511</v>
      </c>
      <c r="H28" s="44"/>
      <c r="I28" s="11" t="b">
        <v>1</v>
      </c>
      <c r="J28" s="83" t="str">
        <f t="shared" si="3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IFERROR(__xludf.DUMMYFUNCTION("""COMPUTED_VALUE"""),"J1Huisman")</f>
        <v>J1Huisman</v>
      </c>
      <c r="R28" s="49">
        <f>IFERROR(__xludf.DUMMYFUNCTION("""COMPUTED_VALUE"""),11303.0)</f>
        <v>11303</v>
      </c>
      <c r="S28" s="49"/>
    </row>
    <row r="29">
      <c r="A29" s="43">
        <v>4.0</v>
      </c>
      <c r="B29" s="43">
        <v>4.0</v>
      </c>
      <c r="C29" s="43">
        <v>52.0210130375664</v>
      </c>
      <c r="D29" s="43">
        <v>4.66483481278191</v>
      </c>
      <c r="E29" s="43" t="s">
        <v>98</v>
      </c>
      <c r="F29" s="44" t="s">
        <v>110</v>
      </c>
      <c r="G29" s="52" t="s">
        <v>1512</v>
      </c>
      <c r="H29" s="46"/>
      <c r="I29" s="11" t="b">
        <v>1</v>
      </c>
      <c r="J29" s="83" t="str">
        <f t="shared" si="3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IFERROR(__xludf.DUMMYFUNCTION("""COMPUTED_VALUE"""),"BrotherWilliam")</f>
        <v>BrotherWilliam</v>
      </c>
      <c r="R29" s="49">
        <f>IFERROR(__xludf.DUMMYFUNCTION("""COMPUTED_VALUE"""),3921.0)</f>
        <v>3921</v>
      </c>
      <c r="S29" s="49"/>
    </row>
    <row r="30">
      <c r="A30" s="43">
        <v>4.0</v>
      </c>
      <c r="B30" s="43">
        <v>5.0</v>
      </c>
      <c r="C30" s="43">
        <v>52.0210130373355</v>
      </c>
      <c r="D30" s="43">
        <v>4.66506837937936</v>
      </c>
      <c r="E30" s="43" t="s">
        <v>98</v>
      </c>
      <c r="F30" s="44" t="s">
        <v>112</v>
      </c>
      <c r="G30" s="52" t="s">
        <v>1513</v>
      </c>
      <c r="H30" s="46"/>
      <c r="I30" s="11" t="b">
        <v>1</v>
      </c>
      <c r="J30" s="83" t="str">
        <f t="shared" si="3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IFERROR(__xludf.DUMMYFUNCTION("""COMPUTED_VALUE"""),"ArtofEco")</f>
        <v>ArtofEco</v>
      </c>
      <c r="R30" s="49">
        <f>IFERROR(__xludf.DUMMYFUNCTION("""COMPUTED_VALUE"""),2958.0)</f>
        <v>2958</v>
      </c>
      <c r="S30" s="51">
        <v>44036.55899748842</v>
      </c>
    </row>
    <row r="31">
      <c r="A31" s="43">
        <v>4.0</v>
      </c>
      <c r="B31" s="43">
        <v>6.0</v>
      </c>
      <c r="C31" s="43">
        <v>52.0210130371046</v>
      </c>
      <c r="D31" s="43">
        <v>4.6653019459768</v>
      </c>
      <c r="E31" s="43" t="s">
        <v>103</v>
      </c>
      <c r="F31" s="44" t="s">
        <v>207</v>
      </c>
      <c r="G31" s="45" t="s">
        <v>1514</v>
      </c>
      <c r="H31" s="46"/>
      <c r="I31" s="11" t="b">
        <v>1</v>
      </c>
      <c r="J31" s="83" t="str">
        <f t="shared" si="3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IFERROR(__xludf.DUMMYFUNCTION("""COMPUTED_VALUE"""),"5Star")</f>
        <v>5Star</v>
      </c>
      <c r="R31" s="49">
        <f>IFERROR(__xludf.DUMMYFUNCTION("""COMPUTED_VALUE"""),5741.0)</f>
        <v>5741</v>
      </c>
      <c r="S31" s="51">
        <v>44036.45560287037</v>
      </c>
    </row>
    <row r="32">
      <c r="A32" s="43">
        <v>4.0</v>
      </c>
      <c r="B32" s="43">
        <v>7.0</v>
      </c>
      <c r="C32" s="43">
        <v>52.0210130368737</v>
      </c>
      <c r="D32" s="43">
        <v>4.66553551257425</v>
      </c>
      <c r="E32" s="43" t="s">
        <v>98</v>
      </c>
      <c r="F32" s="44" t="s">
        <v>169</v>
      </c>
      <c r="G32" s="45" t="s">
        <v>1515</v>
      </c>
      <c r="H32" s="44"/>
      <c r="I32" s="11" t="b">
        <v>1</v>
      </c>
      <c r="J32" s="83" t="str">
        <f t="shared" si="3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IFERROR(__xludf.DUMMYFUNCTION("""COMPUTED_VALUE"""),"Pinkeltje")</f>
        <v>Pinkeltje</v>
      </c>
      <c r="R32" s="49">
        <f>IFERROR(__xludf.DUMMYFUNCTION("""COMPUTED_VALUE"""),1215.0)</f>
        <v>1215</v>
      </c>
      <c r="S32" s="49" t="str">
        <f>IFERROR(__xludf.DUMMYFUNCTION("""COMPUTED_VALUE""")," ")</f>
        <v> </v>
      </c>
    </row>
    <row r="33">
      <c r="A33" s="43">
        <v>4.0</v>
      </c>
      <c r="B33" s="43">
        <v>8.0</v>
      </c>
      <c r="C33" s="43">
        <v>52.0210130366428</v>
      </c>
      <c r="D33" s="43">
        <v>4.66576907917169</v>
      </c>
      <c r="E33" s="43" t="s">
        <v>98</v>
      </c>
      <c r="F33" s="44" t="s">
        <v>120</v>
      </c>
      <c r="G33" s="45" t="s">
        <v>1516</v>
      </c>
      <c r="H33" s="46"/>
      <c r="I33" s="11" t="b">
        <v>1</v>
      </c>
      <c r="J33" s="83" t="str">
        <f t="shared" si="3"/>
        <v/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IFERROR(__xludf.DUMMYFUNCTION("""COMPUTED_VALUE"""),"xrayneex")</f>
        <v>xrayneex</v>
      </c>
      <c r="R33" s="49">
        <f>IFERROR(__xludf.DUMMYFUNCTION("""COMPUTED_VALUE"""),1415.0)</f>
        <v>1415</v>
      </c>
      <c r="S33" s="49"/>
    </row>
    <row r="34">
      <c r="A34" s="43">
        <v>5.0</v>
      </c>
      <c r="B34" s="43">
        <v>1.0</v>
      </c>
      <c r="C34" s="43">
        <v>52.0208693078138</v>
      </c>
      <c r="D34" s="43">
        <v>4.66413409347501</v>
      </c>
      <c r="E34" s="43" t="s">
        <v>103</v>
      </c>
      <c r="F34" s="44" t="s">
        <v>1517</v>
      </c>
      <c r="G34" s="45" t="s">
        <v>1518</v>
      </c>
      <c r="H34" s="46"/>
      <c r="I34" s="11" t="b">
        <v>1</v>
      </c>
      <c r="J34" s="83" t="str">
        <f t="shared" si="3"/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IFERROR(__xludf.DUMMYFUNCTION("""COMPUTED_VALUE"""),"ruud-1987")</f>
        <v>ruud-1987</v>
      </c>
      <c r="R34" s="49">
        <f>IFERROR(__xludf.DUMMYFUNCTION("""COMPUTED_VALUE"""),1472.0)</f>
        <v>1472</v>
      </c>
      <c r="S34" s="49"/>
    </row>
    <row r="35">
      <c r="A35" s="43">
        <v>5.0</v>
      </c>
      <c r="B35" s="43">
        <v>2.0</v>
      </c>
      <c r="C35" s="43">
        <v>52.0208693075829</v>
      </c>
      <c r="D35" s="43">
        <v>4.66436765932189</v>
      </c>
      <c r="E35" s="43" t="s">
        <v>98</v>
      </c>
      <c r="F35" s="44" t="s">
        <v>141</v>
      </c>
      <c r="G35" s="52" t="s">
        <v>1519</v>
      </c>
      <c r="H35" s="46"/>
      <c r="I35" s="11" t="b">
        <v>1</v>
      </c>
      <c r="J35" s="83" t="str">
        <f t="shared" si="3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IFERROR(__xludf.DUMMYFUNCTION("""COMPUTED_VALUE"""),2387.0)</f>
        <v>2387</v>
      </c>
      <c r="S35" s="49"/>
    </row>
    <row r="36">
      <c r="A36" s="43">
        <v>5.0</v>
      </c>
      <c r="B36" s="43">
        <v>3.0</v>
      </c>
      <c r="C36" s="43">
        <v>52.0208693073519</v>
      </c>
      <c r="D36" s="43">
        <v>4.66460122516878</v>
      </c>
      <c r="E36" s="43" t="s">
        <v>103</v>
      </c>
      <c r="F36" s="44" t="s">
        <v>1520</v>
      </c>
      <c r="G36" s="45" t="s">
        <v>1521</v>
      </c>
      <c r="H36" s="46"/>
      <c r="I36" s="11" t="b">
        <v>1</v>
      </c>
      <c r="J36" s="83" t="str">
        <f t="shared" si="3"/>
        <v/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IFERROR(__xludf.DUMMYFUNCTION("""COMPUTED_VALUE"""),"Franca")</f>
        <v>Franca</v>
      </c>
      <c r="R36" s="49">
        <f>IFERROR(__xludf.DUMMYFUNCTION("""COMPUTED_VALUE"""),708.0)</f>
        <v>708</v>
      </c>
      <c r="S36" s="49"/>
    </row>
    <row r="37">
      <c r="A37" s="43">
        <v>5.0</v>
      </c>
      <c r="B37" s="43">
        <v>4.0</v>
      </c>
      <c r="C37" s="43">
        <v>52.020869307121</v>
      </c>
      <c r="D37" s="43">
        <v>4.66483479101566</v>
      </c>
      <c r="E37" s="43" t="s">
        <v>98</v>
      </c>
      <c r="F37" s="44" t="s">
        <v>1025</v>
      </c>
      <c r="G37" s="45" t="s">
        <v>1522</v>
      </c>
      <c r="H37" s="46"/>
      <c r="I37" s="11" t="b">
        <v>1</v>
      </c>
      <c r="J37" s="83" t="str">
        <f t="shared" si="3"/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IFERROR(__xludf.DUMMYFUNCTION("""COMPUTED_VALUE"""),"upapou")</f>
        <v>upapou</v>
      </c>
      <c r="R37" s="49">
        <f>IFERROR(__xludf.DUMMYFUNCTION("""COMPUTED_VALUE"""),1009.0)</f>
        <v>1009</v>
      </c>
      <c r="S37" s="49"/>
    </row>
    <row r="38">
      <c r="A38" s="43">
        <v>5.0</v>
      </c>
      <c r="B38" s="43">
        <v>5.0</v>
      </c>
      <c r="C38" s="43">
        <v>52.0208693068901</v>
      </c>
      <c r="D38" s="43">
        <v>4.66506835686254</v>
      </c>
      <c r="E38" s="43" t="s">
        <v>98</v>
      </c>
      <c r="F38" s="44" t="s">
        <v>1523</v>
      </c>
      <c r="G38" s="45" t="s">
        <v>1524</v>
      </c>
      <c r="H38" s="46"/>
      <c r="I38" s="11" t="b">
        <v>1</v>
      </c>
      <c r="J38" s="83" t="str">
        <f t="shared" si="3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IFERROR(__xludf.DUMMYFUNCTION("""COMPUTED_VALUE"""),"MunziMeg")</f>
        <v>MunziMeg</v>
      </c>
      <c r="R38" s="49">
        <f>IFERROR(__xludf.DUMMYFUNCTION("""COMPUTED_VALUE"""),4472.0)</f>
        <v>4472</v>
      </c>
      <c r="S38" s="51">
        <v>44055.735907581024</v>
      </c>
    </row>
    <row r="39">
      <c r="A39" s="43">
        <v>5.0</v>
      </c>
      <c r="B39" s="43">
        <v>6.0</v>
      </c>
      <c r="C39" s="43">
        <v>52.0208693066592</v>
      </c>
      <c r="D39" s="43">
        <v>4.66530192270943</v>
      </c>
      <c r="E39" s="43" t="s">
        <v>98</v>
      </c>
      <c r="F39" s="44" t="s">
        <v>166</v>
      </c>
      <c r="G39" s="45" t="s">
        <v>1525</v>
      </c>
      <c r="H39" s="46"/>
      <c r="I39" s="11" t="b">
        <v>1</v>
      </c>
      <c r="J39" s="83" t="str">
        <f t="shared" si="3"/>
        <v/>
      </c>
      <c r="K39" s="49" t="str">
        <f>IFERROR(__xludf.DUMMYFUNCTION("IF(M39=1,IFERROR(IMPORTXML(G39, ""//p[@class='status-date']""),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IFERROR(__xludf.DUMMYFUNCTION("""COMPUTED_VALUE"""),"all0123")</f>
        <v>all0123</v>
      </c>
      <c r="R39" s="49">
        <f>IFERROR(__xludf.DUMMYFUNCTION("""COMPUTED_VALUE"""),3940.0)</f>
        <v>3940</v>
      </c>
      <c r="S39" s="49"/>
    </row>
    <row r="40">
      <c r="A40" s="43">
        <v>5.0</v>
      </c>
      <c r="B40" s="43">
        <v>7.0</v>
      </c>
      <c r="C40" s="43">
        <v>52.0208693064283</v>
      </c>
      <c r="D40" s="43">
        <v>4.66553548855631</v>
      </c>
      <c r="E40" s="43" t="s">
        <v>98</v>
      </c>
      <c r="F40" s="44" t="s">
        <v>940</v>
      </c>
      <c r="G40" s="45" t="s">
        <v>1526</v>
      </c>
      <c r="H40" s="46"/>
      <c r="I40" s="11" t="b">
        <v>1</v>
      </c>
      <c r="J40" s="83" t="str">
        <f t="shared" si="3"/>
        <v/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IFERROR(__xludf.DUMMYFUNCTION("""COMPUTED_VALUE"""),"WiseOldWizard")</f>
        <v>WiseOldWizard</v>
      </c>
      <c r="R40" s="49">
        <f>IFERROR(__xludf.DUMMYFUNCTION("""COMPUTED_VALUE"""),3979.0)</f>
        <v>3979</v>
      </c>
      <c r="S40" s="51">
        <v>44036.45868947917</v>
      </c>
    </row>
    <row r="41">
      <c r="A41" s="43">
        <v>5.0</v>
      </c>
      <c r="B41" s="43">
        <v>8.0</v>
      </c>
      <c r="C41" s="43">
        <v>52.0208693061974</v>
      </c>
      <c r="D41" s="43">
        <v>4.66576905440319</v>
      </c>
      <c r="E41" s="43" t="s">
        <v>98</v>
      </c>
      <c r="F41" s="44" t="s">
        <v>188</v>
      </c>
      <c r="G41" s="45" t="s">
        <v>1527</v>
      </c>
      <c r="H41" s="46"/>
      <c r="I41" s="11" t="b">
        <v>1</v>
      </c>
      <c r="J41" s="83" t="str">
        <f t="shared" si="3"/>
        <v/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IFERROR(__xludf.DUMMYFUNCTION("""COMPUTED_VALUE"""),"Anetzet")</f>
        <v>Anetzet</v>
      </c>
      <c r="R41" s="49">
        <f>IFERROR(__xludf.DUMMYFUNCTION("""COMPUTED_VALUE"""),2771.0)</f>
        <v>2771</v>
      </c>
      <c r="S41" s="51">
        <v>44036.83695923611</v>
      </c>
    </row>
    <row r="42">
      <c r="A42" s="43">
        <v>6.0</v>
      </c>
      <c r="B42" s="43">
        <v>1.0</v>
      </c>
      <c r="C42" s="43">
        <v>52.0207255773684</v>
      </c>
      <c r="D42" s="43">
        <v>4.66413407396339</v>
      </c>
      <c r="E42" s="43" t="s">
        <v>98</v>
      </c>
      <c r="F42" s="44" t="s">
        <v>1528</v>
      </c>
      <c r="G42" s="52" t="s">
        <v>1529</v>
      </c>
      <c r="H42" s="46"/>
      <c r="I42" s="11" t="b">
        <v>1</v>
      </c>
      <c r="J42" s="83" t="str">
        <f t="shared" si="3"/>
        <v/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IFERROR(__xludf.DUMMYFUNCTION("""COMPUTED_VALUE"""),"rholierhoek")</f>
        <v>rholierhoek</v>
      </c>
      <c r="R42" s="49">
        <f>IFERROR(__xludf.DUMMYFUNCTION("""COMPUTED_VALUE"""),973.0)</f>
        <v>973</v>
      </c>
      <c r="S42" s="49"/>
    </row>
    <row r="43">
      <c r="A43" s="43">
        <v>6.0</v>
      </c>
      <c r="B43" s="43">
        <v>2.0</v>
      </c>
      <c r="C43" s="43">
        <v>52.0207255771374</v>
      </c>
      <c r="D43" s="43">
        <v>4.66436763905983</v>
      </c>
      <c r="E43" s="43" t="s">
        <v>98</v>
      </c>
      <c r="F43" s="44" t="s">
        <v>182</v>
      </c>
      <c r="G43" s="52" t="s">
        <v>1530</v>
      </c>
      <c r="H43" s="46"/>
      <c r="I43" s="11" t="b">
        <v>1</v>
      </c>
      <c r="J43" s="83" t="str">
        <f t="shared" si="3"/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IFERROR(__xludf.DUMMYFUNCTION("""COMPUTED_VALUE"""),"TheFatCats")</f>
        <v>TheFatCats</v>
      </c>
      <c r="R43" s="49">
        <f>IFERROR(__xludf.DUMMYFUNCTION("""COMPUTED_VALUE"""),3604.0)</f>
        <v>3604</v>
      </c>
      <c r="S43" s="49"/>
    </row>
    <row r="44">
      <c r="A44" s="43">
        <v>6.0</v>
      </c>
      <c r="B44" s="43">
        <v>3.0</v>
      </c>
      <c r="C44" s="43">
        <v>52.0207255769065</v>
      </c>
      <c r="D44" s="43">
        <v>4.66460120415627</v>
      </c>
      <c r="E44" s="43" t="s">
        <v>103</v>
      </c>
      <c r="F44" s="44" t="s">
        <v>1531</v>
      </c>
      <c r="G44" s="45" t="s">
        <v>1532</v>
      </c>
      <c r="H44" s="46"/>
      <c r="I44" s="11" t="b">
        <v>1</v>
      </c>
      <c r="J44" s="83" t="str">
        <f t="shared" si="3"/>
        <v/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IFERROR(__xludf.DUMMYFUNCTION("""COMPUTED_VALUE"""),"ArchieRuby")</f>
        <v>ArchieRuby</v>
      </c>
      <c r="R44" s="49">
        <f>IFERROR(__xludf.DUMMYFUNCTION("""COMPUTED_VALUE"""),545.0)</f>
        <v>545</v>
      </c>
      <c r="S44" s="49"/>
    </row>
    <row r="45">
      <c r="A45" s="43">
        <v>6.0</v>
      </c>
      <c r="B45" s="43">
        <v>4.0</v>
      </c>
      <c r="C45" s="43">
        <v>52.0207255766756</v>
      </c>
      <c r="D45" s="43">
        <v>4.6648347692527</v>
      </c>
      <c r="E45" s="43" t="s">
        <v>98</v>
      </c>
      <c r="F45" s="44" t="s">
        <v>147</v>
      </c>
      <c r="G45" s="52" t="s">
        <v>1533</v>
      </c>
      <c r="H45" s="44"/>
      <c r="I45" s="11" t="b">
        <v>1</v>
      </c>
      <c r="J45" s="83"/>
      <c r="K45" s="49" t="str">
        <f>IFERROR(__xludf.DUMMYFUNCTION("IF(M45=1,IFERROR(IMPORTXML(G45, ""//p[@class='status-date']""),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IFERROR(__xludf.DUMMYFUNCTION("""COMPUTED_VALUE"""),"123xilef")</f>
        <v>123xilef</v>
      </c>
      <c r="R45" s="49">
        <f>IFERROR(__xludf.DUMMYFUNCTION("""COMPUTED_VALUE"""),6884.0)</f>
        <v>6884</v>
      </c>
      <c r="S45" s="51">
        <v>44055.736082557865</v>
      </c>
    </row>
    <row r="46">
      <c r="A46" s="43">
        <v>6.0</v>
      </c>
      <c r="B46" s="43">
        <v>5.0</v>
      </c>
      <c r="C46" s="43">
        <v>52.0207255764447</v>
      </c>
      <c r="D46" s="43">
        <v>4.66506833434914</v>
      </c>
      <c r="E46" s="43" t="s">
        <v>98</v>
      </c>
      <c r="F46" s="44" t="s">
        <v>1528</v>
      </c>
      <c r="G46" s="52" t="s">
        <v>1534</v>
      </c>
      <c r="H46" s="46"/>
      <c r="I46" s="11" t="b">
        <v>1</v>
      </c>
      <c r="J46" s="83" t="str">
        <f t="shared" ref="J46:J59" si="4">if(I46=true,"",S46)</f>
        <v/>
      </c>
      <c r="K46" s="49" t="str">
        <f>IFERROR(__xludf.DUMMYFUNCTION("IF(M46=1,IFERROR(IMPORTXML(#REF!, ""//p[@class='status-date']""), ""Not deployed""),"""")"),"")</f>
        <v/>
      </c>
      <c r="L46" s="48"/>
      <c r="M46" s="48">
        <f>if(I46=TRUE,2,IF(ISTEXT(#REF!),1,0))</f>
        <v>2</v>
      </c>
      <c r="N46" s="49" t="str">
        <f>IFERROR(__xludf.DUMMYFUNCTION("split(#REF!,""/"")"),"#REF!")</f>
        <v>#REF!</v>
      </c>
      <c r="O46" s="50"/>
      <c r="P46" s="49"/>
      <c r="Q46" s="49"/>
      <c r="R46" s="49"/>
      <c r="S46" s="49"/>
    </row>
    <row r="47">
      <c r="A47" s="43">
        <v>6.0</v>
      </c>
      <c r="B47" s="43">
        <v>6.0</v>
      </c>
      <c r="C47" s="43">
        <v>52.0207255762138</v>
      </c>
      <c r="D47" s="43">
        <v>4.66530189944558</v>
      </c>
      <c r="E47" s="43" t="s">
        <v>103</v>
      </c>
      <c r="F47" s="44" t="s">
        <v>629</v>
      </c>
      <c r="G47" s="52" t="s">
        <v>1535</v>
      </c>
      <c r="H47" s="46"/>
      <c r="I47" s="11" t="b">
        <v>1</v>
      </c>
      <c r="J47" s="83" t="str">
        <f t="shared" si="4"/>
        <v/>
      </c>
      <c r="K47" s="49" t="str">
        <f>IFERROR(__xludf.DUMMYFUNCTION("IF(M47=1,IFERROR(IMPORTXML(G47, ""//p[@class='status-date']""), ""Not deployed""),"""")"),"")</f>
        <v/>
      </c>
      <c r="L47" s="48"/>
      <c r="M47" s="48">
        <f>if(I47=TRUE,2,IF(ISTEXT(G47),1,0))</f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IFERROR(__xludf.DUMMYFUNCTION("""COMPUTED_VALUE"""),"IggiePiggie")</f>
        <v>IggiePiggie</v>
      </c>
      <c r="R47" s="49">
        <f>IFERROR(__xludf.DUMMYFUNCTION("""COMPUTED_VALUE"""),1850.0)</f>
        <v>1850</v>
      </c>
      <c r="S47" s="49"/>
    </row>
    <row r="48">
      <c r="A48" s="43">
        <v>6.0</v>
      </c>
      <c r="B48" s="43">
        <v>7.0</v>
      </c>
      <c r="C48" s="43">
        <v>52.0207255759829</v>
      </c>
      <c r="D48" s="43">
        <v>4.66553546454201</v>
      </c>
      <c r="E48" s="43" t="s">
        <v>98</v>
      </c>
      <c r="F48" s="44" t="s">
        <v>145</v>
      </c>
      <c r="G48" s="52" t="s">
        <v>1536</v>
      </c>
      <c r="H48" s="44"/>
      <c r="I48" s="11" t="b">
        <v>1</v>
      </c>
      <c r="J48" s="83" t="str">
        <f t="shared" si="4"/>
        <v/>
      </c>
      <c r="K48" s="49" t="str">
        <f>IFERROR(__xludf.DUMMYFUNCTION("IF(M48=1,IFERROR(IMPORTXML(G46, ""//p[@class='status-date']""), ""Not deployed""),"""")"),"")</f>
        <v/>
      </c>
      <c r="L48" s="48"/>
      <c r="M48" s="48">
        <f>if(I48=TRUE,2,IF(ISTEXT(G46),1,0))</f>
        <v>2</v>
      </c>
      <c r="N48" s="49" t="str">
        <f>IFERROR(__xludf.DUMMYFUNCTION("split(G46,""/"")"),"https:")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IFERROR(__xludf.DUMMYFUNCTION("""COMPUTED_VALUE"""),"rholierhoek")</f>
        <v>rholierhoek</v>
      </c>
      <c r="R48" s="49">
        <f>IFERROR(__xludf.DUMMYFUNCTION("""COMPUTED_VALUE"""),986.0)</f>
        <v>986</v>
      </c>
      <c r="S48" s="51">
        <v>44036.45476927083</v>
      </c>
    </row>
    <row r="49">
      <c r="A49" s="43">
        <v>6.0</v>
      </c>
      <c r="B49" s="43">
        <v>8.0</v>
      </c>
      <c r="C49" s="43">
        <v>52.0207255757519</v>
      </c>
      <c r="D49" s="43">
        <v>4.66576902963845</v>
      </c>
      <c r="E49" s="43" t="s">
        <v>98</v>
      </c>
      <c r="F49" s="44" t="s">
        <v>147</v>
      </c>
      <c r="G49" s="52" t="s">
        <v>1537</v>
      </c>
      <c r="H49" s="44"/>
      <c r="I49" s="11" t="b">
        <v>1</v>
      </c>
      <c r="J49" s="83" t="str">
        <f t="shared" si="4"/>
        <v/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ref="M49:M59" si="5">if(I49=TRUE,2,IF(ISTEXT(G49),1,0))</f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IFERROR(__xludf.DUMMYFUNCTION("""COMPUTED_VALUE"""),7019.0)</f>
        <v>7019</v>
      </c>
      <c r="S49" s="51">
        <v>44036.454874918985</v>
      </c>
    </row>
    <row r="50">
      <c r="A50" s="43">
        <v>7.0</v>
      </c>
      <c r="B50" s="43">
        <v>2.0</v>
      </c>
      <c r="C50" s="43">
        <v>52.020581846692</v>
      </c>
      <c r="D50" s="43">
        <v>4.66436761879776</v>
      </c>
      <c r="E50" s="43" t="s">
        <v>103</v>
      </c>
      <c r="F50" s="44" t="s">
        <v>110</v>
      </c>
      <c r="G50" s="52" t="s">
        <v>1538</v>
      </c>
      <c r="H50" s="46"/>
      <c r="I50" s="11" t="b">
        <v>1</v>
      </c>
      <c r="J50" s="83" t="str">
        <f t="shared" si="4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5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IFERROR(__xludf.DUMMYFUNCTION("""COMPUTED_VALUE"""),"BrotherWilliam")</f>
        <v>BrotherWilliam</v>
      </c>
      <c r="R50" s="49">
        <f>IFERROR(__xludf.DUMMYFUNCTION("""COMPUTED_VALUE"""),4072.0)</f>
        <v>4072</v>
      </c>
      <c r="S50" s="49"/>
    </row>
    <row r="51">
      <c r="A51" s="43">
        <v>7.0</v>
      </c>
      <c r="B51" s="43">
        <v>3.0</v>
      </c>
      <c r="C51" s="43">
        <v>52.0205818464611</v>
      </c>
      <c r="D51" s="43">
        <v>4.66460118314375</v>
      </c>
      <c r="E51" s="43" t="s">
        <v>98</v>
      </c>
      <c r="F51" s="44" t="s">
        <v>243</v>
      </c>
      <c r="G51" s="45" t="s">
        <v>1539</v>
      </c>
      <c r="H51" s="146">
        <v>43959.0</v>
      </c>
      <c r="I51" s="11" t="b">
        <v>1</v>
      </c>
      <c r="J51" s="83" t="str">
        <f t="shared" si="4"/>
        <v/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5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IFERROR(__xludf.DUMMYFUNCTION("""COMPUTED_VALUE"""),"Aniara")</f>
        <v>Aniara</v>
      </c>
      <c r="R51" s="49">
        <f>IFERROR(__xludf.DUMMYFUNCTION("""COMPUTED_VALUE"""),6620.0)</f>
        <v>6620</v>
      </c>
      <c r="S51" s="49"/>
    </row>
    <row r="52">
      <c r="A52" s="43">
        <v>7.0</v>
      </c>
      <c r="B52" s="43">
        <v>4.0</v>
      </c>
      <c r="C52" s="43">
        <v>52.0205818462302</v>
      </c>
      <c r="D52" s="43">
        <v>4.66483474748974</v>
      </c>
      <c r="E52" s="43" t="s">
        <v>98</v>
      </c>
      <c r="F52" s="44" t="s">
        <v>1540</v>
      </c>
      <c r="G52" s="45" t="s">
        <v>1541</v>
      </c>
      <c r="H52" s="46"/>
      <c r="I52" s="11" t="b">
        <v>1</v>
      </c>
      <c r="J52" s="83" t="str">
        <f t="shared" si="4"/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5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IFERROR(__xludf.DUMMYFUNCTION("""COMPUTED_VALUE"""),"artofmunzeeing")</f>
        <v>artofmunzeeing</v>
      </c>
      <c r="R52" s="49">
        <f>IFERROR(__xludf.DUMMYFUNCTION("""COMPUTED_VALUE"""),3829.0)</f>
        <v>3829</v>
      </c>
      <c r="S52" s="49"/>
    </row>
    <row r="53">
      <c r="A53" s="43">
        <v>7.0</v>
      </c>
      <c r="B53" s="43">
        <v>5.0</v>
      </c>
      <c r="C53" s="43">
        <v>52.0205818459993</v>
      </c>
      <c r="D53" s="43">
        <v>4.66506831183573</v>
      </c>
      <c r="E53" s="43" t="s">
        <v>98</v>
      </c>
      <c r="F53" s="44" t="s">
        <v>134</v>
      </c>
      <c r="G53" s="45" t="s">
        <v>1542</v>
      </c>
      <c r="H53" s="46"/>
      <c r="I53" s="11" t="b">
        <v>1</v>
      </c>
      <c r="J53" s="83" t="str">
        <f t="shared" si="4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5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IFERROR(__xludf.DUMMYFUNCTION("""COMPUTED_VALUE"""),"Wangotango")</f>
        <v>Wangotango</v>
      </c>
      <c r="R53" s="49">
        <f>IFERROR(__xludf.DUMMYFUNCTION("""COMPUTED_VALUE"""),1247.0)</f>
        <v>1247</v>
      </c>
      <c r="S53" s="49"/>
    </row>
    <row r="54">
      <c r="A54" s="43">
        <v>7.0</v>
      </c>
      <c r="B54" s="43">
        <v>6.0</v>
      </c>
      <c r="C54" s="43">
        <v>52.0205818457684</v>
      </c>
      <c r="D54" s="43">
        <v>4.66530187618172</v>
      </c>
      <c r="E54" s="43" t="s">
        <v>98</v>
      </c>
      <c r="F54" s="44" t="s">
        <v>182</v>
      </c>
      <c r="G54" s="45" t="s">
        <v>1543</v>
      </c>
      <c r="H54" s="46"/>
      <c r="I54" s="11" t="b">
        <v>1</v>
      </c>
      <c r="J54" s="83" t="str">
        <f t="shared" si="4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5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IFERROR(__xludf.DUMMYFUNCTION("""COMPUTED_VALUE"""),"TheFatCats")</f>
        <v>TheFatCats</v>
      </c>
      <c r="R54" s="49">
        <f>IFERROR(__xludf.DUMMYFUNCTION("""COMPUTED_VALUE"""),3632.0)</f>
        <v>3632</v>
      </c>
      <c r="S54" s="49"/>
    </row>
    <row r="55">
      <c r="A55" s="43">
        <v>7.0</v>
      </c>
      <c r="B55" s="43">
        <v>7.0</v>
      </c>
      <c r="C55" s="43">
        <v>52.0205818455374</v>
      </c>
      <c r="D55" s="43">
        <v>4.66553544052771</v>
      </c>
      <c r="E55" s="43" t="s">
        <v>98</v>
      </c>
      <c r="F55" s="44" t="s">
        <v>1540</v>
      </c>
      <c r="G55" s="45" t="s">
        <v>1544</v>
      </c>
      <c r="H55" s="46"/>
      <c r="I55" s="11" t="b">
        <v>1</v>
      </c>
      <c r="J55" s="83" t="str">
        <f t="shared" si="4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5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IFERROR(__xludf.DUMMYFUNCTION("""COMPUTED_VALUE"""),"artofmunzeeing")</f>
        <v>artofmunzeeing</v>
      </c>
      <c r="R55" s="49">
        <f>IFERROR(__xludf.DUMMYFUNCTION("""COMPUTED_VALUE"""),3830.0)</f>
        <v>3830</v>
      </c>
      <c r="S55" s="49"/>
    </row>
    <row r="56">
      <c r="A56" s="43">
        <v>8.0</v>
      </c>
      <c r="B56" s="43">
        <v>3.0</v>
      </c>
      <c r="C56" s="43">
        <v>52.0204381160157</v>
      </c>
      <c r="D56" s="43">
        <v>4.66460116212806</v>
      </c>
      <c r="E56" s="43" t="s">
        <v>98</v>
      </c>
      <c r="F56" s="44" t="s">
        <v>879</v>
      </c>
      <c r="G56" s="45" t="s">
        <v>1545</v>
      </c>
      <c r="H56" s="46"/>
      <c r="I56" s="11" t="b">
        <v>1</v>
      </c>
      <c r="J56" s="83" t="str">
        <f t="shared" si="4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5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IFERROR(__xludf.DUMMYFUNCTION("""COMPUTED_VALUE"""),"Franca")</f>
        <v>Franca</v>
      </c>
      <c r="R56" s="49">
        <f>IFERROR(__xludf.DUMMYFUNCTION("""COMPUTED_VALUE"""),703.0)</f>
        <v>703</v>
      </c>
      <c r="S56" s="49"/>
    </row>
    <row r="57">
      <c r="A57" s="43">
        <v>8.0</v>
      </c>
      <c r="B57" s="43">
        <v>4.0</v>
      </c>
      <c r="C57" s="43">
        <v>52.0204381157848</v>
      </c>
      <c r="D57" s="43">
        <v>4.66483472572349</v>
      </c>
      <c r="E57" s="43" t="s">
        <v>103</v>
      </c>
      <c r="F57" s="44" t="s">
        <v>138</v>
      </c>
      <c r="G57" s="45" t="s">
        <v>1546</v>
      </c>
      <c r="H57" s="46"/>
      <c r="I57" s="11" t="b">
        <v>1</v>
      </c>
      <c r="J57" s="83" t="str">
        <f t="shared" si="4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5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IFERROR(__xludf.DUMMYFUNCTION("""COMPUTED_VALUE"""),"Anetzet")</f>
        <v>Anetzet</v>
      </c>
      <c r="R57" s="49">
        <f>IFERROR(__xludf.DUMMYFUNCTION("""COMPUTED_VALUE"""),2877.0)</f>
        <v>2877</v>
      </c>
      <c r="S57" s="49"/>
    </row>
    <row r="58">
      <c r="A58" s="43">
        <v>8.0</v>
      </c>
      <c r="B58" s="43">
        <v>5.0</v>
      </c>
      <c r="C58" s="43">
        <v>52.0204381155539</v>
      </c>
      <c r="D58" s="43">
        <v>4.66506828931892</v>
      </c>
      <c r="E58" s="43" t="s">
        <v>103</v>
      </c>
      <c r="F58" s="44" t="s">
        <v>1523</v>
      </c>
      <c r="G58" s="45" t="s">
        <v>1547</v>
      </c>
      <c r="H58" s="46"/>
      <c r="I58" s="11" t="b">
        <v>1</v>
      </c>
      <c r="J58" s="83" t="str">
        <f t="shared" si="4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5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IFERROR(__xludf.DUMMYFUNCTION("""COMPUTED_VALUE"""),"MunziMeg")</f>
        <v>MunziMeg</v>
      </c>
      <c r="R58" s="49">
        <f>IFERROR(__xludf.DUMMYFUNCTION("""COMPUTED_VALUE"""),4448.0)</f>
        <v>4448</v>
      </c>
      <c r="S58" s="49"/>
    </row>
    <row r="59">
      <c r="A59" s="43">
        <v>8.0</v>
      </c>
      <c r="B59" s="43">
        <v>6.0</v>
      </c>
      <c r="C59" s="43">
        <v>52.0204381153229</v>
      </c>
      <c r="D59" s="43">
        <v>4.66530185291435</v>
      </c>
      <c r="E59" s="43" t="s">
        <v>98</v>
      </c>
      <c r="F59" s="44" t="s">
        <v>136</v>
      </c>
      <c r="G59" s="65" t="s">
        <v>1548</v>
      </c>
      <c r="H59" s="146">
        <v>44020.0</v>
      </c>
      <c r="I59" s="11" t="b">
        <v>1</v>
      </c>
      <c r="J59" s="83" t="str">
        <f t="shared" si="4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5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IFERROR(__xludf.DUMMYFUNCTION("""COMPUTED_VALUE"""),"OdinsFiRe")</f>
        <v>OdinsFiRe</v>
      </c>
      <c r="R59" s="49">
        <f>IFERROR(__xludf.DUMMYFUNCTION("""COMPUTED_VALUE"""),1535.0)</f>
        <v>1535</v>
      </c>
      <c r="S59" s="49"/>
    </row>
    <row r="60">
      <c r="J60" s="83"/>
    </row>
    <row r="61" hidden="1">
      <c r="F61" s="47">
        <f t="shared" ref="F61:G61" si="6">COUNTIF(F8:F59,"")</f>
        <v>0</v>
      </c>
      <c r="G61" s="47">
        <f t="shared" si="6"/>
        <v>0</v>
      </c>
      <c r="I61" s="47">
        <f>COUNTIF(I8:I59,TRUE)</f>
        <v>52</v>
      </c>
      <c r="J61" s="83"/>
    </row>
    <row r="62" hidden="1">
      <c r="J62" s="83"/>
    </row>
    <row r="63" hidden="1">
      <c r="J63" s="83"/>
    </row>
    <row r="64">
      <c r="J64" s="83"/>
    </row>
    <row r="65">
      <c r="J65" s="83"/>
    </row>
    <row r="66">
      <c r="J66" s="83"/>
    </row>
    <row r="67">
      <c r="J67" s="83"/>
    </row>
    <row r="68">
      <c r="J68" s="83"/>
    </row>
    <row r="69">
      <c r="J69" s="83"/>
    </row>
    <row r="70">
      <c r="J70" s="83"/>
    </row>
    <row r="71">
      <c r="J71" s="83"/>
    </row>
    <row r="72">
      <c r="J72" s="83"/>
    </row>
    <row r="73">
      <c r="J73" s="83"/>
    </row>
    <row r="74">
      <c r="J74" s="83"/>
    </row>
    <row r="75">
      <c r="J75" s="83"/>
    </row>
    <row r="76">
      <c r="J76" s="83"/>
    </row>
    <row r="77">
      <c r="J77" s="83"/>
    </row>
    <row r="78">
      <c r="J78" s="83"/>
    </row>
    <row r="79">
      <c r="J79" s="83"/>
    </row>
    <row r="80">
      <c r="J80" s="83"/>
    </row>
    <row r="81">
      <c r="J81" s="83"/>
    </row>
    <row r="82">
      <c r="J82" s="83"/>
    </row>
    <row r="83">
      <c r="J83" s="83"/>
    </row>
    <row r="84">
      <c r="J84" s="83"/>
    </row>
    <row r="85">
      <c r="J85" s="83"/>
    </row>
    <row r="86">
      <c r="J86" s="83"/>
    </row>
    <row r="87">
      <c r="J87" s="83"/>
    </row>
    <row r="88">
      <c r="J88" s="83"/>
    </row>
    <row r="89">
      <c r="J89" s="83"/>
    </row>
    <row r="90">
      <c r="J90" s="83"/>
    </row>
    <row r="91">
      <c r="J91" s="83"/>
    </row>
    <row r="92">
      <c r="J92" s="83"/>
    </row>
    <row r="93">
      <c r="J93" s="83"/>
    </row>
  </sheetData>
  <mergeCells count="3">
    <mergeCell ref="B1:C1"/>
    <mergeCell ref="I2:I3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3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75"/>
    <col customWidth="1" min="2" max="2" width="6.63"/>
    <col customWidth="1" min="3" max="3" width="13.38"/>
    <col customWidth="1" min="4" max="4" width="14.0"/>
    <col customWidth="1" min="5" max="5" width="16.25"/>
    <col customWidth="1" min="6" max="6" width="14.5"/>
    <col customWidth="1" min="7" max="7" width="40.0"/>
    <col customWidth="1" min="8" max="8" width="17.0"/>
    <col customWidth="1" min="9" max="9" width="20.7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29</v>
      </c>
      <c r="D1" s="37" t="s">
        <v>59</v>
      </c>
      <c r="E1" s="2" t="s">
        <v>79</v>
      </c>
      <c r="F1" s="43" t="s">
        <v>147</v>
      </c>
      <c r="G1" s="147" t="s">
        <v>1549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1550</v>
      </c>
      <c r="H2" s="2"/>
      <c r="I2" s="97" t="s">
        <v>769</v>
      </c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53.2396571049062</v>
      </c>
      <c r="D8" s="43">
        <v>6.58232795503204</v>
      </c>
      <c r="E8" s="43" t="s">
        <v>98</v>
      </c>
      <c r="F8" s="44" t="s">
        <v>161</v>
      </c>
      <c r="G8" s="52" t="s">
        <v>1551</v>
      </c>
      <c r="H8" s="46"/>
      <c r="I8" s="11" t="b">
        <v>1</v>
      </c>
      <c r="J8" s="47" t="str">
        <f t="shared" ref="J8:J40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IFERROR(__xludf.DUMMYFUNCTION("""COMPUTED_VALUE"""),3257.0)</f>
        <v>3257</v>
      </c>
      <c r="S8" s="51">
        <v>44357.50303853009</v>
      </c>
    </row>
    <row r="9">
      <c r="A9" s="43">
        <v>1.0</v>
      </c>
      <c r="B9" s="43">
        <v>4.0</v>
      </c>
      <c r="C9" s="43">
        <v>53.2396571046649</v>
      </c>
      <c r="D9" s="43">
        <v>6.58256811849901</v>
      </c>
      <c r="E9" s="43" t="s">
        <v>98</v>
      </c>
      <c r="F9" s="44" t="s">
        <v>101</v>
      </c>
      <c r="G9" s="45" t="s">
        <v>1552</v>
      </c>
      <c r="H9" s="46"/>
      <c r="I9" s="11" t="b">
        <v>1</v>
      </c>
      <c r="J9" s="47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IFERROR(__xludf.DUMMYFUNCTION("""COMPUTED_VALUE"""),6285.0)</f>
        <v>6285</v>
      </c>
      <c r="S9" s="51">
        <v>44357.503072418986</v>
      </c>
    </row>
    <row r="10">
      <c r="A10" s="43">
        <v>1.0</v>
      </c>
      <c r="B10" s="43">
        <v>5.0</v>
      </c>
      <c r="C10" s="43">
        <v>53.2396571044236</v>
      </c>
      <c r="D10" s="43">
        <v>6.58280828196598</v>
      </c>
      <c r="E10" s="43" t="s">
        <v>103</v>
      </c>
      <c r="F10" s="44" t="s">
        <v>106</v>
      </c>
      <c r="G10" s="45" t="s">
        <v>1553</v>
      </c>
      <c r="H10" s="46"/>
      <c r="I10" s="11" t="b">
        <v>1</v>
      </c>
      <c r="J10" s="47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IFERROR(__xludf.DUMMYFUNCTION("""COMPUTED_VALUE"""),"EmileP68")</f>
        <v>EmileP68</v>
      </c>
      <c r="R10" s="49">
        <f>IFERROR(__xludf.DUMMYFUNCTION("""COMPUTED_VALUE"""),5152.0)</f>
        <v>5152</v>
      </c>
      <c r="S10" s="51">
        <v>44357.503114340274</v>
      </c>
    </row>
    <row r="11">
      <c r="A11" s="43">
        <v>1.0</v>
      </c>
      <c r="B11" s="43">
        <v>6.0</v>
      </c>
      <c r="C11" s="43">
        <v>53.2396571041823</v>
      </c>
      <c r="D11" s="43">
        <v>6.58304844543295</v>
      </c>
      <c r="E11" s="43" t="s">
        <v>103</v>
      </c>
      <c r="F11" s="44" t="s">
        <v>104</v>
      </c>
      <c r="G11" s="45" t="s">
        <v>1554</v>
      </c>
      <c r="H11" s="46"/>
      <c r="I11" s="11" t="b">
        <v>1</v>
      </c>
      <c r="J11" s="47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IFERROR(__xludf.DUMMYFUNCTION("""COMPUTED_VALUE"""),"PawPatrolThomas")</f>
        <v>PawPatrolThomas</v>
      </c>
      <c r="R11" s="49">
        <f>IFERROR(__xludf.DUMMYFUNCTION("""COMPUTED_VALUE"""),4306.0)</f>
        <v>4306</v>
      </c>
      <c r="S11" s="51">
        <v>44357.503172303244</v>
      </c>
    </row>
    <row r="12">
      <c r="A12" s="43">
        <v>2.0</v>
      </c>
      <c r="B12" s="43">
        <v>2.0</v>
      </c>
      <c r="C12" s="43">
        <v>53.2395133747022</v>
      </c>
      <c r="D12" s="43">
        <v>6.58208776978972</v>
      </c>
      <c r="E12" s="43" t="s">
        <v>98</v>
      </c>
      <c r="F12" s="44" t="s">
        <v>110</v>
      </c>
      <c r="G12" s="52" t="s">
        <v>1555</v>
      </c>
      <c r="H12" s="44"/>
      <c r="I12" s="11" t="b">
        <v>1</v>
      </c>
      <c r="J12" s="47" t="str">
        <f t="shared" si="1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IFERROR(__xludf.DUMMYFUNCTION("""COMPUTED_VALUE"""),5243.0)</f>
        <v>5243</v>
      </c>
      <c r="S12" s="49"/>
    </row>
    <row r="13">
      <c r="A13" s="43">
        <v>2.0</v>
      </c>
      <c r="B13" s="43">
        <v>3.0</v>
      </c>
      <c r="C13" s="43">
        <v>53.2395133744608</v>
      </c>
      <c r="D13" s="43">
        <v>6.58232793245019</v>
      </c>
      <c r="E13" s="43" t="s">
        <v>98</v>
      </c>
      <c r="F13" s="44" t="s">
        <v>112</v>
      </c>
      <c r="G13" s="52" t="s">
        <v>1556</v>
      </c>
      <c r="H13" s="46"/>
      <c r="I13" s="11" t="b">
        <v>1</v>
      </c>
      <c r="J13" s="47" t="str">
        <f t="shared" si="1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IFERROR(__xludf.DUMMYFUNCTION("""COMPUTED_VALUE"""),3544.0)</f>
        <v>3544</v>
      </c>
      <c r="S13" s="49"/>
    </row>
    <row r="14">
      <c r="A14" s="43">
        <v>2.0</v>
      </c>
      <c r="B14" s="43">
        <v>4.0</v>
      </c>
      <c r="C14" s="43">
        <v>53.2395133742195</v>
      </c>
      <c r="D14" s="43">
        <v>6.58256809511067</v>
      </c>
      <c r="E14" s="43" t="s">
        <v>98</v>
      </c>
      <c r="F14" s="44" t="s">
        <v>114</v>
      </c>
      <c r="G14" s="45" t="s">
        <v>1557</v>
      </c>
      <c r="H14" s="46"/>
      <c r="I14" s="11" t="b">
        <v>1</v>
      </c>
      <c r="J14" s="47" t="str">
        <f t="shared" si="1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IFERROR(__xludf.DUMMYFUNCTION("""COMPUTED_VALUE"""),13765.0)</f>
        <v>13765</v>
      </c>
      <c r="S14" s="49"/>
    </row>
    <row r="15">
      <c r="A15" s="43">
        <v>2.0</v>
      </c>
      <c r="B15" s="43">
        <v>5.0</v>
      </c>
      <c r="C15" s="43">
        <v>53.2395133739782</v>
      </c>
      <c r="D15" s="43">
        <v>6.58280825777114</v>
      </c>
      <c r="E15" s="43" t="s">
        <v>103</v>
      </c>
      <c r="F15" s="44" t="s">
        <v>178</v>
      </c>
      <c r="G15" s="45" t="s">
        <v>1558</v>
      </c>
      <c r="H15" s="46"/>
      <c r="I15" s="11" t="b">
        <v>1</v>
      </c>
      <c r="J15" s="47" t="str">
        <f t="shared" si="1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IFERROR(__xludf.DUMMYFUNCTION("""COMPUTED_VALUE"""),"lison55")</f>
        <v>lison55</v>
      </c>
      <c r="R15" s="49">
        <f>IFERROR(__xludf.DUMMYFUNCTION("""COMPUTED_VALUE"""),8395.0)</f>
        <v>8395</v>
      </c>
      <c r="S15" s="49"/>
    </row>
    <row r="16">
      <c r="A16" s="43">
        <v>2.0</v>
      </c>
      <c r="B16" s="43">
        <v>6.0</v>
      </c>
      <c r="C16" s="43">
        <v>53.2395133737369</v>
      </c>
      <c r="D16" s="43">
        <v>6.58304842043162</v>
      </c>
      <c r="E16" s="43" t="s">
        <v>98</v>
      </c>
      <c r="F16" s="44" t="s">
        <v>116</v>
      </c>
      <c r="G16" s="45" t="s">
        <v>1559</v>
      </c>
      <c r="H16" s="46"/>
      <c r="I16" s="11" t="b">
        <v>1</v>
      </c>
      <c r="J16" s="47" t="str">
        <f t="shared" si="1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IFERROR(__xludf.DUMMYFUNCTION("""COMPUTED_VALUE"""),"fsafranek")</f>
        <v>fsafranek</v>
      </c>
      <c r="R16" s="49">
        <f>IFERROR(__xludf.DUMMYFUNCTION("""COMPUTED_VALUE"""),5467.0)</f>
        <v>5467</v>
      </c>
      <c r="S16" s="49"/>
    </row>
    <row r="17">
      <c r="A17" s="43">
        <v>2.0</v>
      </c>
      <c r="B17" s="43">
        <v>7.0</v>
      </c>
      <c r="C17" s="43">
        <v>53.2395133734955</v>
      </c>
      <c r="D17" s="43">
        <v>6.58328858309209</v>
      </c>
      <c r="E17" s="43" t="s">
        <v>98</v>
      </c>
      <c r="F17" s="44" t="s">
        <v>157</v>
      </c>
      <c r="G17" s="45" t="s">
        <v>1560</v>
      </c>
      <c r="H17" s="46"/>
      <c r="I17" s="11" t="b">
        <v>1</v>
      </c>
      <c r="J17" s="47" t="str">
        <f t="shared" si="1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IFERROR(__xludf.DUMMYFUNCTION("""COMPUTED_VALUE"""),"barefootguru")</f>
        <v>barefootguru</v>
      </c>
      <c r="R17" s="49">
        <f>IFERROR(__xludf.DUMMYFUNCTION("""COMPUTED_VALUE"""),3384.0)</f>
        <v>3384</v>
      </c>
      <c r="S17" s="49"/>
    </row>
    <row r="18">
      <c r="A18" s="43">
        <v>3.0</v>
      </c>
      <c r="B18" s="43">
        <v>1.0</v>
      </c>
      <c r="C18" s="43">
        <v>53.2393696444981</v>
      </c>
      <c r="D18" s="43">
        <v>6.58184758616039</v>
      </c>
      <c r="E18" s="43" t="s">
        <v>98</v>
      </c>
      <c r="F18" s="44" t="s">
        <v>155</v>
      </c>
      <c r="G18" s="52" t="s">
        <v>1561</v>
      </c>
      <c r="H18" s="46"/>
      <c r="I18" s="11" t="b">
        <v>1</v>
      </c>
      <c r="J18" s="47" t="str">
        <f t="shared" si="1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IFERROR(__xludf.DUMMYFUNCTION("""COMPUTED_VALUE"""),"Ellesche")</f>
        <v>Ellesche</v>
      </c>
      <c r="R18" s="49">
        <f>IFERROR(__xludf.DUMMYFUNCTION("""COMPUTED_VALUE"""),828.0)</f>
        <v>828</v>
      </c>
      <c r="S18" s="49"/>
    </row>
    <row r="19">
      <c r="A19" s="43">
        <v>3.0</v>
      </c>
      <c r="B19" s="43">
        <v>2.0</v>
      </c>
      <c r="C19" s="43">
        <v>53.2393696442567</v>
      </c>
      <c r="D19" s="43">
        <v>6.58208774801437</v>
      </c>
      <c r="E19" s="43" t="s">
        <v>98</v>
      </c>
      <c r="F19" s="44" t="s">
        <v>151</v>
      </c>
      <c r="G19" s="52" t="s">
        <v>1562</v>
      </c>
      <c r="H19" s="46"/>
      <c r="I19" s="11" t="b">
        <v>1</v>
      </c>
      <c r="J19" s="47" t="str">
        <f t="shared" si="1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IFERROR(__xludf.DUMMYFUNCTION("""COMPUTED_VALUE"""),"res2100")</f>
        <v>res2100</v>
      </c>
      <c r="R19" s="49">
        <f>IFERROR(__xludf.DUMMYFUNCTION("""COMPUTED_VALUE"""),873.0)</f>
        <v>873</v>
      </c>
      <c r="S19" s="49"/>
    </row>
    <row r="20">
      <c r="A20" s="43">
        <v>3.0</v>
      </c>
      <c r="B20" s="43">
        <v>3.0</v>
      </c>
      <c r="C20" s="43">
        <v>53.2393696440154</v>
      </c>
      <c r="D20" s="43">
        <v>6.58232790986835</v>
      </c>
      <c r="E20" s="43" t="s">
        <v>98</v>
      </c>
      <c r="F20" s="44" t="s">
        <v>118</v>
      </c>
      <c r="G20" s="52" t="s">
        <v>1563</v>
      </c>
      <c r="H20" s="46"/>
      <c r="I20" s="11" t="b">
        <v>1</v>
      </c>
      <c r="J20" s="47" t="str">
        <f t="shared" si="1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IFERROR(__xludf.DUMMYFUNCTION("""COMPUTED_VALUE"""),"rita85gto")</f>
        <v>rita85gto</v>
      </c>
      <c r="R20" s="49">
        <f>IFERROR(__xludf.DUMMYFUNCTION("""COMPUTED_VALUE"""),3821.0)</f>
        <v>3821</v>
      </c>
      <c r="S20" s="49"/>
    </row>
    <row r="21">
      <c r="A21" s="43">
        <v>3.0</v>
      </c>
      <c r="B21" s="43">
        <v>4.0</v>
      </c>
      <c r="C21" s="43">
        <v>53.2393696437741</v>
      </c>
      <c r="D21" s="43">
        <v>6.58256807172233</v>
      </c>
      <c r="E21" s="43" t="s">
        <v>98</v>
      </c>
      <c r="F21" s="44" t="s">
        <v>120</v>
      </c>
      <c r="G21" s="45" t="s">
        <v>1564</v>
      </c>
      <c r="H21" s="46"/>
      <c r="I21" s="11" t="b">
        <v>1</v>
      </c>
      <c r="J21" s="47" t="str">
        <f t="shared" si="1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IFERROR(__xludf.DUMMYFUNCTION("""COMPUTED_VALUE"""),"xrayneex")</f>
        <v>xrayneex</v>
      </c>
      <c r="R21" s="49">
        <f>IFERROR(__xludf.DUMMYFUNCTION("""COMPUTED_VALUE"""),2322.0)</f>
        <v>2322</v>
      </c>
      <c r="S21" s="49"/>
    </row>
    <row r="22">
      <c r="A22" s="43">
        <v>3.0</v>
      </c>
      <c r="B22" s="43">
        <v>5.0</v>
      </c>
      <c r="C22" s="43">
        <v>53.2393696435328</v>
      </c>
      <c r="D22" s="43">
        <v>6.58280823357631</v>
      </c>
      <c r="E22" s="43" t="s">
        <v>98</v>
      </c>
      <c r="F22" s="44" t="s">
        <v>122</v>
      </c>
      <c r="G22" s="45" t="s">
        <v>1565</v>
      </c>
      <c r="H22" s="46"/>
      <c r="I22" s="11" t="b">
        <v>1</v>
      </c>
      <c r="J22" s="47" t="str">
        <f t="shared" si="1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IFERROR(__xludf.DUMMYFUNCTION("""COMPUTED_VALUE"""),"Drazoria")</f>
        <v>Drazoria</v>
      </c>
      <c r="R22" s="49">
        <f>IFERROR(__xludf.DUMMYFUNCTION("""COMPUTED_VALUE"""),1603.0)</f>
        <v>1603</v>
      </c>
      <c r="S22" s="51">
        <v>44368.41597155093</v>
      </c>
    </row>
    <row r="23">
      <c r="A23" s="43">
        <v>3.0</v>
      </c>
      <c r="B23" s="43">
        <v>6.0</v>
      </c>
      <c r="C23" s="43">
        <v>53.2393696432914</v>
      </c>
      <c r="D23" s="43">
        <v>6.58304839543029</v>
      </c>
      <c r="E23" s="43" t="s">
        <v>98</v>
      </c>
      <c r="F23" s="44" t="s">
        <v>124</v>
      </c>
      <c r="G23" s="45" t="s">
        <v>1566</v>
      </c>
      <c r="H23" s="46"/>
      <c r="I23" s="11" t="b">
        <v>1</v>
      </c>
      <c r="J23" s="47" t="str">
        <f t="shared" si="1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IFERROR(__xludf.DUMMYFUNCTION("""COMPUTED_VALUE"""),"Tinake1309")</f>
        <v>Tinake1309</v>
      </c>
      <c r="R23" s="49">
        <f>IFERROR(__xludf.DUMMYFUNCTION("""COMPUTED_VALUE"""),1619.0)</f>
        <v>1619</v>
      </c>
      <c r="S23" s="49"/>
    </row>
    <row r="24">
      <c r="A24" s="43">
        <v>3.0</v>
      </c>
      <c r="B24" s="43">
        <v>7.0</v>
      </c>
      <c r="C24" s="43">
        <v>53.2393696430501</v>
      </c>
      <c r="D24" s="43">
        <v>6.58328855728427</v>
      </c>
      <c r="E24" s="43" t="s">
        <v>98</v>
      </c>
      <c r="F24" s="44" t="s">
        <v>126</v>
      </c>
      <c r="G24" s="45" t="s">
        <v>1567</v>
      </c>
      <c r="H24" s="46"/>
      <c r="I24" s="11" t="b">
        <v>1</v>
      </c>
      <c r="J24" s="47" t="str">
        <f t="shared" si="1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IFERROR(__xludf.DUMMYFUNCTION("""COMPUTED_VALUE"""),"Berg14")</f>
        <v>Berg14</v>
      </c>
      <c r="R24" s="49">
        <f>IFERROR(__xludf.DUMMYFUNCTION("""COMPUTED_VALUE"""),1539.0)</f>
        <v>1539</v>
      </c>
      <c r="S24" s="49"/>
    </row>
    <row r="25">
      <c r="A25" s="43">
        <v>3.0</v>
      </c>
      <c r="B25" s="43">
        <v>8.0</v>
      </c>
      <c r="C25" s="43">
        <v>53.2393696428088</v>
      </c>
      <c r="D25" s="43">
        <v>6.58352871913825</v>
      </c>
      <c r="E25" s="43" t="s">
        <v>98</v>
      </c>
      <c r="F25" s="44" t="s">
        <v>128</v>
      </c>
      <c r="G25" s="45" t="s">
        <v>1568</v>
      </c>
      <c r="H25" s="46"/>
      <c r="I25" s="11" t="b">
        <v>1</v>
      </c>
      <c r="J25" s="47" t="str">
        <f t="shared" si="1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IFERROR(__xludf.DUMMYFUNCTION("""COMPUTED_VALUE"""),"Niks13")</f>
        <v>Niks13</v>
      </c>
      <c r="R25" s="49">
        <f>IFERROR(__xludf.DUMMYFUNCTION("""COMPUTED_VALUE"""),1488.0)</f>
        <v>1488</v>
      </c>
      <c r="S25" s="49"/>
    </row>
    <row r="26">
      <c r="A26" s="43">
        <v>4.0</v>
      </c>
      <c r="B26" s="43">
        <v>1.0</v>
      </c>
      <c r="C26" s="43">
        <v>53.2392259140526</v>
      </c>
      <c r="D26" s="43">
        <v>6.5818475651929</v>
      </c>
      <c r="E26" s="43" t="s">
        <v>98</v>
      </c>
      <c r="F26" s="44" t="s">
        <v>879</v>
      </c>
      <c r="G26" s="45" t="s">
        <v>1569</v>
      </c>
      <c r="H26" s="46"/>
      <c r="I26" s="11" t="b">
        <v>1</v>
      </c>
      <c r="J26" s="47" t="str">
        <f t="shared" si="1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IFERROR(__xludf.DUMMYFUNCTION("""COMPUTED_VALUE"""),"Franca")</f>
        <v>Franca</v>
      </c>
      <c r="R26" s="49">
        <f>IFERROR(__xludf.DUMMYFUNCTION("""COMPUTED_VALUE"""),2026.0)</f>
        <v>2026</v>
      </c>
      <c r="S26" s="49"/>
    </row>
    <row r="27">
      <c r="A27" s="43">
        <v>4.0</v>
      </c>
      <c r="B27" s="43">
        <v>2.0</v>
      </c>
      <c r="C27" s="43">
        <v>53.2392259138113</v>
      </c>
      <c r="D27" s="43">
        <v>6.58208772624038</v>
      </c>
      <c r="E27" s="43" t="s">
        <v>103</v>
      </c>
      <c r="F27" s="44" t="s">
        <v>130</v>
      </c>
      <c r="G27" s="45" t="s">
        <v>1570</v>
      </c>
      <c r="H27" s="46"/>
      <c r="I27" s="11" t="b">
        <v>1</v>
      </c>
      <c r="J27" s="47" t="str">
        <f t="shared" si="1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IFERROR(__xludf.DUMMYFUNCTION("""COMPUTED_VALUE"""),"lupo6")</f>
        <v>lupo6</v>
      </c>
      <c r="R27" s="49">
        <f>IFERROR(__xludf.DUMMYFUNCTION("""COMPUTED_VALUE"""),6815.0)</f>
        <v>6815</v>
      </c>
      <c r="S27" s="49"/>
    </row>
    <row r="28">
      <c r="A28" s="43">
        <v>4.0</v>
      </c>
      <c r="B28" s="43">
        <v>3.0</v>
      </c>
      <c r="C28" s="43">
        <v>53.23922591357</v>
      </c>
      <c r="D28" s="43">
        <v>6.58232788728787</v>
      </c>
      <c r="E28" s="43" t="s">
        <v>98</v>
      </c>
      <c r="F28" s="44" t="s">
        <v>136</v>
      </c>
      <c r="G28" s="45" t="s">
        <v>1571</v>
      </c>
      <c r="H28" s="46"/>
      <c r="I28" s="11" t="b">
        <v>1</v>
      </c>
      <c r="J28" s="47" t="str">
        <f t="shared" si="1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IFERROR(__xludf.DUMMYFUNCTION("""COMPUTED_VALUE"""),"OdinsFiRe")</f>
        <v>OdinsFiRe</v>
      </c>
      <c r="R28" s="49">
        <f>IFERROR(__xludf.DUMMYFUNCTION("""COMPUTED_VALUE"""),2059.0)</f>
        <v>2059</v>
      </c>
      <c r="S28" s="49"/>
    </row>
    <row r="29">
      <c r="A29" s="43">
        <v>4.0</v>
      </c>
      <c r="B29" s="43">
        <v>4.0</v>
      </c>
      <c r="C29" s="43">
        <v>53.2392259133286</v>
      </c>
      <c r="D29" s="43">
        <v>6.58256804833536</v>
      </c>
      <c r="E29" s="43" t="s">
        <v>98</v>
      </c>
      <c r="F29" s="44" t="s">
        <v>138</v>
      </c>
      <c r="G29" s="45" t="s">
        <v>1572</v>
      </c>
      <c r="H29" s="46"/>
      <c r="I29" s="11" t="b">
        <v>1</v>
      </c>
      <c r="J29" s="47" t="str">
        <f t="shared" si="1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IFERROR(__xludf.DUMMYFUNCTION("""COMPUTED_VALUE"""),4670.0)</f>
        <v>4670</v>
      </c>
      <c r="S29" s="49"/>
    </row>
    <row r="30">
      <c r="A30" s="43">
        <v>4.0</v>
      </c>
      <c r="B30" s="43">
        <v>5.0</v>
      </c>
      <c r="C30" s="43">
        <v>53.2392259130873</v>
      </c>
      <c r="D30" s="43">
        <v>6.58280820938284</v>
      </c>
      <c r="E30" s="43" t="s">
        <v>98</v>
      </c>
      <c r="F30" s="44" t="s">
        <v>1573</v>
      </c>
      <c r="G30" s="45" t="s">
        <v>1574</v>
      </c>
      <c r="H30" s="46"/>
      <c r="I30" s="11" t="b">
        <v>1</v>
      </c>
      <c r="J30" s="47" t="str">
        <f t="shared" si="1"/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IFERROR(__xludf.DUMMYFUNCTION("""COMPUTED_VALUE"""),"amundadus")</f>
        <v>amundadus</v>
      </c>
      <c r="R30" s="49">
        <f>IFERROR(__xludf.DUMMYFUNCTION("""COMPUTED_VALUE"""),1562.0)</f>
        <v>1562</v>
      </c>
      <c r="S30" s="49"/>
    </row>
    <row r="31">
      <c r="A31" s="43">
        <v>4.0</v>
      </c>
      <c r="B31" s="43">
        <v>6.0</v>
      </c>
      <c r="C31" s="43">
        <v>53.239225912846</v>
      </c>
      <c r="D31" s="43">
        <v>6.58304837043033</v>
      </c>
      <c r="E31" s="43" t="s">
        <v>103</v>
      </c>
      <c r="F31" s="44" t="s">
        <v>606</v>
      </c>
      <c r="G31" s="45" t="s">
        <v>1575</v>
      </c>
      <c r="H31" s="46"/>
      <c r="I31" s="11" t="b">
        <v>1</v>
      </c>
      <c r="J31" s="47" t="str">
        <f t="shared" si="1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IFERROR(__xludf.DUMMYFUNCTION("""COMPUTED_VALUE"""),"Arendsoog")</f>
        <v>Arendsoog</v>
      </c>
      <c r="R31" s="49">
        <f>IFERROR(__xludf.DUMMYFUNCTION("""COMPUTED_VALUE"""),8494.0)</f>
        <v>8494</v>
      </c>
      <c r="S31" s="49"/>
    </row>
    <row r="32">
      <c r="A32" s="43">
        <v>4.0</v>
      </c>
      <c r="B32" s="43">
        <v>7.0</v>
      </c>
      <c r="C32" s="43">
        <v>53.2392259126046</v>
      </c>
      <c r="D32" s="43">
        <v>6.58328853147782</v>
      </c>
      <c r="E32" s="43" t="s">
        <v>98</v>
      </c>
      <c r="F32" s="44" t="s">
        <v>705</v>
      </c>
      <c r="G32" s="45" t="s">
        <v>1576</v>
      </c>
      <c r="H32" s="46"/>
      <c r="I32" s="11" t="b">
        <v>1</v>
      </c>
      <c r="J32" s="47" t="str">
        <f t="shared" si="1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IFERROR(__xludf.DUMMYFUNCTION("""COMPUTED_VALUE"""),"Anseldelux")</f>
        <v>Anseldelux</v>
      </c>
      <c r="R32" s="49">
        <f>IFERROR(__xludf.DUMMYFUNCTION("""COMPUTED_VALUE"""),1559.0)</f>
        <v>1559</v>
      </c>
      <c r="S32" s="49"/>
    </row>
    <row r="33">
      <c r="A33" s="43">
        <v>4.0</v>
      </c>
      <c r="B33" s="43">
        <v>8.0</v>
      </c>
      <c r="C33" s="43">
        <v>53.2392259123633</v>
      </c>
      <c r="D33" s="43">
        <v>6.5835286925253</v>
      </c>
      <c r="E33" s="43" t="s">
        <v>98</v>
      </c>
      <c r="F33" s="44" t="s">
        <v>621</v>
      </c>
      <c r="G33" s="45" t="s">
        <v>1577</v>
      </c>
      <c r="H33" s="46"/>
      <c r="I33" s="11" t="b">
        <v>1</v>
      </c>
      <c r="J33" s="47" t="str">
        <f t="shared" si="1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IFERROR(__xludf.DUMMYFUNCTION("""COMPUTED_VALUE"""),"djeagle")</f>
        <v>djeagle</v>
      </c>
      <c r="R33" s="49">
        <f>IFERROR(__xludf.DUMMYFUNCTION("""COMPUTED_VALUE"""),7403.0)</f>
        <v>7403</v>
      </c>
      <c r="S33" s="49"/>
    </row>
    <row r="34">
      <c r="A34" s="43">
        <v>5.0</v>
      </c>
      <c r="B34" s="43">
        <v>1.0</v>
      </c>
      <c r="C34" s="43">
        <v>53.2390821836072</v>
      </c>
      <c r="D34" s="43">
        <v>6.58184754422552</v>
      </c>
      <c r="E34" s="43" t="s">
        <v>103</v>
      </c>
      <c r="F34" s="44" t="s">
        <v>1578</v>
      </c>
      <c r="G34" s="45" t="s">
        <v>1579</v>
      </c>
      <c r="H34" s="46"/>
      <c r="I34" s="11" t="b">
        <v>1</v>
      </c>
      <c r="J34" s="47" t="str">
        <f t="shared" si="1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IFERROR(__xludf.DUMMYFUNCTION("""COMPUTED_VALUE"""),"McCormick64")</f>
        <v>McCormick64</v>
      </c>
      <c r="R34" s="49">
        <f>IFERROR(__xludf.DUMMYFUNCTION("""COMPUTED_VALUE"""),267.0)</f>
        <v>267</v>
      </c>
      <c r="S34" s="49"/>
    </row>
    <row r="35">
      <c r="A35" s="43">
        <v>5.0</v>
      </c>
      <c r="B35" s="43">
        <v>2.0</v>
      </c>
      <c r="C35" s="43">
        <v>53.2390821833659</v>
      </c>
      <c r="D35" s="43">
        <v>6.58208770446663</v>
      </c>
      <c r="E35" s="43" t="s">
        <v>98</v>
      </c>
      <c r="F35" s="44" t="s">
        <v>141</v>
      </c>
      <c r="G35" s="45" t="s">
        <v>1580</v>
      </c>
      <c r="H35" s="46"/>
      <c r="I35" s="11" t="b">
        <v>1</v>
      </c>
      <c r="J35" s="47" t="str">
        <f t="shared" si="1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IFERROR(__xludf.DUMMYFUNCTION("""COMPUTED_VALUE"""),3730.0)</f>
        <v>3730</v>
      </c>
      <c r="S35" s="49"/>
    </row>
    <row r="36">
      <c r="A36" s="43">
        <v>5.0</v>
      </c>
      <c r="B36" s="43">
        <v>3.0</v>
      </c>
      <c r="C36" s="43">
        <v>53.2390821831246</v>
      </c>
      <c r="D36" s="43">
        <v>6.58232786470762</v>
      </c>
      <c r="E36" s="43" t="s">
        <v>103</v>
      </c>
      <c r="F36" s="44" t="s">
        <v>606</v>
      </c>
      <c r="G36" s="45" t="s">
        <v>1581</v>
      </c>
      <c r="H36" s="46"/>
      <c r="I36" s="11" t="b">
        <v>1</v>
      </c>
      <c r="J36" s="47" t="str">
        <f t="shared" si="1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IFERROR(__xludf.DUMMYFUNCTION("""COMPUTED_VALUE"""),"Arendsoog")</f>
        <v>Arendsoog</v>
      </c>
      <c r="R36" s="49">
        <f>IFERROR(__xludf.DUMMYFUNCTION("""COMPUTED_VALUE"""),8502.0)</f>
        <v>8502</v>
      </c>
      <c r="S36" s="49"/>
    </row>
    <row r="37">
      <c r="A37" s="43">
        <v>5.0</v>
      </c>
      <c r="B37" s="43">
        <v>4.0</v>
      </c>
      <c r="C37" s="43">
        <v>53.2390821828832</v>
      </c>
      <c r="D37" s="43">
        <v>6.58256802494861</v>
      </c>
      <c r="E37" s="43" t="s">
        <v>98</v>
      </c>
      <c r="F37" s="44" t="s">
        <v>705</v>
      </c>
      <c r="G37" s="45" t="s">
        <v>1582</v>
      </c>
      <c r="H37" s="46"/>
      <c r="I37" s="11" t="b">
        <v>1</v>
      </c>
      <c r="J37" s="47" t="str">
        <f t="shared" si="1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IFERROR(__xludf.DUMMYFUNCTION("""COMPUTED_VALUE"""),"Anseldelux")</f>
        <v>Anseldelux</v>
      </c>
      <c r="R37" s="49">
        <f>IFERROR(__xludf.DUMMYFUNCTION("""COMPUTED_VALUE"""),1271.0)</f>
        <v>1271</v>
      </c>
      <c r="S37" s="49"/>
    </row>
    <row r="38">
      <c r="A38" s="43">
        <v>5.0</v>
      </c>
      <c r="B38" s="43">
        <v>5.0</v>
      </c>
      <c r="C38" s="43">
        <v>53.2390821826419</v>
      </c>
      <c r="D38" s="43">
        <v>6.5828081851896</v>
      </c>
      <c r="E38" s="43" t="s">
        <v>98</v>
      </c>
      <c r="F38" s="44" t="s">
        <v>1583</v>
      </c>
      <c r="G38" s="54" t="s">
        <v>1584</v>
      </c>
      <c r="H38" s="46"/>
      <c r="I38" s="11" t="b">
        <v>1</v>
      </c>
      <c r="J38" s="47" t="str">
        <f t="shared" si="1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IFERROR(__xludf.DUMMYFUNCTION("split(G38,""/"")"),"http:")</f>
        <v>http: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IFERROR(__xludf.DUMMYFUNCTION("""COMPUTED_VALUE"""),"Rudydennis")</f>
        <v>Rudydennis</v>
      </c>
      <c r="R38" s="49">
        <f>IFERROR(__xludf.DUMMYFUNCTION("""COMPUTED_VALUE"""),868.0)</f>
        <v>868</v>
      </c>
      <c r="S38" s="49"/>
    </row>
    <row r="39">
      <c r="A39" s="43">
        <v>5.0</v>
      </c>
      <c r="B39" s="43">
        <v>6.0</v>
      </c>
      <c r="C39" s="43">
        <v>53.2390821824006</v>
      </c>
      <c r="D39" s="43">
        <v>6.58304834543059</v>
      </c>
      <c r="E39" s="43" t="s">
        <v>98</v>
      </c>
      <c r="F39" s="44" t="s">
        <v>132</v>
      </c>
      <c r="G39" s="45" t="s">
        <v>1585</v>
      </c>
      <c r="H39" s="46"/>
      <c r="I39" s="11" t="b">
        <v>1</v>
      </c>
      <c r="J39" s="47" t="str">
        <f t="shared" si="1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IFERROR(__xludf.DUMMYFUNCTION("""COMPUTED_VALUE"""),"crscousins")</f>
        <v>crscousins</v>
      </c>
      <c r="R39" s="49">
        <f>IFERROR(__xludf.DUMMYFUNCTION("""COMPUTED_VALUE"""),7149.0)</f>
        <v>7149</v>
      </c>
      <c r="S39" s="49"/>
    </row>
    <row r="40">
      <c r="A40" s="43">
        <v>5.0</v>
      </c>
      <c r="B40" s="43">
        <v>7.0</v>
      </c>
      <c r="C40" s="43">
        <v>53.2390821821592</v>
      </c>
      <c r="D40" s="43">
        <v>6.58328850567158</v>
      </c>
      <c r="E40" s="43" t="s">
        <v>98</v>
      </c>
      <c r="F40" s="44" t="s">
        <v>138</v>
      </c>
      <c r="G40" s="45" t="s">
        <v>1586</v>
      </c>
      <c r="H40" s="46"/>
      <c r="I40" s="11" t="b">
        <v>1</v>
      </c>
      <c r="J40" s="47" t="str">
        <f t="shared" si="1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IFERROR(__xludf.DUMMYFUNCTION("""COMPUTED_VALUE"""),"Anetzet")</f>
        <v>Anetzet</v>
      </c>
      <c r="R40" s="49">
        <f>IFERROR(__xludf.DUMMYFUNCTION("""COMPUTED_VALUE"""),6094.0)</f>
        <v>6094</v>
      </c>
      <c r="S40" s="49"/>
    </row>
    <row r="41">
      <c r="A41" s="43">
        <v>5.0</v>
      </c>
      <c r="B41" s="43">
        <v>8.0</v>
      </c>
      <c r="C41" s="43">
        <v>53.2390821819179</v>
      </c>
      <c r="D41" s="43">
        <v>6.58352866591258</v>
      </c>
      <c r="E41" s="43" t="s">
        <v>98</v>
      </c>
      <c r="F41" s="44" t="s">
        <v>101</v>
      </c>
      <c r="G41" s="52" t="s">
        <v>1587</v>
      </c>
      <c r="H41" s="46"/>
      <c r="I41" s="11" t="b">
        <v>1</v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IFERROR(__xludf.DUMMYFUNCTION("""COMPUTED_VALUE"""),"sverlaan")</f>
        <v>sverlaan</v>
      </c>
      <c r="R41" s="49">
        <f>IFERROR(__xludf.DUMMYFUNCTION("""COMPUTED_VALUE"""),7200.0)</f>
        <v>7200</v>
      </c>
      <c r="S41" s="51">
        <v>44698.61295487269</v>
      </c>
    </row>
    <row r="42">
      <c r="A42" s="43">
        <v>6.0</v>
      </c>
      <c r="B42" s="43">
        <v>1.0</v>
      </c>
      <c r="C42" s="43">
        <v>53.2389384531618</v>
      </c>
      <c r="D42" s="43">
        <v>6.58184752325667</v>
      </c>
      <c r="E42" s="43" t="s">
        <v>98</v>
      </c>
      <c r="F42" s="44" t="s">
        <v>149</v>
      </c>
      <c r="G42" s="45" t="s">
        <v>1588</v>
      </c>
      <c r="H42" s="46"/>
      <c r="I42" s="11" t="b">
        <v>1</v>
      </c>
      <c r="J42" s="47" t="str">
        <f t="shared" ref="J42:J51" si="3">if(I42=true,"",S42)</f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IFERROR(__xludf.DUMMYFUNCTION("""COMPUTED_VALUE"""),7126.0)</f>
        <v>7126</v>
      </c>
      <c r="S42" s="49"/>
    </row>
    <row r="43">
      <c r="A43" s="43">
        <v>6.0</v>
      </c>
      <c r="B43" s="43">
        <v>2.0</v>
      </c>
      <c r="C43" s="43">
        <v>53.2389384529205</v>
      </c>
      <c r="D43" s="43">
        <v>6.58208768269128</v>
      </c>
      <c r="E43" s="43" t="s">
        <v>98</v>
      </c>
      <c r="F43" s="44" t="s">
        <v>254</v>
      </c>
      <c r="G43" s="45" t="s">
        <v>1589</v>
      </c>
      <c r="H43" s="46"/>
      <c r="I43" s="11" t="b">
        <v>1</v>
      </c>
      <c r="J43" s="47" t="str">
        <f t="shared" si="3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IFERROR(__xludf.DUMMYFUNCTION("""COMPUTED_VALUE"""),"wally62")</f>
        <v>wally62</v>
      </c>
      <c r="R43" s="49">
        <f>IFERROR(__xludf.DUMMYFUNCTION("""COMPUTED_VALUE"""),5729.0)</f>
        <v>5729</v>
      </c>
      <c r="S43" s="49"/>
    </row>
    <row r="44">
      <c r="A44" s="43">
        <v>6.0</v>
      </c>
      <c r="B44" s="43">
        <v>3.0</v>
      </c>
      <c r="C44" s="43">
        <v>53.2389384526792</v>
      </c>
      <c r="D44" s="43">
        <v>6.58232784212589</v>
      </c>
      <c r="E44" s="43" t="s">
        <v>103</v>
      </c>
      <c r="F44" s="44" t="s">
        <v>621</v>
      </c>
      <c r="G44" s="45" t="s">
        <v>1590</v>
      </c>
      <c r="H44" s="46"/>
      <c r="I44" s="11" t="b">
        <v>1</v>
      </c>
      <c r="J44" s="47" t="str">
        <f t="shared" si="3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IFERROR(__xludf.DUMMYFUNCTION("""COMPUTED_VALUE"""),"djeagle")</f>
        <v>djeagle</v>
      </c>
      <c r="R44" s="49">
        <f>IFERROR(__xludf.DUMMYFUNCTION("""COMPUTED_VALUE"""),7363.0)</f>
        <v>7363</v>
      </c>
      <c r="S44" s="49"/>
    </row>
    <row r="45">
      <c r="A45" s="43">
        <v>6.0</v>
      </c>
      <c r="B45" s="43">
        <v>4.0</v>
      </c>
      <c r="C45" s="43">
        <v>53.2389384524378</v>
      </c>
      <c r="D45" s="43">
        <v>6.5825680015605</v>
      </c>
      <c r="E45" s="43" t="s">
        <v>98</v>
      </c>
      <c r="F45" s="44" t="s">
        <v>879</v>
      </c>
      <c r="G45" s="45" t="s">
        <v>1591</v>
      </c>
      <c r="H45" s="46"/>
      <c r="I45" s="11" t="b">
        <v>1</v>
      </c>
      <c r="J45" s="47" t="str">
        <f t="shared" si="3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IFERROR(__xludf.DUMMYFUNCTION("""COMPUTED_VALUE"""),"Franca")</f>
        <v>Franca</v>
      </c>
      <c r="R45" s="49">
        <f>IFERROR(__xludf.DUMMYFUNCTION("""COMPUTED_VALUE"""),3143.0)</f>
        <v>3143</v>
      </c>
      <c r="S45" s="49"/>
    </row>
    <row r="46">
      <c r="A46" s="43">
        <v>6.0</v>
      </c>
      <c r="B46" s="43">
        <v>5.0</v>
      </c>
      <c r="C46" s="43">
        <v>53.2389384521965</v>
      </c>
      <c r="D46" s="43">
        <v>6.58280816099511</v>
      </c>
      <c r="E46" s="43" t="s">
        <v>98</v>
      </c>
      <c r="F46" s="44" t="s">
        <v>534</v>
      </c>
      <c r="G46" s="45" t="s">
        <v>1592</v>
      </c>
      <c r="H46" s="46"/>
      <c r="I46" s="11" t="b">
        <v>1</v>
      </c>
      <c r="J46" s="47" t="str">
        <f t="shared" si="3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IFERROR(__xludf.DUMMYFUNCTION("""COMPUTED_VALUE"""),"Girlteddy5")</f>
        <v>Girlteddy5</v>
      </c>
      <c r="R46" s="49">
        <f>IFERROR(__xludf.DUMMYFUNCTION("""COMPUTED_VALUE"""),110.0)</f>
        <v>110</v>
      </c>
      <c r="S46" s="49"/>
    </row>
    <row r="47">
      <c r="A47" s="43">
        <v>6.0</v>
      </c>
      <c r="B47" s="43">
        <v>6.0</v>
      </c>
      <c r="C47" s="43">
        <v>53.2389384519552</v>
      </c>
      <c r="D47" s="43">
        <v>6.58304832042972</v>
      </c>
      <c r="E47" s="43" t="s">
        <v>103</v>
      </c>
      <c r="F47" s="44" t="s">
        <v>532</v>
      </c>
      <c r="G47" s="45" t="s">
        <v>1593</v>
      </c>
      <c r="H47" s="46"/>
      <c r="I47" s="11" t="b">
        <v>1</v>
      </c>
      <c r="J47" s="47" t="str">
        <f t="shared" si="3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IFERROR(__xludf.DUMMYFUNCTION("""COMPUTED_VALUE"""),"MeanderingMonkeys")</f>
        <v>MeanderingMonkeys</v>
      </c>
      <c r="R47" s="49">
        <f>IFERROR(__xludf.DUMMYFUNCTION("""COMPUTED_VALUE"""),22568.0)</f>
        <v>22568</v>
      </c>
      <c r="S47" s="49"/>
    </row>
    <row r="48">
      <c r="A48" s="43">
        <v>6.0</v>
      </c>
      <c r="B48" s="43">
        <v>7.0</v>
      </c>
      <c r="C48" s="43">
        <v>53.2389384517139</v>
      </c>
      <c r="D48" s="43">
        <v>6.58328847986433</v>
      </c>
      <c r="E48" s="43" t="s">
        <v>98</v>
      </c>
      <c r="F48" s="44" t="s">
        <v>145</v>
      </c>
      <c r="G48" s="148" t="s">
        <v>1594</v>
      </c>
      <c r="H48" s="46"/>
      <c r="I48" s="11" t="b">
        <v>1</v>
      </c>
      <c r="J48" s="47" t="str">
        <f t="shared" si="3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IFERROR(__xludf.DUMMYFUNCTION("""COMPUTED_VALUE"""),5822.0)</f>
        <v>5822</v>
      </c>
      <c r="S48" s="51">
        <v>44357.50290623843</v>
      </c>
    </row>
    <row r="49">
      <c r="A49" s="43">
        <v>6.0</v>
      </c>
      <c r="B49" s="43">
        <v>8.0</v>
      </c>
      <c r="C49" s="43">
        <v>53.2389384514725</v>
      </c>
      <c r="D49" s="43">
        <v>6.58352863929894</v>
      </c>
      <c r="E49" s="43" t="s">
        <v>98</v>
      </c>
      <c r="F49" s="44" t="s">
        <v>147</v>
      </c>
      <c r="G49" s="52" t="s">
        <v>1595</v>
      </c>
      <c r="H49" s="46"/>
      <c r="I49" s="11" t="b">
        <v>1</v>
      </c>
      <c r="J49" s="47" t="str">
        <f t="shared" si="3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IFERROR(__xludf.DUMMYFUNCTION("""COMPUTED_VALUE"""),13723.0)</f>
        <v>13723</v>
      </c>
      <c r="S49" s="51">
        <v>44357.50296621528</v>
      </c>
    </row>
    <row r="50">
      <c r="A50" s="43">
        <v>7.0</v>
      </c>
      <c r="B50" s="43">
        <v>2.0</v>
      </c>
      <c r="C50" s="43">
        <v>53.238794722475</v>
      </c>
      <c r="D50" s="43">
        <v>6.58208766091729</v>
      </c>
      <c r="E50" s="43" t="s">
        <v>103</v>
      </c>
      <c r="F50" s="44" t="s">
        <v>138</v>
      </c>
      <c r="G50" s="45" t="s">
        <v>1596</v>
      </c>
      <c r="H50" s="46"/>
      <c r="I50" s="11" t="b">
        <v>1</v>
      </c>
      <c r="J50" s="47" t="str">
        <f t="shared" si="3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IFERROR(__xludf.DUMMYFUNCTION("""COMPUTED_VALUE"""),"Anetzet")</f>
        <v>Anetzet</v>
      </c>
      <c r="R50" s="49">
        <f>IFERROR(__xludf.DUMMYFUNCTION("""COMPUTED_VALUE"""),4998.0)</f>
        <v>4998</v>
      </c>
      <c r="S50" s="49"/>
    </row>
    <row r="51">
      <c r="A51" s="43">
        <v>7.0</v>
      </c>
      <c r="B51" s="43">
        <v>3.0</v>
      </c>
      <c r="C51" s="43">
        <v>53.2387947222337</v>
      </c>
      <c r="D51" s="43">
        <v>6.58232781954541</v>
      </c>
      <c r="E51" s="43" t="s">
        <v>98</v>
      </c>
      <c r="F51" s="44" t="s">
        <v>1597</v>
      </c>
      <c r="G51" s="45" t="s">
        <v>1598</v>
      </c>
      <c r="H51" s="46"/>
      <c r="I51" s="11" t="b">
        <v>1</v>
      </c>
      <c r="J51" s="47" t="str">
        <f t="shared" si="3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IFERROR(__xludf.DUMMYFUNCTION("""COMPUTED_VALUE"""),"amundadus")</f>
        <v>amundadus</v>
      </c>
      <c r="R51" s="49">
        <f>IFERROR(__xludf.DUMMYFUNCTION("""COMPUTED_VALUE"""),1541.0)</f>
        <v>1541</v>
      </c>
      <c r="S51" s="49"/>
    </row>
    <row r="52">
      <c r="A52" s="43">
        <v>7.0</v>
      </c>
      <c r="B52" s="43">
        <v>4.0</v>
      </c>
      <c r="C52" s="43">
        <v>53.2387947219923</v>
      </c>
      <c r="D52" s="43">
        <v>6.58256797817352</v>
      </c>
      <c r="E52" s="43" t="s">
        <v>98</v>
      </c>
      <c r="F52" s="44" t="s">
        <v>101</v>
      </c>
      <c r="G52" s="52" t="s">
        <v>1599</v>
      </c>
      <c r="H52" s="46"/>
      <c r="I52" s="11" t="b">
        <v>1</v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IFERROR(__xludf.DUMMYFUNCTION("""COMPUTED_VALUE"""),"sverlaan")</f>
        <v>sverlaan</v>
      </c>
      <c r="R52" s="49">
        <f>IFERROR(__xludf.DUMMYFUNCTION("""COMPUTED_VALUE"""),7197.0)</f>
        <v>7197</v>
      </c>
      <c r="S52" s="51">
        <v>44698.61365829861</v>
      </c>
    </row>
    <row r="53">
      <c r="A53" s="43">
        <v>7.0</v>
      </c>
      <c r="B53" s="43">
        <v>5.0</v>
      </c>
      <c r="C53" s="43">
        <v>53.238794721751</v>
      </c>
      <c r="D53" s="43">
        <v>6.58280813680164</v>
      </c>
      <c r="E53" s="43" t="s">
        <v>98</v>
      </c>
      <c r="F53" s="44" t="s">
        <v>1600</v>
      </c>
      <c r="G53" s="52" t="s">
        <v>1601</v>
      </c>
      <c r="H53" s="46"/>
      <c r="I53" s="11" t="b">
        <v>1</v>
      </c>
      <c r="J53" s="47" t="str">
        <f t="shared" ref="J53:J59" si="4">if(I53=true,"",S53)</f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IFERROR(__xludf.DUMMYFUNCTION("""COMPUTED_VALUE"""),"Chaotix")</f>
        <v>Chaotix</v>
      </c>
      <c r="R53" s="49">
        <f>IFERROR(__xludf.DUMMYFUNCTION("""COMPUTED_VALUE"""),578.0)</f>
        <v>578</v>
      </c>
      <c r="S53" s="49"/>
    </row>
    <row r="54">
      <c r="A54" s="43">
        <v>7.0</v>
      </c>
      <c r="B54" s="43">
        <v>6.0</v>
      </c>
      <c r="C54" s="43">
        <v>53.2387947215097</v>
      </c>
      <c r="D54" s="43">
        <v>6.58304829542976</v>
      </c>
      <c r="E54" s="43" t="s">
        <v>98</v>
      </c>
      <c r="F54" s="44" t="s">
        <v>621</v>
      </c>
      <c r="G54" s="45" t="s">
        <v>1602</v>
      </c>
      <c r="H54" s="46"/>
      <c r="I54" s="11" t="b">
        <v>1</v>
      </c>
      <c r="J54" s="47" t="str">
        <f t="shared" si="4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IFERROR(__xludf.DUMMYFUNCTION("""COMPUTED_VALUE"""),"djeagle")</f>
        <v>djeagle</v>
      </c>
      <c r="R54" s="49">
        <f>IFERROR(__xludf.DUMMYFUNCTION("""COMPUTED_VALUE"""),7361.0)</f>
        <v>7361</v>
      </c>
      <c r="S54" s="49"/>
    </row>
    <row r="55">
      <c r="A55" s="43">
        <v>7.0</v>
      </c>
      <c r="B55" s="43">
        <v>7.0</v>
      </c>
      <c r="C55" s="43">
        <v>53.2387947212684</v>
      </c>
      <c r="D55" s="43">
        <v>6.58328845405787</v>
      </c>
      <c r="E55" s="43" t="s">
        <v>98</v>
      </c>
      <c r="F55" s="44" t="s">
        <v>1578</v>
      </c>
      <c r="G55" s="45" t="s">
        <v>1603</v>
      </c>
      <c r="H55" s="46"/>
      <c r="I55" s="11" t="b">
        <v>1</v>
      </c>
      <c r="J55" s="47" t="str">
        <f t="shared" si="4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IFERROR(__xludf.DUMMYFUNCTION("""COMPUTED_VALUE"""),"McCormick64")</f>
        <v>McCormick64</v>
      </c>
      <c r="R55" s="49">
        <f>IFERROR(__xludf.DUMMYFUNCTION("""COMPUTED_VALUE"""),1455.0)</f>
        <v>1455</v>
      </c>
      <c r="S55" s="49"/>
    </row>
    <row r="56">
      <c r="A56" s="43">
        <v>8.0</v>
      </c>
      <c r="B56" s="43">
        <v>3.0</v>
      </c>
      <c r="C56" s="43">
        <v>53.2386509917883</v>
      </c>
      <c r="D56" s="43">
        <v>6.58232779696527</v>
      </c>
      <c r="E56" s="43" t="s">
        <v>98</v>
      </c>
      <c r="F56" s="44" t="s">
        <v>207</v>
      </c>
      <c r="G56" s="45" t="s">
        <v>1604</v>
      </c>
      <c r="H56" s="46"/>
      <c r="I56" s="11" t="b">
        <v>1</v>
      </c>
      <c r="J56" s="47" t="str">
        <f t="shared" si="4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IFERROR(__xludf.DUMMYFUNCTION("""COMPUTED_VALUE"""),"5Star")</f>
        <v>5Star</v>
      </c>
      <c r="R56" s="49">
        <f>IFERROR(__xludf.DUMMYFUNCTION("""COMPUTED_VALUE"""),9439.0)</f>
        <v>9439</v>
      </c>
      <c r="S56" s="51">
        <v>44357.50285655093</v>
      </c>
    </row>
    <row r="57">
      <c r="A57" s="43">
        <v>8.0</v>
      </c>
      <c r="B57" s="43">
        <v>4.0</v>
      </c>
      <c r="C57" s="43">
        <v>53.2386509915469</v>
      </c>
      <c r="D57" s="43">
        <v>6.582567954787</v>
      </c>
      <c r="E57" s="43" t="s">
        <v>103</v>
      </c>
      <c r="F57" s="44" t="s">
        <v>606</v>
      </c>
      <c r="G57" s="45" t="s">
        <v>1605</v>
      </c>
      <c r="H57" s="46"/>
      <c r="I57" s="11" t="b">
        <v>1</v>
      </c>
      <c r="J57" s="47" t="str">
        <f t="shared" si="4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IFERROR(__xludf.DUMMYFUNCTION("""COMPUTED_VALUE"""),"Arendsoog")</f>
        <v>Arendsoog</v>
      </c>
      <c r="R57" s="49">
        <f>IFERROR(__xludf.DUMMYFUNCTION("""COMPUTED_VALUE"""),8816.0)</f>
        <v>8816</v>
      </c>
      <c r="S57" s="49"/>
    </row>
    <row r="58">
      <c r="A58" s="43">
        <v>8.0</v>
      </c>
      <c r="B58" s="43">
        <v>5.0</v>
      </c>
      <c r="C58" s="43">
        <v>53.2386509913056</v>
      </c>
      <c r="D58" s="43">
        <v>6.58280811260874</v>
      </c>
      <c r="E58" s="43" t="s">
        <v>103</v>
      </c>
      <c r="F58" s="44" t="s">
        <v>138</v>
      </c>
      <c r="G58" s="45" t="s">
        <v>1606</v>
      </c>
      <c r="H58" s="46"/>
      <c r="I58" s="11" t="b">
        <v>1</v>
      </c>
      <c r="J58" s="47" t="str">
        <f t="shared" si="4"/>
        <v/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IFERROR(__xludf.DUMMYFUNCTION("""COMPUTED_VALUE"""),"Anetzet")</f>
        <v>Anetzet</v>
      </c>
      <c r="R58" s="49">
        <f>IFERROR(__xludf.DUMMYFUNCTION("""COMPUTED_VALUE"""),7207.0)</f>
        <v>7207</v>
      </c>
      <c r="S58" s="49"/>
    </row>
    <row r="59">
      <c r="A59" s="43">
        <v>8.0</v>
      </c>
      <c r="B59" s="43">
        <v>6.0</v>
      </c>
      <c r="C59" s="43">
        <v>53.2386509910643</v>
      </c>
      <c r="D59" s="43">
        <v>6.58304827043048</v>
      </c>
      <c r="E59" s="43" t="s">
        <v>98</v>
      </c>
      <c r="F59" s="44" t="s">
        <v>705</v>
      </c>
      <c r="G59" s="45" t="s">
        <v>1607</v>
      </c>
      <c r="H59" s="46"/>
      <c r="I59" s="11" t="b">
        <v>1</v>
      </c>
      <c r="J59" s="47" t="str">
        <f t="shared" si="4"/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IFERROR(__xludf.DUMMYFUNCTION("""COMPUTED_VALUE"""),"Anseldelux")</f>
        <v>Anseldelux</v>
      </c>
      <c r="R59" s="49">
        <f>IFERROR(__xludf.DUMMYFUNCTION("""COMPUTED_VALUE"""),1270.0)</f>
        <v>1270</v>
      </c>
      <c r="S59" s="49"/>
    </row>
    <row r="61" hidden="1">
      <c r="F61" s="47">
        <f t="shared" ref="F61:G61" si="5">COUNTIF(F8:F59,"")</f>
        <v>0</v>
      </c>
      <c r="G61" s="47">
        <f t="shared" si="5"/>
        <v>0</v>
      </c>
      <c r="I61" s="47">
        <f>COUNTIF(I8:I59,TRUE)</f>
        <v>52</v>
      </c>
    </row>
    <row r="62" hidden="1"/>
  </sheetData>
  <mergeCells count="3">
    <mergeCell ref="B1:C1"/>
    <mergeCell ref="I2:I3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3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0"/>
    <col customWidth="1" min="2" max="2" width="9.0"/>
    <col customWidth="1" min="5" max="5" width="17.88"/>
    <col customWidth="1" min="6" max="6" width="14.63"/>
    <col customWidth="1" min="7" max="7" width="43.7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29</v>
      </c>
      <c r="D1" s="37" t="s">
        <v>55</v>
      </c>
      <c r="E1" s="2" t="s">
        <v>79</v>
      </c>
      <c r="F1" s="24" t="s">
        <v>188</v>
      </c>
      <c r="G1" s="69" t="s">
        <v>1608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75">
        <v>44160.702090624996</v>
      </c>
    </row>
    <row r="2">
      <c r="A2" s="2"/>
      <c r="B2" s="2"/>
      <c r="C2" s="2"/>
      <c r="D2" s="2"/>
      <c r="E2" s="2" t="s">
        <v>82</v>
      </c>
      <c r="F2" s="2"/>
      <c r="G2" s="4" t="s">
        <v>1609</v>
      </c>
      <c r="H2" s="2"/>
      <c r="I2" s="97" t="s">
        <v>769</v>
      </c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52.3108751400418</v>
      </c>
      <c r="D8" s="43">
        <v>4.66696044151615</v>
      </c>
      <c r="E8" s="43" t="s">
        <v>98</v>
      </c>
      <c r="F8" s="44" t="s">
        <v>182</v>
      </c>
      <c r="G8" s="45" t="s">
        <v>1610</v>
      </c>
      <c r="H8" s="46"/>
      <c r="I8" s="11" t="b">
        <v>1</v>
      </c>
      <c r="J8" s="47" t="str">
        <f t="shared" ref="J8:J24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IFERROR(__xludf.DUMMYFUNCTION("""COMPUTED_VALUE"""),"TheFatCats")</f>
        <v>TheFatCats</v>
      </c>
      <c r="R8" s="49">
        <f>IFERROR(__xludf.DUMMYFUNCTION("""COMPUTED_VALUE"""),4276.0)</f>
        <v>4276</v>
      </c>
      <c r="S8" s="51">
        <v>44160.67034121528</v>
      </c>
    </row>
    <row r="9">
      <c r="A9" s="43">
        <v>1.0</v>
      </c>
      <c r="B9" s="43">
        <v>4.0</v>
      </c>
      <c r="C9" s="43">
        <v>52.3108751398084</v>
      </c>
      <c r="D9" s="43">
        <v>4.66719553456164</v>
      </c>
      <c r="E9" s="43" t="s">
        <v>98</v>
      </c>
      <c r="F9" s="44" t="s">
        <v>101</v>
      </c>
      <c r="G9" s="45" t="s">
        <v>1611</v>
      </c>
      <c r="H9" s="44"/>
      <c r="I9" s="11" t="b">
        <v>1</v>
      </c>
      <c r="J9" s="47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IFERROR(__xludf.DUMMYFUNCTION("""COMPUTED_VALUE"""),4631.0)</f>
        <v>4631</v>
      </c>
      <c r="S9" s="51">
        <v>44160.67037216436</v>
      </c>
    </row>
    <row r="10">
      <c r="A10" s="43">
        <v>1.0</v>
      </c>
      <c r="B10" s="43">
        <v>5.0</v>
      </c>
      <c r="C10" s="43">
        <v>52.3108751395751</v>
      </c>
      <c r="D10" s="43">
        <v>4.66743062760713</v>
      </c>
      <c r="E10" s="43" t="s">
        <v>103</v>
      </c>
      <c r="F10" s="44" t="s">
        <v>1119</v>
      </c>
      <c r="G10" s="45" t="s">
        <v>1612</v>
      </c>
      <c r="H10" s="46"/>
      <c r="I10" s="11" t="b">
        <v>1</v>
      </c>
      <c r="J10" s="47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IFERROR(__xludf.DUMMYFUNCTION("""COMPUTED_VALUE"""),2678.0)</f>
        <v>2678</v>
      </c>
      <c r="S10" s="51">
        <v>44160.67043063657</v>
      </c>
    </row>
    <row r="11">
      <c r="A11" s="43">
        <v>1.0</v>
      </c>
      <c r="B11" s="43">
        <v>6.0</v>
      </c>
      <c r="C11" s="43">
        <v>52.3108751393417</v>
      </c>
      <c r="D11" s="43">
        <v>4.66766572065262</v>
      </c>
      <c r="E11" s="43" t="s">
        <v>103</v>
      </c>
      <c r="F11" s="44" t="s">
        <v>217</v>
      </c>
      <c r="G11" s="52" t="s">
        <v>1613</v>
      </c>
      <c r="H11" s="44"/>
      <c r="I11" s="11" t="b">
        <v>1</v>
      </c>
      <c r="J11" s="47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IFERROR(__xludf.DUMMYFUNCTION("""COMPUTED_VALUE"""),3358.0)</f>
        <v>3358</v>
      </c>
      <c r="S11" s="51">
        <v>44160.67046621528</v>
      </c>
    </row>
    <row r="12">
      <c r="A12" s="43">
        <v>2.0</v>
      </c>
      <c r="B12" s="43">
        <v>2.0</v>
      </c>
      <c r="C12" s="43">
        <v>52.3107314098297</v>
      </c>
      <c r="D12" s="43">
        <v>4.66672532786014</v>
      </c>
      <c r="E12" s="43" t="s">
        <v>98</v>
      </c>
      <c r="F12" s="44" t="s">
        <v>1573</v>
      </c>
      <c r="G12" s="52" t="s">
        <v>1614</v>
      </c>
      <c r="H12" s="56"/>
      <c r="I12" s="11" t="b">
        <v>1</v>
      </c>
      <c r="J12" s="47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IFERROR(__xludf.DUMMYFUNCTION("""COMPUTED_VALUE"""),"amundadus")</f>
        <v>amundadus</v>
      </c>
      <c r="R12" s="49">
        <f>IFERROR(__xludf.DUMMYFUNCTION("""COMPUTED_VALUE"""),747.0)</f>
        <v>747</v>
      </c>
      <c r="S12" s="49"/>
    </row>
    <row r="13">
      <c r="A13" s="43">
        <v>2.0</v>
      </c>
      <c r="B13" s="43">
        <v>3.0</v>
      </c>
      <c r="C13" s="43">
        <v>52.3107314095963</v>
      </c>
      <c r="D13" s="43">
        <v>4.66696042014223</v>
      </c>
      <c r="E13" s="43" t="s">
        <v>98</v>
      </c>
      <c r="F13" s="44" t="s">
        <v>114</v>
      </c>
      <c r="G13" s="45" t="s">
        <v>1615</v>
      </c>
      <c r="H13" s="44"/>
      <c r="I13" s="11" t="b">
        <v>1</v>
      </c>
      <c r="J13" s="47" t="str">
        <f t="shared" si="1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IFERROR(__xludf.DUMMYFUNCTION("""COMPUTED_VALUE"""),"J1Huisman")</f>
        <v>J1Huisman</v>
      </c>
      <c r="R13" s="49">
        <f>IFERROR(__xludf.DUMMYFUNCTION("""COMPUTED_VALUE"""),11801.0)</f>
        <v>11801</v>
      </c>
      <c r="S13" s="49"/>
    </row>
    <row r="14">
      <c r="A14" s="43">
        <v>2.0</v>
      </c>
      <c r="B14" s="43">
        <v>4.0</v>
      </c>
      <c r="C14" s="43">
        <v>52.310731409363</v>
      </c>
      <c r="D14" s="43">
        <v>4.66719551242431</v>
      </c>
      <c r="E14" s="43" t="s">
        <v>98</v>
      </c>
      <c r="F14" s="44" t="s">
        <v>870</v>
      </c>
      <c r="G14" s="45" t="s">
        <v>1616</v>
      </c>
      <c r="H14" s="46"/>
      <c r="I14" s="11" t="b">
        <v>1</v>
      </c>
      <c r="J14" s="47" t="str">
        <f t="shared" si="1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IFERROR(__xludf.DUMMYFUNCTION("""COMPUTED_VALUE"""),"amadoreugen")</f>
        <v>amadoreugen</v>
      </c>
      <c r="R14" s="49">
        <f>IFERROR(__xludf.DUMMYFUNCTION("""COMPUTED_VALUE"""),5799.0)</f>
        <v>5799</v>
      </c>
      <c r="S14" s="49"/>
    </row>
    <row r="15">
      <c r="A15" s="43">
        <v>2.0</v>
      </c>
      <c r="B15" s="43">
        <v>5.0</v>
      </c>
      <c r="C15" s="43">
        <v>52.3107314091296</v>
      </c>
      <c r="D15" s="43">
        <v>4.66743060470639</v>
      </c>
      <c r="E15" s="43" t="s">
        <v>103</v>
      </c>
      <c r="F15" s="44" t="s">
        <v>138</v>
      </c>
      <c r="G15" s="45" t="s">
        <v>1617</v>
      </c>
      <c r="H15" s="46"/>
      <c r="I15" s="11" t="b">
        <v>1</v>
      </c>
      <c r="J15" s="47" t="str">
        <f t="shared" si="1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IFERROR(__xludf.DUMMYFUNCTION("""COMPUTED_VALUE"""),"Anetzet")</f>
        <v>Anetzet</v>
      </c>
      <c r="R15" s="49">
        <f>IFERROR(__xludf.DUMMYFUNCTION("""COMPUTED_VALUE"""),3334.0)</f>
        <v>3334</v>
      </c>
      <c r="S15" s="49"/>
    </row>
    <row r="16">
      <c r="A16" s="43">
        <v>2.0</v>
      </c>
      <c r="B16" s="43">
        <v>6.0</v>
      </c>
      <c r="C16" s="43">
        <v>52.3107314088963</v>
      </c>
      <c r="D16" s="43">
        <v>4.66766569698847</v>
      </c>
      <c r="E16" s="43" t="s">
        <v>98</v>
      </c>
      <c r="F16" s="44" t="s">
        <v>120</v>
      </c>
      <c r="G16" s="45" t="s">
        <v>1618</v>
      </c>
      <c r="H16" s="46"/>
      <c r="I16" s="11" t="b">
        <v>1</v>
      </c>
      <c r="J16" s="47" t="str">
        <f t="shared" si="1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IFERROR(__xludf.DUMMYFUNCTION("""COMPUTED_VALUE"""),"xrayneex")</f>
        <v>xrayneex</v>
      </c>
      <c r="R16" s="49">
        <f>IFERROR(__xludf.DUMMYFUNCTION("""COMPUTED_VALUE"""),1673.0)</f>
        <v>1673</v>
      </c>
      <c r="S16" s="49"/>
    </row>
    <row r="17">
      <c r="A17" s="43">
        <v>2.0</v>
      </c>
      <c r="B17" s="43">
        <v>7.0</v>
      </c>
      <c r="C17" s="43">
        <v>52.3107314086629</v>
      </c>
      <c r="D17" s="43">
        <v>4.66790078927056</v>
      </c>
      <c r="E17" s="43" t="s">
        <v>98</v>
      </c>
      <c r="F17" s="44" t="s">
        <v>207</v>
      </c>
      <c r="G17" s="45" t="s">
        <v>1619</v>
      </c>
      <c r="H17" s="44" t="s">
        <v>340</v>
      </c>
      <c r="I17" s="11" t="b">
        <v>1</v>
      </c>
      <c r="J17" s="47" t="str">
        <f t="shared" si="1"/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IFERROR(__xludf.DUMMYFUNCTION("""COMPUTED_VALUE"""),"5Star")</f>
        <v>5Star</v>
      </c>
      <c r="R17" s="49">
        <f>IFERROR(__xludf.DUMMYFUNCTION("""COMPUTED_VALUE"""),6065.0)</f>
        <v>6065</v>
      </c>
      <c r="S17" s="51">
        <v>44160.67094292824</v>
      </c>
    </row>
    <row r="18">
      <c r="A18" s="43">
        <v>3.0</v>
      </c>
      <c r="B18" s="43">
        <v>1.0</v>
      </c>
      <c r="C18" s="43">
        <v>52.3105876796175</v>
      </c>
      <c r="D18" s="43">
        <v>4.66649021573107</v>
      </c>
      <c r="E18" s="43" t="s">
        <v>98</v>
      </c>
      <c r="F18" s="44" t="s">
        <v>122</v>
      </c>
      <c r="G18" s="45" t="s">
        <v>1620</v>
      </c>
      <c r="H18" s="46"/>
      <c r="I18" s="11" t="b">
        <v>1</v>
      </c>
      <c r="J18" s="47" t="str">
        <f t="shared" si="1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IFERROR(__xludf.DUMMYFUNCTION("""COMPUTED_VALUE"""),"Drazoria")</f>
        <v>Drazoria</v>
      </c>
      <c r="R18" s="49">
        <f>IFERROR(__xludf.DUMMYFUNCTION("""COMPUTED_VALUE"""),999.0)</f>
        <v>999</v>
      </c>
      <c r="S18" s="51">
        <v>44164.72947491898</v>
      </c>
    </row>
    <row r="19">
      <c r="A19" s="43">
        <v>3.0</v>
      </c>
      <c r="B19" s="43">
        <v>2.0</v>
      </c>
      <c r="C19" s="43">
        <v>52.3105876793842</v>
      </c>
      <c r="D19" s="43">
        <v>4.66672530724986</v>
      </c>
      <c r="E19" s="43" t="s">
        <v>98</v>
      </c>
      <c r="F19" s="44" t="s">
        <v>124</v>
      </c>
      <c r="G19" s="45" t="s">
        <v>1621</v>
      </c>
      <c r="H19" s="46"/>
      <c r="I19" s="11" t="b">
        <v>1</v>
      </c>
      <c r="J19" s="47" t="str">
        <f t="shared" si="1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IFERROR(__xludf.DUMMYFUNCTION("""COMPUTED_VALUE"""),"Tinake1309")</f>
        <v>Tinake1309</v>
      </c>
      <c r="R19" s="49">
        <f>IFERROR(__xludf.DUMMYFUNCTION("""COMPUTED_VALUE"""),947.0)</f>
        <v>947</v>
      </c>
      <c r="S19" s="51">
        <v>44164.72953777778</v>
      </c>
    </row>
    <row r="20">
      <c r="A20" s="43">
        <v>3.0</v>
      </c>
      <c r="B20" s="43">
        <v>3.0</v>
      </c>
      <c r="C20" s="43">
        <v>52.3105876791509</v>
      </c>
      <c r="D20" s="43">
        <v>4.66696039876865</v>
      </c>
      <c r="E20" s="43" t="s">
        <v>98</v>
      </c>
      <c r="F20" s="44" t="s">
        <v>126</v>
      </c>
      <c r="G20" s="45" t="s">
        <v>1622</v>
      </c>
      <c r="H20" s="46"/>
      <c r="I20" s="11" t="b">
        <v>1</v>
      </c>
      <c r="J20" s="47" t="str">
        <f t="shared" si="1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IFERROR(__xludf.DUMMYFUNCTION("""COMPUTED_VALUE"""),"Berg14")</f>
        <v>Berg14</v>
      </c>
      <c r="R20" s="49">
        <f>IFERROR(__xludf.DUMMYFUNCTION("""COMPUTED_VALUE"""),686.0)</f>
        <v>686</v>
      </c>
      <c r="S20" s="51">
        <v>44164.72958792824</v>
      </c>
    </row>
    <row r="21">
      <c r="A21" s="43">
        <v>3.0</v>
      </c>
      <c r="B21" s="43">
        <v>4.0</v>
      </c>
      <c r="C21" s="43">
        <v>52.3105876789175</v>
      </c>
      <c r="D21" s="43">
        <v>4.66719549028744</v>
      </c>
      <c r="E21" s="43" t="s">
        <v>98</v>
      </c>
      <c r="F21" s="44" t="s">
        <v>128</v>
      </c>
      <c r="G21" s="45" t="s">
        <v>1623</v>
      </c>
      <c r="H21" s="46"/>
      <c r="I21" s="11" t="b">
        <v>1</v>
      </c>
      <c r="J21" s="47" t="str">
        <f t="shared" si="1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IFERROR(__xludf.DUMMYFUNCTION("""COMPUTED_VALUE"""),"Niks13")</f>
        <v>Niks13</v>
      </c>
      <c r="R21" s="49">
        <f>IFERROR(__xludf.DUMMYFUNCTION("""COMPUTED_VALUE"""),645.0)</f>
        <v>645</v>
      </c>
      <c r="S21" s="51">
        <v>44164.72964143519</v>
      </c>
    </row>
    <row r="22" ht="12.75" customHeight="1">
      <c r="A22" s="43">
        <v>3.0</v>
      </c>
      <c r="B22" s="43">
        <v>5.0</v>
      </c>
      <c r="C22" s="43">
        <v>52.3105876786842</v>
      </c>
      <c r="D22" s="43">
        <v>4.66743058180622</v>
      </c>
      <c r="E22" s="43" t="s">
        <v>98</v>
      </c>
      <c r="F22" s="44" t="s">
        <v>1624</v>
      </c>
      <c r="G22" s="52" t="s">
        <v>1625</v>
      </c>
      <c r="H22" s="46"/>
      <c r="I22" s="11" t="b">
        <v>1</v>
      </c>
      <c r="J22" s="47" t="str">
        <f t="shared" si="1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IFERROR(__xludf.DUMMYFUNCTION("""COMPUTED_VALUE"""),"GroteSufferd")</f>
        <v>GroteSufferd</v>
      </c>
      <c r="R22" s="49">
        <f>IFERROR(__xludf.DUMMYFUNCTION("""COMPUTED_VALUE"""),462.0)</f>
        <v>462</v>
      </c>
      <c r="S22" s="49"/>
    </row>
    <row r="23">
      <c r="A23" s="43">
        <v>3.0</v>
      </c>
      <c r="B23" s="43">
        <v>6.0</v>
      </c>
      <c r="C23" s="43">
        <v>52.3105876784508</v>
      </c>
      <c r="D23" s="43">
        <v>4.66766567332501</v>
      </c>
      <c r="E23" s="43" t="s">
        <v>98</v>
      </c>
      <c r="F23" s="44" t="s">
        <v>819</v>
      </c>
      <c r="G23" s="45" t="s">
        <v>1626</v>
      </c>
      <c r="H23" s="46"/>
      <c r="I23" s="11" t="b">
        <v>1</v>
      </c>
      <c r="J23" s="47" t="str">
        <f t="shared" si="1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IFERROR(__xludf.DUMMYFUNCTION("""COMPUTED_VALUE"""),"MariaHTJ")</f>
        <v>MariaHTJ</v>
      </c>
      <c r="R23" s="49">
        <f>IFERROR(__xludf.DUMMYFUNCTION("""COMPUTED_VALUE"""),9062.0)</f>
        <v>9062</v>
      </c>
      <c r="S23" s="51">
        <v>44200.89591303241</v>
      </c>
    </row>
    <row r="24">
      <c r="A24" s="43">
        <v>3.0</v>
      </c>
      <c r="B24" s="43">
        <v>7.0</v>
      </c>
      <c r="C24" s="43">
        <v>52.3105876782175</v>
      </c>
      <c r="D24" s="43">
        <v>4.6679007648438</v>
      </c>
      <c r="E24" s="43" t="s">
        <v>98</v>
      </c>
      <c r="F24" s="44" t="s">
        <v>116</v>
      </c>
      <c r="G24" s="45" t="s">
        <v>1627</v>
      </c>
      <c r="H24" s="46"/>
      <c r="I24" s="11" t="b">
        <v>1</v>
      </c>
      <c r="J24" s="47" t="str">
        <f t="shared" si="1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IFERROR(__xludf.DUMMYFUNCTION("""COMPUTED_VALUE"""),"fsafranek")</f>
        <v>fsafranek</v>
      </c>
      <c r="R24" s="49">
        <f>IFERROR(__xludf.DUMMYFUNCTION("""COMPUTED_VALUE"""),4840.0)</f>
        <v>4840</v>
      </c>
      <c r="S24" s="49"/>
    </row>
    <row r="25">
      <c r="A25" s="43">
        <v>3.0</v>
      </c>
      <c r="B25" s="43">
        <v>8.0</v>
      </c>
      <c r="C25" s="43">
        <v>52.3105876779841</v>
      </c>
      <c r="D25" s="43">
        <v>4.66813585636259</v>
      </c>
      <c r="E25" s="43" t="s">
        <v>98</v>
      </c>
      <c r="F25" s="44" t="s">
        <v>1597</v>
      </c>
      <c r="G25" s="45" t="s">
        <v>1628</v>
      </c>
      <c r="H25" s="46"/>
      <c r="I25" s="11" t="b">
        <v>1</v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IFERROR(__xludf.DUMMYFUNCTION("""COMPUTED_VALUE"""),"amundadus")</f>
        <v>amundadus</v>
      </c>
      <c r="R25" s="49">
        <f>IFERROR(__xludf.DUMMYFUNCTION("""COMPUTED_VALUE"""),1508.0)</f>
        <v>1508</v>
      </c>
      <c r="S25" s="51">
        <v>44274.94467618056</v>
      </c>
    </row>
    <row r="26" ht="13.5" customHeight="1">
      <c r="A26" s="43">
        <v>4.0</v>
      </c>
      <c r="B26" s="43">
        <v>1.0</v>
      </c>
      <c r="C26" s="43">
        <v>52.3104439491721</v>
      </c>
      <c r="D26" s="43">
        <v>4.66649019588533</v>
      </c>
      <c r="E26" s="43" t="s">
        <v>98</v>
      </c>
      <c r="F26" s="44" t="s">
        <v>1629</v>
      </c>
      <c r="G26" s="68" t="s">
        <v>1630</v>
      </c>
      <c r="H26" s="46"/>
      <c r="I26" s="11" t="b">
        <v>1</v>
      </c>
      <c r="J26" s="47" t="str">
        <f t="shared" ref="J26:J55" si="3">if(I26=true,"",S26)</f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IFERROR(__xludf.DUMMYFUNCTION("""COMPUTED_VALUE"""),"BrotherWilliam")</f>
        <v>BrotherWilliam</v>
      </c>
      <c r="R26" s="49">
        <f>IFERROR(__xludf.DUMMYFUNCTION("""COMPUTED_VALUE"""),4250.0)</f>
        <v>4250</v>
      </c>
      <c r="S26" s="49"/>
    </row>
    <row r="27">
      <c r="A27" s="43">
        <v>4.0</v>
      </c>
      <c r="B27" s="43">
        <v>2.0</v>
      </c>
      <c r="C27" s="43">
        <v>52.3104439489387</v>
      </c>
      <c r="D27" s="43">
        <v>4.66672528664082</v>
      </c>
      <c r="E27" s="43" t="s">
        <v>103</v>
      </c>
      <c r="F27" s="44" t="s">
        <v>112</v>
      </c>
      <c r="G27" s="45" t="s">
        <v>1631</v>
      </c>
      <c r="H27" s="46"/>
      <c r="I27" s="11" t="b">
        <v>1</v>
      </c>
      <c r="J27" s="47" t="str">
        <f t="shared" si="3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IFERROR(__xludf.DUMMYFUNCTION("""COMPUTED_VALUE"""),"ArtofEco")</f>
        <v>ArtofEco</v>
      </c>
      <c r="R27" s="49">
        <f>IFERROR(__xludf.DUMMYFUNCTION("""COMPUTED_VALUE"""),3063.0)</f>
        <v>3063</v>
      </c>
      <c r="S27" s="49"/>
    </row>
    <row r="28">
      <c r="A28" s="43">
        <v>4.0</v>
      </c>
      <c r="B28" s="43">
        <v>3.0</v>
      </c>
      <c r="C28" s="43">
        <v>52.3104439487054</v>
      </c>
      <c r="D28" s="43">
        <v>4.66696037739632</v>
      </c>
      <c r="E28" s="43" t="s">
        <v>98</v>
      </c>
      <c r="F28" s="44" t="s">
        <v>874</v>
      </c>
      <c r="G28" s="45" t="s">
        <v>1632</v>
      </c>
      <c r="H28" s="46"/>
      <c r="I28" s="11" t="b">
        <v>1</v>
      </c>
      <c r="J28" s="47" t="str">
        <f t="shared" si="3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IFERROR(__xludf.DUMMYFUNCTION("""COMPUTED_VALUE"""),"Krauseengineer")</f>
        <v>Krauseengineer</v>
      </c>
      <c r="R28" s="49">
        <f>IFERROR(__xludf.DUMMYFUNCTION("""COMPUTED_VALUE"""),2483.0)</f>
        <v>2483</v>
      </c>
      <c r="S28" s="49"/>
    </row>
    <row r="29">
      <c r="A29" s="43">
        <v>4.0</v>
      </c>
      <c r="B29" s="43">
        <v>4.0</v>
      </c>
      <c r="C29" s="43">
        <v>52.3104439484721</v>
      </c>
      <c r="D29" s="43">
        <v>4.66719546815181</v>
      </c>
      <c r="E29" s="43" t="s">
        <v>98</v>
      </c>
      <c r="F29" s="44" t="s">
        <v>140</v>
      </c>
      <c r="G29" s="45" t="s">
        <v>1633</v>
      </c>
      <c r="H29" s="46"/>
      <c r="I29" s="11" t="b">
        <v>1</v>
      </c>
      <c r="J29" s="47" t="str">
        <f t="shared" si="3"/>
        <v/>
      </c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IFERROR(__xludf.DUMMYFUNCTION("""COMPUTED_VALUE"""),"Fossillady")</f>
        <v>Fossillady</v>
      </c>
      <c r="R29" s="49">
        <f>IFERROR(__xludf.DUMMYFUNCTION("""COMPUTED_VALUE"""),3491.0)</f>
        <v>3491</v>
      </c>
      <c r="S29" s="49"/>
    </row>
    <row r="30">
      <c r="A30" s="43">
        <v>4.0</v>
      </c>
      <c r="B30" s="43">
        <v>5.0</v>
      </c>
      <c r="C30" s="43">
        <v>52.3104439482387</v>
      </c>
      <c r="D30" s="43">
        <v>4.66743055890731</v>
      </c>
      <c r="E30" s="43" t="s">
        <v>98</v>
      </c>
      <c r="F30" s="44" t="s">
        <v>182</v>
      </c>
      <c r="G30" s="45" t="s">
        <v>1634</v>
      </c>
      <c r="H30" s="46"/>
      <c r="I30" s="11" t="b">
        <v>1</v>
      </c>
      <c r="J30" s="47" t="str">
        <f t="shared" si="3"/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IFERROR(__xludf.DUMMYFUNCTION("""COMPUTED_VALUE"""),"TheFatCats")</f>
        <v>TheFatCats</v>
      </c>
      <c r="R30" s="49">
        <f>IFERROR(__xludf.DUMMYFUNCTION("""COMPUTED_VALUE"""),4310.0)</f>
        <v>4310</v>
      </c>
      <c r="S30" s="49"/>
    </row>
    <row r="31">
      <c r="A31" s="43">
        <v>4.0</v>
      </c>
      <c r="B31" s="43">
        <v>6.0</v>
      </c>
      <c r="C31" s="43">
        <v>52.3104439480054</v>
      </c>
      <c r="D31" s="43">
        <v>4.6676656496628</v>
      </c>
      <c r="E31" s="43" t="s">
        <v>103</v>
      </c>
      <c r="F31" s="44" t="s">
        <v>136</v>
      </c>
      <c r="G31" s="45" t="s">
        <v>1635</v>
      </c>
      <c r="H31" s="46"/>
      <c r="I31" s="11" t="b">
        <v>1</v>
      </c>
      <c r="J31" s="47" t="str">
        <f t="shared" si="3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IFERROR(__xludf.DUMMYFUNCTION("""COMPUTED_VALUE"""),"OdinsFiRe")</f>
        <v>OdinsFiRe</v>
      </c>
      <c r="R31" s="49">
        <f>IFERROR(__xludf.DUMMYFUNCTION("""COMPUTED_VALUE"""),1933.0)</f>
        <v>1933</v>
      </c>
      <c r="S31" s="49"/>
    </row>
    <row r="32">
      <c r="A32" s="43">
        <v>4.0</v>
      </c>
      <c r="B32" s="43">
        <v>7.0</v>
      </c>
      <c r="C32" s="43">
        <v>52.310443947772</v>
      </c>
      <c r="D32" s="43">
        <v>4.6679007404183</v>
      </c>
      <c r="E32" s="43" t="s">
        <v>98</v>
      </c>
      <c r="F32" s="44" t="s">
        <v>1395</v>
      </c>
      <c r="G32" s="45" t="s">
        <v>1636</v>
      </c>
      <c r="H32" s="46"/>
      <c r="I32" s="11" t="b">
        <v>1</v>
      </c>
      <c r="J32" s="47" t="str">
        <f t="shared" si="3"/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IFERROR(__xludf.DUMMYFUNCTION("""COMPUTED_VALUE"""),"belladivadee")</f>
        <v>belladivadee</v>
      </c>
      <c r="R32" s="49">
        <f>IFERROR(__xludf.DUMMYFUNCTION("""COMPUTED_VALUE"""),3115.0)</f>
        <v>3115</v>
      </c>
      <c r="S32" s="49"/>
    </row>
    <row r="33">
      <c r="A33" s="43">
        <v>4.0</v>
      </c>
      <c r="B33" s="43">
        <v>8.0</v>
      </c>
      <c r="C33" s="43">
        <v>52.3104439475387</v>
      </c>
      <c r="D33" s="43">
        <v>4.66813583117379</v>
      </c>
      <c r="E33" s="43" t="s">
        <v>98</v>
      </c>
      <c r="F33" s="44" t="s">
        <v>908</v>
      </c>
      <c r="G33" s="45" t="s">
        <v>1637</v>
      </c>
      <c r="H33" s="44"/>
      <c r="I33" s="11" t="b">
        <v>1</v>
      </c>
      <c r="J33" s="47" t="str">
        <f t="shared" si="3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IFERROR(__xludf.DUMMYFUNCTION("""COMPUTED_VALUE"""),"Wangotango")</f>
        <v>Wangotango</v>
      </c>
      <c r="R33" s="49">
        <f>IFERROR(__xludf.DUMMYFUNCTION("""COMPUTED_VALUE"""),1441.0)</f>
        <v>1441</v>
      </c>
      <c r="S33" s="49"/>
    </row>
    <row r="34">
      <c r="A34" s="43">
        <v>5.0</v>
      </c>
      <c r="B34" s="43">
        <v>1.0</v>
      </c>
      <c r="C34" s="43">
        <v>52.3103002187267</v>
      </c>
      <c r="D34" s="43">
        <v>4.66649017603958</v>
      </c>
      <c r="E34" s="43" t="s">
        <v>103</v>
      </c>
      <c r="F34" s="44" t="s">
        <v>870</v>
      </c>
      <c r="G34" s="45" t="s">
        <v>1638</v>
      </c>
      <c r="H34" s="46"/>
      <c r="I34" s="11" t="b">
        <v>1</v>
      </c>
      <c r="J34" s="47" t="str">
        <f t="shared" si="3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IFERROR(__xludf.DUMMYFUNCTION("""COMPUTED_VALUE"""),"amadoreugen")</f>
        <v>amadoreugen</v>
      </c>
      <c r="R34" s="49">
        <f>IFERROR(__xludf.DUMMYFUNCTION("""COMPUTED_VALUE"""),5824.0)</f>
        <v>5824</v>
      </c>
      <c r="S34" s="49"/>
    </row>
    <row r="35">
      <c r="A35" s="43">
        <v>5.0</v>
      </c>
      <c r="B35" s="43">
        <v>2.0</v>
      </c>
      <c r="C35" s="43">
        <v>52.3103002184933</v>
      </c>
      <c r="D35" s="43">
        <v>4.66672526603179</v>
      </c>
      <c r="E35" s="43" t="s">
        <v>98</v>
      </c>
      <c r="F35" s="44" t="s">
        <v>141</v>
      </c>
      <c r="G35" s="45" t="s">
        <v>1639</v>
      </c>
      <c r="H35" s="46"/>
      <c r="I35" s="11" t="b">
        <v>1</v>
      </c>
      <c r="J35" s="47" t="str">
        <f t="shared" si="3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IFERROR(__xludf.DUMMYFUNCTION("""COMPUTED_VALUE"""),2575.0)</f>
        <v>2575</v>
      </c>
      <c r="S35" s="49"/>
    </row>
    <row r="36">
      <c r="A36" s="43">
        <v>5.0</v>
      </c>
      <c r="B36" s="43">
        <v>3.0</v>
      </c>
      <c r="C36" s="43">
        <v>52.31030021826</v>
      </c>
      <c r="D36" s="43">
        <v>4.66696035602399</v>
      </c>
      <c r="E36" s="43" t="s">
        <v>103</v>
      </c>
      <c r="F36" s="44" t="s">
        <v>1573</v>
      </c>
      <c r="G36" s="45" t="s">
        <v>1640</v>
      </c>
      <c r="H36" s="46"/>
      <c r="I36" s="11" t="b">
        <v>1</v>
      </c>
      <c r="J36" s="47" t="str">
        <f t="shared" si="3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IFERROR(__xludf.DUMMYFUNCTION("""COMPUTED_VALUE"""),"amundadus")</f>
        <v>amundadus</v>
      </c>
      <c r="R36" s="49">
        <f>IFERROR(__xludf.DUMMYFUNCTION("""COMPUTED_VALUE"""),1132.0)</f>
        <v>1132</v>
      </c>
      <c r="S36" s="49"/>
    </row>
    <row r="37">
      <c r="A37" s="43">
        <v>5.0</v>
      </c>
      <c r="B37" s="43">
        <v>4.0</v>
      </c>
      <c r="C37" s="43">
        <v>52.3103002180266</v>
      </c>
      <c r="D37" s="43">
        <v>4.66719544601619</v>
      </c>
      <c r="E37" s="43" t="s">
        <v>98</v>
      </c>
      <c r="F37" s="44" t="s">
        <v>178</v>
      </c>
      <c r="G37" s="45" t="s">
        <v>1641</v>
      </c>
      <c r="H37" s="46"/>
      <c r="I37" s="11" t="b">
        <v>1</v>
      </c>
      <c r="J37" s="47" t="str">
        <f t="shared" si="3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IFERROR(__xludf.DUMMYFUNCTION("""COMPUTED_VALUE"""),"lison55")</f>
        <v>lison55</v>
      </c>
      <c r="R37" s="49">
        <f>IFERROR(__xludf.DUMMYFUNCTION("""COMPUTED_VALUE"""),5748.0)</f>
        <v>5748</v>
      </c>
      <c r="S37" s="49"/>
    </row>
    <row r="38">
      <c r="A38" s="43">
        <v>5.0</v>
      </c>
      <c r="B38" s="43">
        <v>5.0</v>
      </c>
      <c r="C38" s="43">
        <v>52.3103002177933</v>
      </c>
      <c r="D38" s="43">
        <v>4.66743053600839</v>
      </c>
      <c r="E38" s="43" t="s">
        <v>98</v>
      </c>
      <c r="F38" s="44" t="s">
        <v>314</v>
      </c>
      <c r="G38" s="45" t="s">
        <v>1642</v>
      </c>
      <c r="H38" s="46"/>
      <c r="I38" s="11" t="b">
        <v>1</v>
      </c>
      <c r="J38" s="47" t="str">
        <f t="shared" si="3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IFERROR(__xludf.DUMMYFUNCTION("""COMPUTED_VALUE"""),"Trappertje")</f>
        <v>Trappertje</v>
      </c>
      <c r="R38" s="49">
        <f>IFERROR(__xludf.DUMMYFUNCTION("""COMPUTED_VALUE"""),5428.0)</f>
        <v>5428</v>
      </c>
      <c r="S38" s="49"/>
    </row>
    <row r="39">
      <c r="A39" s="43">
        <v>5.0</v>
      </c>
      <c r="B39" s="43">
        <v>6.0</v>
      </c>
      <c r="C39" s="43">
        <v>52.31030021756</v>
      </c>
      <c r="D39" s="43">
        <v>4.66766562600059</v>
      </c>
      <c r="E39" s="43" t="s">
        <v>98</v>
      </c>
      <c r="F39" s="44" t="s">
        <v>1629</v>
      </c>
      <c r="G39" s="52" t="s">
        <v>1643</v>
      </c>
      <c r="H39" s="46"/>
      <c r="I39" s="11" t="b">
        <v>1</v>
      </c>
      <c r="J39" s="47" t="str">
        <f t="shared" si="3"/>
        <v/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IFERROR(__xludf.DUMMYFUNCTION("""COMPUTED_VALUE"""),"BrotherWilliam")</f>
        <v>BrotherWilliam</v>
      </c>
      <c r="R39" s="49">
        <f>IFERROR(__xludf.DUMMYFUNCTION("""COMPUTED_VALUE"""),4896.0)</f>
        <v>4896</v>
      </c>
      <c r="S39" s="49"/>
    </row>
    <row r="40">
      <c r="A40" s="43">
        <v>5.0</v>
      </c>
      <c r="B40" s="43">
        <v>7.0</v>
      </c>
      <c r="C40" s="43">
        <v>52.3103002173266</v>
      </c>
      <c r="D40" s="43">
        <v>4.6679007159928</v>
      </c>
      <c r="E40" s="43" t="s">
        <v>98</v>
      </c>
      <c r="F40" s="44" t="s">
        <v>254</v>
      </c>
      <c r="G40" s="45" t="s">
        <v>1644</v>
      </c>
      <c r="H40" s="46"/>
      <c r="I40" s="11" t="b">
        <v>1</v>
      </c>
      <c r="J40" s="47" t="str">
        <f t="shared" si="3"/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IFERROR(__xludf.DUMMYFUNCTION("""COMPUTED_VALUE"""),"wally62")</f>
        <v>wally62</v>
      </c>
      <c r="R40" s="49">
        <f>IFERROR(__xludf.DUMMYFUNCTION("""COMPUTED_VALUE"""),4917.0)</f>
        <v>4917</v>
      </c>
      <c r="S40" s="49"/>
    </row>
    <row r="41">
      <c r="A41" s="43">
        <v>5.0</v>
      </c>
      <c r="B41" s="43">
        <v>8.0</v>
      </c>
      <c r="C41" s="43">
        <v>52.3103002170933</v>
      </c>
      <c r="D41" s="43">
        <v>4.668135805985</v>
      </c>
      <c r="E41" s="43" t="s">
        <v>98</v>
      </c>
      <c r="F41" s="44" t="s">
        <v>141</v>
      </c>
      <c r="G41" s="52" t="s">
        <v>1645</v>
      </c>
      <c r="H41" s="44"/>
      <c r="I41" s="11" t="b">
        <v>1</v>
      </c>
      <c r="J41" s="47" t="str">
        <f t="shared" si="3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IFERROR(__xludf.DUMMYFUNCTION("""COMPUTED_VALUE"""),"cbf600")</f>
        <v>cbf600</v>
      </c>
      <c r="R41" s="49">
        <f>IFERROR(__xludf.DUMMYFUNCTION("""COMPUTED_VALUE"""),2662.0)</f>
        <v>2662</v>
      </c>
      <c r="S41" s="49"/>
    </row>
    <row r="42">
      <c r="A42" s="43">
        <v>6.0</v>
      </c>
      <c r="B42" s="43">
        <v>1.0</v>
      </c>
      <c r="C42" s="43">
        <v>52.3101564882812</v>
      </c>
      <c r="D42" s="43">
        <v>4.66649015619395</v>
      </c>
      <c r="E42" s="43" t="s">
        <v>98</v>
      </c>
      <c r="F42" s="44" t="s">
        <v>149</v>
      </c>
      <c r="G42" s="45" t="s">
        <v>1646</v>
      </c>
      <c r="H42" s="46"/>
      <c r="I42" s="11" t="b">
        <v>1</v>
      </c>
      <c r="J42" s="47" t="str">
        <f t="shared" si="3"/>
        <v/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IFERROR(__xludf.DUMMYFUNCTION("""COMPUTED_VALUE"""),4734.0)</f>
        <v>4734</v>
      </c>
      <c r="S42" s="49"/>
    </row>
    <row r="43">
      <c r="A43" s="43">
        <v>6.0</v>
      </c>
      <c r="B43" s="43">
        <v>2.0</v>
      </c>
      <c r="C43" s="43">
        <v>52.3101564880479</v>
      </c>
      <c r="D43" s="43">
        <v>4.66672524542286</v>
      </c>
      <c r="E43" s="43" t="s">
        <v>98</v>
      </c>
      <c r="F43" s="44" t="s">
        <v>188</v>
      </c>
      <c r="G43" s="45" t="s">
        <v>1647</v>
      </c>
      <c r="H43" s="46"/>
      <c r="I43" s="11" t="b">
        <v>1</v>
      </c>
      <c r="J43" s="47" t="str">
        <f t="shared" si="3"/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IFERROR(__xludf.DUMMYFUNCTION("""COMPUTED_VALUE"""),"Anetzet")</f>
        <v>Anetzet</v>
      </c>
      <c r="R43" s="49">
        <f>IFERROR(__xludf.DUMMYFUNCTION("""COMPUTED_VALUE"""),3347.0)</f>
        <v>3347</v>
      </c>
      <c r="S43" s="49"/>
    </row>
    <row r="44">
      <c r="A44" s="43">
        <v>6.0</v>
      </c>
      <c r="B44" s="43">
        <v>3.0</v>
      </c>
      <c r="C44" s="43">
        <v>52.3101564878146</v>
      </c>
      <c r="D44" s="43">
        <v>4.66696033465177</v>
      </c>
      <c r="E44" s="43" t="s">
        <v>103</v>
      </c>
      <c r="F44" s="44" t="s">
        <v>120</v>
      </c>
      <c r="G44" s="45" t="s">
        <v>1648</v>
      </c>
      <c r="H44" s="46"/>
      <c r="I44" s="11" t="b">
        <v>1</v>
      </c>
      <c r="J44" s="47" t="str">
        <f t="shared" si="3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IFERROR(__xludf.DUMMYFUNCTION("""COMPUTED_VALUE"""),"xrayneex")</f>
        <v>xrayneex</v>
      </c>
      <c r="R44" s="49">
        <f>IFERROR(__xludf.DUMMYFUNCTION("""COMPUTED_VALUE"""),1119.0)</f>
        <v>1119</v>
      </c>
      <c r="S44" s="49"/>
    </row>
    <row r="45">
      <c r="A45" s="43">
        <v>6.0</v>
      </c>
      <c r="B45" s="43">
        <v>4.0</v>
      </c>
      <c r="C45" s="43">
        <v>52.3101564875812</v>
      </c>
      <c r="D45" s="43">
        <v>4.66719542388068</v>
      </c>
      <c r="E45" s="43" t="s">
        <v>98</v>
      </c>
      <c r="F45" s="44" t="s">
        <v>243</v>
      </c>
      <c r="G45" s="45" t="s">
        <v>1649</v>
      </c>
      <c r="H45" s="46"/>
      <c r="I45" s="11" t="b">
        <v>1</v>
      </c>
      <c r="J45" s="47" t="str">
        <f t="shared" si="3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IFERROR(__xludf.DUMMYFUNCTION("""COMPUTED_VALUE"""),"Aniara")</f>
        <v>Aniara</v>
      </c>
      <c r="R45" s="49">
        <f>IFERROR(__xludf.DUMMYFUNCTION("""COMPUTED_VALUE"""),7897.0)</f>
        <v>7897</v>
      </c>
      <c r="S45" s="49"/>
    </row>
    <row r="46">
      <c r="A46" s="43">
        <v>6.0</v>
      </c>
      <c r="B46" s="43">
        <v>5.0</v>
      </c>
      <c r="C46" s="43">
        <v>52.3101564873479</v>
      </c>
      <c r="D46" s="43">
        <v>4.66743051310948</v>
      </c>
      <c r="E46" s="43" t="s">
        <v>98</v>
      </c>
      <c r="F46" s="44" t="s">
        <v>151</v>
      </c>
      <c r="G46" s="52" t="s">
        <v>1650</v>
      </c>
      <c r="H46" s="46"/>
      <c r="I46" s="11" t="b">
        <v>1</v>
      </c>
      <c r="J46" s="47" t="str">
        <f t="shared" si="3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IFERROR(__xludf.DUMMYFUNCTION("""COMPUTED_VALUE"""),"res2100")</f>
        <v>res2100</v>
      </c>
      <c r="R46" s="49">
        <f>IFERROR(__xludf.DUMMYFUNCTION("""COMPUTED_VALUE"""),767.0)</f>
        <v>767</v>
      </c>
      <c r="S46" s="49"/>
    </row>
    <row r="47">
      <c r="A47" s="43">
        <v>6.0</v>
      </c>
      <c r="B47" s="43">
        <v>6.0</v>
      </c>
      <c r="C47" s="43">
        <v>52.3101564871145</v>
      </c>
      <c r="D47" s="43">
        <v>4.66766560233827</v>
      </c>
      <c r="E47" s="43" t="s">
        <v>103</v>
      </c>
      <c r="F47" s="44" t="s">
        <v>887</v>
      </c>
      <c r="G47" s="45" t="s">
        <v>1651</v>
      </c>
      <c r="H47" s="46"/>
      <c r="I47" s="11" t="b">
        <v>1</v>
      </c>
      <c r="J47" s="47" t="str">
        <f t="shared" si="3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IFERROR(__xludf.DUMMYFUNCTION("""COMPUTED_VALUE"""),"mding4gold")</f>
        <v>mding4gold</v>
      </c>
      <c r="R47" s="49">
        <f>IFERROR(__xludf.DUMMYFUNCTION("""COMPUTED_VALUE"""),4984.0)</f>
        <v>4984</v>
      </c>
      <c r="S47" s="49"/>
    </row>
    <row r="48">
      <c r="A48" s="43">
        <v>6.0</v>
      </c>
      <c r="B48" s="43">
        <v>7.0</v>
      </c>
      <c r="C48" s="43">
        <v>52.3101564868812</v>
      </c>
      <c r="D48" s="43">
        <v>4.66790069156707</v>
      </c>
      <c r="E48" s="43" t="s">
        <v>98</v>
      </c>
      <c r="F48" s="44" t="s">
        <v>145</v>
      </c>
      <c r="G48" s="45" t="s">
        <v>1652</v>
      </c>
      <c r="H48" s="46"/>
      <c r="I48" s="11" t="b">
        <v>1</v>
      </c>
      <c r="J48" s="47" t="str">
        <f t="shared" si="3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IFERROR(__xludf.DUMMYFUNCTION("""COMPUTED_VALUE"""),4708.0)</f>
        <v>4708</v>
      </c>
      <c r="S48" s="51">
        <v>44160.67066991898</v>
      </c>
    </row>
    <row r="49">
      <c r="A49" s="43">
        <v>6.0</v>
      </c>
      <c r="B49" s="43">
        <v>8.0</v>
      </c>
      <c r="C49" s="43">
        <v>52.3101564866479</v>
      </c>
      <c r="D49" s="43">
        <v>4.66813578079586</v>
      </c>
      <c r="E49" s="43" t="s">
        <v>98</v>
      </c>
      <c r="F49" s="44" t="s">
        <v>147</v>
      </c>
      <c r="G49" s="52" t="s">
        <v>1653</v>
      </c>
      <c r="H49" s="46"/>
      <c r="I49" s="11" t="b">
        <v>1</v>
      </c>
      <c r="J49" s="47" t="str">
        <f t="shared" si="3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IFERROR(__xludf.DUMMYFUNCTION("""COMPUTED_VALUE"""),8091.0)</f>
        <v>8091</v>
      </c>
      <c r="S49" s="51">
        <v>44160.67079539352</v>
      </c>
    </row>
    <row r="50">
      <c r="A50" s="43">
        <v>7.0</v>
      </c>
      <c r="B50" s="43">
        <v>2.0</v>
      </c>
      <c r="C50" s="43">
        <v>52.3100127576025</v>
      </c>
      <c r="D50" s="43">
        <v>4.6667252248128</v>
      </c>
      <c r="E50" s="43" t="s">
        <v>103</v>
      </c>
      <c r="F50" s="44" t="s">
        <v>110</v>
      </c>
      <c r="G50" s="52" t="s">
        <v>1654</v>
      </c>
      <c r="H50" s="46"/>
      <c r="I50" s="11" t="b">
        <v>1</v>
      </c>
      <c r="J50" s="47" t="str">
        <f t="shared" si="3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IFERROR(__xludf.DUMMYFUNCTION("""COMPUTED_VALUE"""),"BrotherWilliam")</f>
        <v>BrotherWilliam</v>
      </c>
      <c r="R50" s="49">
        <f>IFERROR(__xludf.DUMMYFUNCTION("""COMPUTED_VALUE"""),4911.0)</f>
        <v>4911</v>
      </c>
      <c r="S50" s="49"/>
    </row>
    <row r="51">
      <c r="A51" s="43">
        <v>7.0</v>
      </c>
      <c r="B51" s="43">
        <v>3.0</v>
      </c>
      <c r="C51" s="43">
        <v>52.3100127573691</v>
      </c>
      <c r="D51" s="43">
        <v>4.6669603132783</v>
      </c>
      <c r="E51" s="43" t="s">
        <v>98</v>
      </c>
      <c r="F51" s="44" t="s">
        <v>1655</v>
      </c>
      <c r="G51" s="45" t="s">
        <v>1656</v>
      </c>
      <c r="H51" s="46"/>
      <c r="I51" s="11" t="b">
        <v>1</v>
      </c>
      <c r="J51" s="47" t="str">
        <f t="shared" si="3"/>
        <v/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IFERROR(__xludf.DUMMYFUNCTION("""COMPUTED_VALUE"""),"floridafinder2")</f>
        <v>floridafinder2</v>
      </c>
      <c r="R51" s="49">
        <f>IFERROR(__xludf.DUMMYFUNCTION("""COMPUTED_VALUE"""),7296.0)</f>
        <v>7296</v>
      </c>
      <c r="S51" s="49"/>
    </row>
    <row r="52">
      <c r="A52" s="43">
        <v>7.0</v>
      </c>
      <c r="B52" s="43">
        <v>4.0</v>
      </c>
      <c r="C52" s="43">
        <v>52.3100127571358</v>
      </c>
      <c r="D52" s="43">
        <v>4.66719540174381</v>
      </c>
      <c r="E52" s="43" t="s">
        <v>98</v>
      </c>
      <c r="F52" s="44" t="s">
        <v>879</v>
      </c>
      <c r="G52" s="45" t="s">
        <v>1657</v>
      </c>
      <c r="H52" s="46"/>
      <c r="I52" s="11" t="b">
        <v>1</v>
      </c>
      <c r="J52" s="47" t="str">
        <f t="shared" si="3"/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IFERROR(__xludf.DUMMYFUNCTION("""COMPUTED_VALUE"""),"Franca")</f>
        <v>Franca</v>
      </c>
      <c r="R52" s="49">
        <f>IFERROR(__xludf.DUMMYFUNCTION("""COMPUTED_VALUE"""),1966.0)</f>
        <v>1966</v>
      </c>
      <c r="S52" s="49"/>
    </row>
    <row r="53">
      <c r="A53" s="43">
        <v>7.0</v>
      </c>
      <c r="B53" s="43">
        <v>5.0</v>
      </c>
      <c r="C53" s="43">
        <v>52.3100127569025</v>
      </c>
      <c r="D53" s="43">
        <v>4.66743049020931</v>
      </c>
      <c r="E53" s="43" t="s">
        <v>98</v>
      </c>
      <c r="F53" s="44" t="s">
        <v>182</v>
      </c>
      <c r="G53" s="45" t="s">
        <v>1658</v>
      </c>
      <c r="H53" s="46"/>
      <c r="I53" s="11" t="b">
        <v>1</v>
      </c>
      <c r="J53" s="47" t="str">
        <f t="shared" si="3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IFERROR(__xludf.DUMMYFUNCTION("""COMPUTED_VALUE"""),"TheFatCats")</f>
        <v>TheFatCats</v>
      </c>
      <c r="R53" s="49">
        <f>IFERROR(__xludf.DUMMYFUNCTION("""COMPUTED_VALUE"""),4323.0)</f>
        <v>4323</v>
      </c>
      <c r="S53" s="49"/>
    </row>
    <row r="54">
      <c r="A54" s="43">
        <v>7.0</v>
      </c>
      <c r="B54" s="43">
        <v>6.0</v>
      </c>
      <c r="C54" s="43">
        <v>52.3100127566691</v>
      </c>
      <c r="D54" s="43">
        <v>4.66766557867481</v>
      </c>
      <c r="E54" s="43" t="s">
        <v>98</v>
      </c>
      <c r="F54" s="44" t="s">
        <v>544</v>
      </c>
      <c r="G54" s="52" t="s">
        <v>1659</v>
      </c>
      <c r="H54" s="46"/>
      <c r="I54" s="11" t="b">
        <v>1</v>
      </c>
      <c r="J54" s="47" t="str">
        <f t="shared" si="3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IFERROR(__xludf.DUMMYFUNCTION("""COMPUTED_VALUE"""),"PcLocator")</f>
        <v>PcLocator</v>
      </c>
      <c r="R54" s="49">
        <f>IFERROR(__xludf.DUMMYFUNCTION("""COMPUTED_VALUE"""),4255.0)</f>
        <v>4255</v>
      </c>
      <c r="S54" s="49"/>
    </row>
    <row r="55">
      <c r="A55" s="43">
        <v>7.0</v>
      </c>
      <c r="B55" s="43">
        <v>7.0</v>
      </c>
      <c r="C55" s="43">
        <v>52.3100127564358</v>
      </c>
      <c r="D55" s="43">
        <v>4.66790066714031</v>
      </c>
      <c r="E55" s="43" t="s">
        <v>98</v>
      </c>
      <c r="F55" s="44" t="s">
        <v>157</v>
      </c>
      <c r="G55" s="45" t="s">
        <v>1660</v>
      </c>
      <c r="H55" s="46"/>
      <c r="I55" s="11" t="b">
        <v>1</v>
      </c>
      <c r="J55" s="47" t="str">
        <f t="shared" si="3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IFERROR(__xludf.DUMMYFUNCTION("""COMPUTED_VALUE"""),"barefootguru")</f>
        <v>barefootguru</v>
      </c>
      <c r="R55" s="49">
        <f>IFERROR(__xludf.DUMMYFUNCTION("""COMPUTED_VALUE"""),3251.0)</f>
        <v>3251</v>
      </c>
      <c r="S55" s="49"/>
    </row>
    <row r="56">
      <c r="A56" s="43">
        <v>8.0</v>
      </c>
      <c r="B56" s="43">
        <v>3.0</v>
      </c>
      <c r="C56" s="43">
        <v>52.3098690269237</v>
      </c>
      <c r="D56" s="43">
        <v>4.66696029190529</v>
      </c>
      <c r="E56" s="43" t="s">
        <v>98</v>
      </c>
      <c r="F56" s="44" t="s">
        <v>80</v>
      </c>
      <c r="G56" s="45" t="s">
        <v>1661</v>
      </c>
      <c r="H56" s="46"/>
      <c r="I56" s="11" t="b">
        <v>1</v>
      </c>
      <c r="J56" s="131"/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IFERROR(__xludf.DUMMYFUNCTION("""COMPUTED_VALUE"""),"Derlame")</f>
        <v>Derlame</v>
      </c>
      <c r="R56" s="49">
        <f>IFERROR(__xludf.DUMMYFUNCTION("""COMPUTED_VALUE"""),18479.0)</f>
        <v>18479</v>
      </c>
      <c r="S56" s="51">
        <v>44274.94519273148</v>
      </c>
    </row>
    <row r="57">
      <c r="A57" s="43">
        <v>8.0</v>
      </c>
      <c r="B57" s="43">
        <v>4.0</v>
      </c>
      <c r="C57" s="43">
        <v>52.3098690266904</v>
      </c>
      <c r="D57" s="43">
        <v>4.6671953796075</v>
      </c>
      <c r="E57" s="43" t="s">
        <v>103</v>
      </c>
      <c r="F57" s="44" t="s">
        <v>819</v>
      </c>
      <c r="G57" s="45" t="s">
        <v>1662</v>
      </c>
      <c r="H57" s="46"/>
      <c r="I57" s="11" t="b">
        <v>1</v>
      </c>
      <c r="J57" s="131"/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IFERROR(__xludf.DUMMYFUNCTION("""COMPUTED_VALUE"""),"MariaHTJ")</f>
        <v>MariaHTJ</v>
      </c>
      <c r="R57" s="49">
        <f>IFERROR(__xludf.DUMMYFUNCTION("""COMPUTED_VALUE"""),9063.0)</f>
        <v>9063</v>
      </c>
      <c r="S57" s="49"/>
    </row>
    <row r="58">
      <c r="A58" s="43">
        <v>8.0</v>
      </c>
      <c r="B58" s="43">
        <v>5.0</v>
      </c>
      <c r="C58" s="43">
        <v>52.309869026457</v>
      </c>
      <c r="D58" s="43">
        <v>4.66743046730971</v>
      </c>
      <c r="E58" s="43" t="s">
        <v>103</v>
      </c>
      <c r="F58" s="44" t="s">
        <v>1573</v>
      </c>
      <c r="G58" s="45" t="s">
        <v>1663</v>
      </c>
      <c r="H58" s="46"/>
      <c r="I58" s="11" t="b">
        <v>1</v>
      </c>
      <c r="J58" s="47" t="str">
        <f t="shared" ref="J58:J59" si="4">if(I58=true,"",S58)</f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IFERROR(__xludf.DUMMYFUNCTION("""COMPUTED_VALUE"""),"amundadus")</f>
        <v>amundadus</v>
      </c>
      <c r="R58" s="49">
        <f>IFERROR(__xludf.DUMMYFUNCTION("""COMPUTED_VALUE"""),1408.0)</f>
        <v>1408</v>
      </c>
      <c r="S58" s="49"/>
    </row>
    <row r="59">
      <c r="A59" s="43">
        <v>8.0</v>
      </c>
      <c r="B59" s="43">
        <v>6.0</v>
      </c>
      <c r="C59" s="43">
        <v>52.3098690262237</v>
      </c>
      <c r="D59" s="43">
        <v>4.66766555501192</v>
      </c>
      <c r="E59" s="43" t="s">
        <v>98</v>
      </c>
      <c r="F59" s="44" t="s">
        <v>188</v>
      </c>
      <c r="G59" s="45" t="s">
        <v>1664</v>
      </c>
      <c r="H59" s="46"/>
      <c r="I59" s="11" t="b">
        <v>1</v>
      </c>
      <c r="J59" s="47" t="str">
        <f t="shared" si="4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IFERROR(__xludf.DUMMYFUNCTION("""COMPUTED_VALUE"""),"Anetzet")</f>
        <v>Anetzet</v>
      </c>
      <c r="R59" s="49">
        <f>IFERROR(__xludf.DUMMYFUNCTION("""COMPUTED_VALUE"""),3321.0)</f>
        <v>3321</v>
      </c>
      <c r="S59" s="49"/>
    </row>
    <row r="61" hidden="1">
      <c r="F61" s="47">
        <f t="shared" ref="F61:G61" si="5">COUNTIF(F8:F59,"")</f>
        <v>0</v>
      </c>
      <c r="G61" s="47">
        <f t="shared" si="5"/>
        <v>0</v>
      </c>
      <c r="I61" s="47">
        <f>COUNTIF(I8:I59,TRUE)</f>
        <v>52</v>
      </c>
    </row>
    <row r="62" hidden="1"/>
    <row r="63" hidden="1"/>
  </sheetData>
  <mergeCells count="3">
    <mergeCell ref="B1:C1"/>
    <mergeCell ref="I2:I3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3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6.88"/>
    <col customWidth="1" min="2" max="2" width="7.75"/>
    <col customWidth="1" min="3" max="3" width="15.88"/>
    <col customWidth="1" min="4" max="4" width="15.0"/>
    <col customWidth="1" min="5" max="5" width="17.5"/>
    <col customWidth="1" min="6" max="6" width="13.88"/>
    <col customWidth="1" min="7" max="7" width="41.88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20</v>
      </c>
      <c r="B1" s="37" t="s">
        <v>1665</v>
      </c>
      <c r="D1" s="37" t="s">
        <v>38</v>
      </c>
      <c r="E1" s="2" t="s">
        <v>79</v>
      </c>
      <c r="F1" s="24" t="s">
        <v>101</v>
      </c>
      <c r="G1" s="69" t="s">
        <v>1666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75">
        <v>44069.662999293985</v>
      </c>
    </row>
    <row r="2">
      <c r="A2" s="2"/>
      <c r="B2" s="2"/>
      <c r="C2" s="2"/>
      <c r="D2" s="2"/>
      <c r="E2" s="2" t="s">
        <v>82</v>
      </c>
      <c r="F2" s="2"/>
      <c r="G2" s="4" t="s">
        <v>1667</v>
      </c>
      <c r="H2" s="2"/>
      <c r="I2" s="97" t="s">
        <v>769</v>
      </c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111">
        <v>33.2082802536654</v>
      </c>
      <c r="D8" s="149">
        <v>-96.6636802254562</v>
      </c>
      <c r="E8" s="43" t="s">
        <v>98</v>
      </c>
      <c r="F8" s="44" t="s">
        <v>319</v>
      </c>
      <c r="G8" s="52" t="s">
        <v>1668</v>
      </c>
      <c r="H8" s="46"/>
      <c r="I8" s="11" t="b">
        <v>1</v>
      </c>
      <c r="J8" s="47" t="str">
        <f t="shared" ref="J8:J35" si="1">if(F8="","",if(I8=true,"",S8))</f>
        <v/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20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IFERROR(__xludf.DUMMYFUNCTION("""COMPUTED_VALUE"""),3040.0)</f>
        <v>3040</v>
      </c>
      <c r="S8" s="51">
        <v>44069.646064375</v>
      </c>
    </row>
    <row r="9">
      <c r="A9" s="43">
        <v>1.0</v>
      </c>
      <c r="B9" s="43">
        <v>4.0</v>
      </c>
      <c r="C9" s="111">
        <v>33.2082802535474</v>
      </c>
      <c r="D9" s="149">
        <v>-96.6635084398788</v>
      </c>
      <c r="E9" s="43" t="s">
        <v>98</v>
      </c>
      <c r="F9" s="44" t="s">
        <v>101</v>
      </c>
      <c r="G9" s="45" t="s">
        <v>1669</v>
      </c>
      <c r="H9" s="46"/>
      <c r="I9" s="11" t="b">
        <v>1</v>
      </c>
      <c r="J9" s="47" t="str">
        <f t="shared" si="1"/>
        <v/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IFERROR(__xludf.DUMMYFUNCTION("""COMPUTED_VALUE"""),4346.0)</f>
        <v>4346</v>
      </c>
      <c r="S9" s="51">
        <v>44062.672600185186</v>
      </c>
    </row>
    <row r="10">
      <c r="A10" s="43">
        <v>1.0</v>
      </c>
      <c r="B10" s="43">
        <v>5.0</v>
      </c>
      <c r="C10" s="111">
        <v>33.2082802534294</v>
      </c>
      <c r="D10" s="149">
        <v>-96.6633366543013</v>
      </c>
      <c r="E10" s="43" t="s">
        <v>103</v>
      </c>
      <c r="F10" s="44" t="s">
        <v>1119</v>
      </c>
      <c r="G10" s="45" t="s">
        <v>1670</v>
      </c>
      <c r="H10" s="46"/>
      <c r="I10" s="11" t="b">
        <v>1</v>
      </c>
      <c r="J10" s="47" t="str">
        <f t="shared" si="1"/>
        <v/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IFERROR(__xludf.DUMMYFUNCTION("""COMPUTED_VALUE"""),2441.0)</f>
        <v>2441</v>
      </c>
      <c r="S10" s="51">
        <v>44062.672720393515</v>
      </c>
    </row>
    <row r="11">
      <c r="A11" s="43">
        <v>1.0</v>
      </c>
      <c r="B11" s="43">
        <v>6.0</v>
      </c>
      <c r="C11" s="111">
        <v>33.2082802533114</v>
      </c>
      <c r="D11" s="149">
        <v>-96.6631648687239</v>
      </c>
      <c r="E11" s="43" t="s">
        <v>103</v>
      </c>
      <c r="F11" s="44" t="s">
        <v>217</v>
      </c>
      <c r="G11" s="45" t="s">
        <v>1671</v>
      </c>
      <c r="H11" s="46"/>
      <c r="I11" s="11" t="b">
        <v>1</v>
      </c>
      <c r="J11" s="47" t="str">
        <f t="shared" si="1"/>
        <v/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IFERROR(__xludf.DUMMYFUNCTION("""COMPUTED_VALUE"""),3141.0)</f>
        <v>3141</v>
      </c>
      <c r="S11" s="51">
        <v>44062.67274944445</v>
      </c>
    </row>
    <row r="12">
      <c r="A12" s="43">
        <v>2.0</v>
      </c>
      <c r="B12" s="43">
        <v>2.0</v>
      </c>
      <c r="C12" s="111">
        <v>33.208136523338</v>
      </c>
      <c r="D12" s="149">
        <v>-96.6638520186497</v>
      </c>
      <c r="E12" s="43" t="s">
        <v>98</v>
      </c>
      <c r="F12" s="44" t="s">
        <v>136</v>
      </c>
      <c r="G12" s="45" t="s">
        <v>1672</v>
      </c>
      <c r="H12" s="44" t="s">
        <v>1673</v>
      </c>
      <c r="I12" s="11" t="b">
        <v>1</v>
      </c>
      <c r="J12" s="47" t="str">
        <f t="shared" si="1"/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IFERROR(__xludf.DUMMYFUNCTION("""COMPUTED_VALUE"""),"OdinsFiRe")</f>
        <v>OdinsFiRe</v>
      </c>
      <c r="R12" s="49">
        <f>IFERROR(__xludf.DUMMYFUNCTION("""COMPUTED_VALUE"""),1646.0)</f>
        <v>1646</v>
      </c>
      <c r="S12" s="51">
        <v>44069.72683480324</v>
      </c>
    </row>
    <row r="13">
      <c r="A13" s="43">
        <v>2.0</v>
      </c>
      <c r="B13" s="43">
        <v>3.0</v>
      </c>
      <c r="C13" s="111">
        <v>33.20813652322</v>
      </c>
      <c r="D13" s="149">
        <v>-96.6636802333544</v>
      </c>
      <c r="E13" s="43" t="s">
        <v>98</v>
      </c>
      <c r="F13" s="44" t="s">
        <v>122</v>
      </c>
      <c r="G13" s="150" t="s">
        <v>1674</v>
      </c>
      <c r="H13" s="151"/>
      <c r="I13" s="11" t="b">
        <v>1</v>
      </c>
      <c r="J13" s="47" t="str">
        <f t="shared" si="1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IFERROR(__xludf.DUMMYFUNCTION("""COMPUTED_VALUE"""),"Drazoria")</f>
        <v>Drazoria</v>
      </c>
      <c r="R13" s="49">
        <f>IFERROR(__xludf.DUMMYFUNCTION("""COMPUTED_VALUE"""),838.0)</f>
        <v>838</v>
      </c>
      <c r="S13" s="51">
        <v>44069.74792248843</v>
      </c>
    </row>
    <row r="14">
      <c r="A14" s="43">
        <v>2.0</v>
      </c>
      <c r="B14" s="43">
        <v>4.0</v>
      </c>
      <c r="C14" s="111">
        <v>33.2081365231019</v>
      </c>
      <c r="D14" s="149">
        <v>-96.663508448059</v>
      </c>
      <c r="E14" s="43" t="s">
        <v>98</v>
      </c>
      <c r="F14" s="44" t="s">
        <v>124</v>
      </c>
      <c r="G14" s="45" t="s">
        <v>1675</v>
      </c>
      <c r="H14" s="46"/>
      <c r="I14" s="11" t="b">
        <v>1</v>
      </c>
      <c r="J14" s="47" t="str">
        <f t="shared" si="1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IFERROR(__xludf.DUMMYFUNCTION("""COMPUTED_VALUE"""),"Tinake1309")</f>
        <v>Tinake1309</v>
      </c>
      <c r="R14" s="49">
        <f>IFERROR(__xludf.DUMMYFUNCTION("""COMPUTED_VALUE"""),793.0)</f>
        <v>793</v>
      </c>
      <c r="S14" s="51">
        <v>44069.74801283565</v>
      </c>
    </row>
    <row r="15">
      <c r="A15" s="43">
        <v>2.0</v>
      </c>
      <c r="B15" s="43">
        <v>5.0</v>
      </c>
      <c r="C15" s="111">
        <v>33.2081365229839</v>
      </c>
      <c r="D15" s="149">
        <v>-96.6633366627636</v>
      </c>
      <c r="E15" s="43" t="s">
        <v>103</v>
      </c>
      <c r="F15" s="44" t="s">
        <v>126</v>
      </c>
      <c r="G15" s="45" t="s">
        <v>1676</v>
      </c>
      <c r="H15" s="46"/>
      <c r="I15" s="11" t="b">
        <v>1</v>
      </c>
      <c r="J15" s="47" t="str">
        <f t="shared" si="1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IFERROR(__xludf.DUMMYFUNCTION("""COMPUTED_VALUE"""),"Berg14")</f>
        <v>Berg14</v>
      </c>
      <c r="R15" s="49">
        <f>IFERROR(__xludf.DUMMYFUNCTION("""COMPUTED_VALUE"""),637.0)</f>
        <v>637</v>
      </c>
      <c r="S15" s="51">
        <v>44069.74811179398</v>
      </c>
    </row>
    <row r="16">
      <c r="A16" s="43">
        <v>2.0</v>
      </c>
      <c r="B16" s="43">
        <v>6.0</v>
      </c>
      <c r="C16" s="111">
        <v>33.2081365228659</v>
      </c>
      <c r="D16" s="149">
        <v>-96.6631648774682</v>
      </c>
      <c r="E16" s="43" t="s">
        <v>98</v>
      </c>
      <c r="F16" s="44" t="s">
        <v>1677</v>
      </c>
      <c r="G16" s="45" t="s">
        <v>1678</v>
      </c>
      <c r="H16" s="46"/>
      <c r="I16" s="11" t="b">
        <v>1</v>
      </c>
      <c r="J16" s="47" t="str">
        <f t="shared" si="1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IFERROR(__xludf.DUMMYFUNCTION("""COMPUTED_VALUE"""),"Niks13")</f>
        <v>Niks13</v>
      </c>
      <c r="R16" s="49">
        <f>IFERROR(__xludf.DUMMYFUNCTION("""COMPUTED_VALUE"""),612.0)</f>
        <v>612</v>
      </c>
      <c r="S16" s="51">
        <v>44069.74821021991</v>
      </c>
    </row>
    <row r="17">
      <c r="A17" s="43">
        <v>2.0</v>
      </c>
      <c r="B17" s="43">
        <v>7.0</v>
      </c>
      <c r="C17" s="111">
        <v>33.2081365227479</v>
      </c>
      <c r="D17" s="149">
        <v>-96.6629930921728</v>
      </c>
      <c r="E17" s="43" t="s">
        <v>98</v>
      </c>
      <c r="F17" s="44" t="s">
        <v>116</v>
      </c>
      <c r="G17" s="45" t="s">
        <v>1679</v>
      </c>
      <c r="H17" s="46"/>
      <c r="I17" s="11" t="b">
        <v>1</v>
      </c>
      <c r="J17" s="47" t="str">
        <f t="shared" si="1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IFERROR(__xludf.DUMMYFUNCTION("""COMPUTED_VALUE"""),"fsafranek")</f>
        <v>fsafranek</v>
      </c>
      <c r="R17" s="49">
        <f>IFERROR(__xludf.DUMMYFUNCTION("""COMPUTED_VALUE"""),4203.0)</f>
        <v>4203</v>
      </c>
      <c r="S17" s="49"/>
    </row>
    <row r="18">
      <c r="A18" s="43">
        <v>3.0</v>
      </c>
      <c r="B18" s="43">
        <v>1.0</v>
      </c>
      <c r="C18" s="111">
        <v>33.2079927930105</v>
      </c>
      <c r="D18" s="149">
        <v>-96.6640238112786</v>
      </c>
      <c r="E18" s="43" t="s">
        <v>98</v>
      </c>
      <c r="F18" s="44" t="s">
        <v>950</v>
      </c>
      <c r="G18" s="45" t="s">
        <v>1680</v>
      </c>
      <c r="H18" s="44"/>
      <c r="I18" s="11" t="b">
        <v>1</v>
      </c>
      <c r="J18" s="47" t="str">
        <f t="shared" si="1"/>
        <v/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IFERROR(__xludf.DUMMYFUNCTION("""COMPUTED_VALUE"""),"babyw")</f>
        <v>babyw</v>
      </c>
      <c r="R18" s="49">
        <f>IFERROR(__xludf.DUMMYFUNCTION("""COMPUTED_VALUE"""),3177.0)</f>
        <v>3177</v>
      </c>
      <c r="S18" s="49"/>
    </row>
    <row r="19">
      <c r="A19" s="43">
        <v>3.0</v>
      </c>
      <c r="B19" s="43">
        <v>2.0</v>
      </c>
      <c r="C19" s="111">
        <v>33.2079927928925</v>
      </c>
      <c r="D19" s="149">
        <v>-96.6638520262653</v>
      </c>
      <c r="E19" s="43" t="s">
        <v>98</v>
      </c>
      <c r="F19" s="44" t="s">
        <v>1540</v>
      </c>
      <c r="G19" s="45" t="s">
        <v>1681</v>
      </c>
      <c r="H19" s="46"/>
      <c r="I19" s="11" t="b">
        <v>1</v>
      </c>
      <c r="J19" s="47" t="str">
        <f t="shared" si="1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IFERROR(__xludf.DUMMYFUNCTION("""COMPUTED_VALUE"""),"artofmunzeeing")</f>
        <v>artofmunzeeing</v>
      </c>
      <c r="R19" s="49">
        <f>IFERROR(__xludf.DUMMYFUNCTION("""COMPUTED_VALUE"""),3952.0)</f>
        <v>3952</v>
      </c>
      <c r="S19" s="49"/>
    </row>
    <row r="20">
      <c r="A20" s="43">
        <v>3.0</v>
      </c>
      <c r="B20" s="43">
        <v>3.0</v>
      </c>
      <c r="C20" s="111">
        <v>33.2079927927745</v>
      </c>
      <c r="D20" s="149">
        <v>-96.663680241252</v>
      </c>
      <c r="E20" s="43" t="s">
        <v>98</v>
      </c>
      <c r="F20" s="44" t="s">
        <v>926</v>
      </c>
      <c r="G20" s="45" t="s">
        <v>1682</v>
      </c>
      <c r="H20" s="44"/>
      <c r="I20" s="11" t="b">
        <v>1</v>
      </c>
      <c r="J20" s="47" t="str">
        <f t="shared" si="1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IFERROR(__xludf.DUMMYFUNCTION("""COMPUTED_VALUE"""),"Lanyasummer")</f>
        <v>Lanyasummer</v>
      </c>
      <c r="R20" s="49">
        <f>IFERROR(__xludf.DUMMYFUNCTION("""COMPUTED_VALUE"""),4472.0)</f>
        <v>4472</v>
      </c>
      <c r="S20" s="49"/>
    </row>
    <row r="21">
      <c r="A21" s="43">
        <v>3.0</v>
      </c>
      <c r="B21" s="43">
        <v>4.0</v>
      </c>
      <c r="C21" s="111">
        <v>33.2079927926565</v>
      </c>
      <c r="D21" s="149">
        <v>-96.6635084562386</v>
      </c>
      <c r="E21" s="43" t="s">
        <v>98</v>
      </c>
      <c r="F21" s="44" t="s">
        <v>110</v>
      </c>
      <c r="G21" s="52" t="s">
        <v>1683</v>
      </c>
      <c r="H21" s="44"/>
      <c r="I21" s="11" t="b">
        <v>1</v>
      </c>
      <c r="J21" s="47" t="str">
        <f t="shared" si="1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ref="M21:M23" si="3">if(I22=TRUE,2,IF(ISTEXT(G21),1,0))</f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IFERROR(__xludf.DUMMYFUNCTION("""COMPUTED_VALUE"""),"BrotherWilliam")</f>
        <v>BrotherWilliam</v>
      </c>
      <c r="R21" s="49">
        <f>IFERROR(__xludf.DUMMYFUNCTION("""COMPUTED_VALUE"""),4080.0)</f>
        <v>4080</v>
      </c>
      <c r="S21" s="49"/>
    </row>
    <row r="22">
      <c r="A22" s="43">
        <v>3.0</v>
      </c>
      <c r="B22" s="43">
        <v>5.0</v>
      </c>
      <c r="C22" s="111">
        <v>33.2079927925385</v>
      </c>
      <c r="D22" s="149">
        <v>-96.6633366712253</v>
      </c>
      <c r="E22" s="43" t="s">
        <v>98</v>
      </c>
      <c r="F22" s="44" t="s">
        <v>112</v>
      </c>
      <c r="G22" s="52" t="s">
        <v>1684</v>
      </c>
      <c r="H22" s="46"/>
      <c r="I22" s="11" t="b">
        <v>1</v>
      </c>
      <c r="J22" s="47" t="str">
        <f t="shared" si="1"/>
        <v/>
      </c>
      <c r="K22" s="49"/>
      <c r="L22" s="48"/>
      <c r="M22" s="48">
        <f t="shared" si="3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IFERROR(__xludf.DUMMYFUNCTION("""COMPUTED_VALUE"""),"ArtofEco")</f>
        <v>ArtofEco</v>
      </c>
      <c r="R22" s="49">
        <f>IFERROR(__xludf.DUMMYFUNCTION("""COMPUTED_VALUE"""),3022.0)</f>
        <v>3022</v>
      </c>
      <c r="S22" s="49"/>
    </row>
    <row r="23">
      <c r="A23" s="43">
        <v>3.0</v>
      </c>
      <c r="B23" s="43">
        <v>6.0</v>
      </c>
      <c r="C23" s="111">
        <v>33.2079927924205</v>
      </c>
      <c r="D23" s="149">
        <v>-96.663164886212</v>
      </c>
      <c r="E23" s="43" t="s">
        <v>98</v>
      </c>
      <c r="F23" s="44" t="s">
        <v>182</v>
      </c>
      <c r="G23" s="45" t="s">
        <v>1685</v>
      </c>
      <c r="H23" s="46"/>
      <c r="I23" s="11" t="b">
        <v>1</v>
      </c>
      <c r="J23" s="47" t="str">
        <f t="shared" si="1"/>
        <v/>
      </c>
      <c r="K23" s="49"/>
      <c r="L23" s="48"/>
      <c r="M23" s="48">
        <f t="shared" si="3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IFERROR(__xludf.DUMMYFUNCTION("""COMPUTED_VALUE"""),"TheFatCats")</f>
        <v>TheFatCats</v>
      </c>
      <c r="R23" s="49">
        <f>IFERROR(__xludf.DUMMYFUNCTION("""COMPUTED_VALUE"""),3645.0)</f>
        <v>3645</v>
      </c>
      <c r="S23" s="49"/>
    </row>
    <row r="24">
      <c r="A24" s="43">
        <v>3.0</v>
      </c>
      <c r="B24" s="43">
        <v>7.0</v>
      </c>
      <c r="C24" s="111">
        <v>33.2079927923025</v>
      </c>
      <c r="D24" s="149">
        <v>-96.6629931011987</v>
      </c>
      <c r="E24" s="43" t="s">
        <v>98</v>
      </c>
      <c r="F24" s="44" t="s">
        <v>940</v>
      </c>
      <c r="G24" s="52" t="s">
        <v>1686</v>
      </c>
      <c r="H24" s="120"/>
      <c r="I24" s="11" t="b">
        <v>1</v>
      </c>
      <c r="J24" s="47" t="str">
        <f t="shared" si="1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ref="M24:M59" si="4">if(I24=TRUE,2,IF(ISTEXT(G24),1,0))</f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IFERROR(__xludf.DUMMYFUNCTION("""COMPUTED_VALUE"""),"WiseOldWizard")</f>
        <v>WiseOldWizard</v>
      </c>
      <c r="R24" s="49">
        <f>IFERROR(__xludf.DUMMYFUNCTION("""COMPUTED_VALUE"""),4044.0)</f>
        <v>4044</v>
      </c>
      <c r="S24" s="51">
        <v>44062.67358274305</v>
      </c>
    </row>
    <row r="25">
      <c r="A25" s="43">
        <v>3.0</v>
      </c>
      <c r="B25" s="43">
        <v>8.0</v>
      </c>
      <c r="C25" s="111">
        <v>33.2079927921844</v>
      </c>
      <c r="D25" s="149">
        <v>-96.6628213161854</v>
      </c>
      <c r="E25" s="43" t="s">
        <v>98</v>
      </c>
      <c r="F25" s="44" t="s">
        <v>80</v>
      </c>
      <c r="G25" s="45" t="s">
        <v>1687</v>
      </c>
      <c r="H25" s="46"/>
      <c r="I25" s="11" t="b">
        <v>1</v>
      </c>
      <c r="J25" s="47" t="str">
        <f t="shared" si="1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4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IFERROR(__xludf.DUMMYFUNCTION("""COMPUTED_VALUE"""),"Derlame")</f>
        <v>Derlame</v>
      </c>
      <c r="R25" s="49">
        <f>IFERROR(__xludf.DUMMYFUNCTION("""COMPUTED_VALUE"""),12889.0)</f>
        <v>12889</v>
      </c>
      <c r="S25" s="51">
        <v>44069.64485454861</v>
      </c>
    </row>
    <row r="26">
      <c r="A26" s="43">
        <v>4.0</v>
      </c>
      <c r="B26" s="43">
        <v>1.0</v>
      </c>
      <c r="C26" s="111">
        <v>33.207849062565</v>
      </c>
      <c r="D26" s="149">
        <v>-96.6640238186133</v>
      </c>
      <c r="E26" s="43" t="s">
        <v>98</v>
      </c>
      <c r="F26" s="44" t="s">
        <v>182</v>
      </c>
      <c r="G26" s="45" t="s">
        <v>1688</v>
      </c>
      <c r="H26" s="44"/>
      <c r="I26" s="11" t="b">
        <v>1</v>
      </c>
      <c r="J26" s="47" t="str">
        <f t="shared" si="1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4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IFERROR(__xludf.DUMMYFUNCTION("""COMPUTED_VALUE"""),"TheFatCats")</f>
        <v>TheFatCats</v>
      </c>
      <c r="R26" s="49">
        <f>IFERROR(__xludf.DUMMYFUNCTION("""COMPUTED_VALUE"""),3671.0)</f>
        <v>3671</v>
      </c>
      <c r="S26" s="49"/>
    </row>
    <row r="27">
      <c r="A27" s="43">
        <v>4.0</v>
      </c>
      <c r="B27" s="43">
        <v>2.0</v>
      </c>
      <c r="C27" s="111">
        <v>33.207849062447</v>
      </c>
      <c r="D27" s="149">
        <v>-96.6638520338821</v>
      </c>
      <c r="E27" s="43" t="s">
        <v>103</v>
      </c>
      <c r="F27" s="44" t="s">
        <v>116</v>
      </c>
      <c r="G27" s="45" t="s">
        <v>1689</v>
      </c>
      <c r="H27" s="46"/>
      <c r="I27" s="11" t="b">
        <v>1</v>
      </c>
      <c r="J27" s="47" t="str">
        <f t="shared" si="1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4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IFERROR(__xludf.DUMMYFUNCTION("""COMPUTED_VALUE"""),"fsafranek")</f>
        <v>fsafranek</v>
      </c>
      <c r="R27" s="49">
        <f>IFERROR(__xludf.DUMMYFUNCTION("""COMPUTED_VALUE"""),4124.0)</f>
        <v>4124</v>
      </c>
      <c r="S27" s="51">
        <v>44072.52391701389</v>
      </c>
    </row>
    <row r="28">
      <c r="A28" s="43">
        <v>4.0</v>
      </c>
      <c r="B28" s="43">
        <v>3.0</v>
      </c>
      <c r="C28" s="111">
        <v>33.207849062329</v>
      </c>
      <c r="D28" s="149">
        <v>-96.6636802491509</v>
      </c>
      <c r="E28" s="43" t="s">
        <v>98</v>
      </c>
      <c r="F28" s="44" t="s">
        <v>879</v>
      </c>
      <c r="G28" s="45" t="s">
        <v>1690</v>
      </c>
      <c r="H28" s="44" t="s">
        <v>1691</v>
      </c>
      <c r="I28" s="11" t="b">
        <v>1</v>
      </c>
      <c r="J28" s="47" t="str">
        <f t="shared" si="1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4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IFERROR(__xludf.DUMMYFUNCTION("""COMPUTED_VALUE"""),"Franca")</f>
        <v>Franca</v>
      </c>
      <c r="R28" s="49">
        <f>IFERROR(__xludf.DUMMYFUNCTION("""COMPUTED_VALUE"""),835.0)</f>
        <v>835</v>
      </c>
      <c r="S28" s="51">
        <v>44072.52396638889</v>
      </c>
    </row>
    <row r="29">
      <c r="A29" s="43">
        <v>4.0</v>
      </c>
      <c r="B29" s="43">
        <v>4.0</v>
      </c>
      <c r="C29" s="111">
        <v>33.207849062211</v>
      </c>
      <c r="D29" s="149">
        <v>-96.6635084644197</v>
      </c>
      <c r="E29" s="43" t="s">
        <v>98</v>
      </c>
      <c r="F29" s="44" t="s">
        <v>138</v>
      </c>
      <c r="G29" s="45" t="s">
        <v>1692</v>
      </c>
      <c r="H29" s="46"/>
      <c r="I29" s="11" t="b">
        <v>1</v>
      </c>
      <c r="J29" s="47" t="str">
        <f t="shared" si="1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4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IFERROR(__xludf.DUMMYFUNCTION("""COMPUTED_VALUE"""),2597.0)</f>
        <v>2597</v>
      </c>
      <c r="S29" s="51">
        <v>44069.64486512731</v>
      </c>
    </row>
    <row r="30">
      <c r="A30" s="43">
        <v>4.0</v>
      </c>
      <c r="B30" s="43">
        <v>5.0</v>
      </c>
      <c r="C30" s="111">
        <v>33.207849062093</v>
      </c>
      <c r="D30" s="149">
        <v>-96.6633366796885</v>
      </c>
      <c r="E30" s="43" t="s">
        <v>98</v>
      </c>
      <c r="F30" s="44" t="s">
        <v>1523</v>
      </c>
      <c r="G30" s="45" t="s">
        <v>1693</v>
      </c>
      <c r="H30" s="46"/>
      <c r="I30" s="11" t="b">
        <v>1</v>
      </c>
      <c r="J30" s="47" t="str">
        <f t="shared" si="1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4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IFERROR(__xludf.DUMMYFUNCTION("""COMPUTED_VALUE"""),"MunziMeg")</f>
        <v>MunziMeg</v>
      </c>
      <c r="R30" s="49">
        <f>IFERROR(__xludf.DUMMYFUNCTION("""COMPUTED_VALUE"""),4588.0)</f>
        <v>4588</v>
      </c>
      <c r="S30" s="49"/>
    </row>
    <row r="31">
      <c r="A31" s="43">
        <v>4.0</v>
      </c>
      <c r="B31" s="43">
        <v>6.0</v>
      </c>
      <c r="C31" s="111">
        <v>33.207849061975</v>
      </c>
      <c r="D31" s="149">
        <v>-96.6631648949572</v>
      </c>
      <c r="E31" s="43" t="s">
        <v>103</v>
      </c>
      <c r="F31" s="44" t="s">
        <v>629</v>
      </c>
      <c r="G31" s="52" t="s">
        <v>1694</v>
      </c>
      <c r="H31" s="120"/>
      <c r="I31" s="11" t="b">
        <v>1</v>
      </c>
      <c r="J31" s="47" t="str">
        <f t="shared" si="1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4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IFERROR(__xludf.DUMMYFUNCTION("""COMPUTED_VALUE"""),"IggiePiggie")</f>
        <v>IggiePiggie</v>
      </c>
      <c r="R31" s="49">
        <f>IFERROR(__xludf.DUMMYFUNCTION("""COMPUTED_VALUE"""),1972.0)</f>
        <v>1972</v>
      </c>
      <c r="S31" s="51">
        <v>44069.64488261574</v>
      </c>
    </row>
    <row r="32">
      <c r="A32" s="43">
        <v>4.0</v>
      </c>
      <c r="B32" s="43">
        <v>7.0</v>
      </c>
      <c r="C32" s="111">
        <v>33.207849061857</v>
      </c>
      <c r="D32" s="149">
        <v>-96.662993110226</v>
      </c>
      <c r="E32" s="43" t="s">
        <v>98</v>
      </c>
      <c r="F32" s="44" t="s">
        <v>823</v>
      </c>
      <c r="G32" s="45" t="s">
        <v>1695</v>
      </c>
      <c r="H32" s="46"/>
      <c r="I32" s="11" t="b">
        <v>1</v>
      </c>
      <c r="J32" s="47" t="str">
        <f t="shared" si="1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4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IFERROR(__xludf.DUMMYFUNCTION("""COMPUTED_VALUE"""),"denali0407")</f>
        <v>denali0407</v>
      </c>
      <c r="R32" s="49">
        <f>IFERROR(__xludf.DUMMYFUNCTION("""COMPUTED_VALUE"""),14438.0)</f>
        <v>14438</v>
      </c>
      <c r="S32" s="49"/>
    </row>
    <row r="33">
      <c r="A33" s="43">
        <v>4.0</v>
      </c>
      <c r="B33" s="43">
        <v>8.0</v>
      </c>
      <c r="C33" s="111">
        <v>33.207849061739</v>
      </c>
      <c r="D33" s="149">
        <v>-96.6628213254948</v>
      </c>
      <c r="E33" s="43" t="s">
        <v>98</v>
      </c>
      <c r="F33" s="44" t="s">
        <v>977</v>
      </c>
      <c r="G33" s="45" t="s">
        <v>1696</v>
      </c>
      <c r="H33" s="46"/>
      <c r="I33" s="11" t="b">
        <v>1</v>
      </c>
      <c r="J33" s="47" t="str">
        <f t="shared" si="1"/>
        <v/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4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IFERROR(__xludf.DUMMYFUNCTION("""COMPUTED_VALUE"""),"halizwein")</f>
        <v>halizwein</v>
      </c>
      <c r="R33" s="49">
        <f>IFERROR(__xludf.DUMMYFUNCTION("""COMPUTED_VALUE"""),11587.0)</f>
        <v>11587</v>
      </c>
      <c r="S33" s="49"/>
    </row>
    <row r="34">
      <c r="A34" s="43">
        <v>5.0</v>
      </c>
      <c r="B34" s="43">
        <v>1.0</v>
      </c>
      <c r="C34" s="111">
        <v>33.2077053321196</v>
      </c>
      <c r="D34" s="149">
        <v>-96.664023825947</v>
      </c>
      <c r="E34" s="43" t="s">
        <v>103</v>
      </c>
      <c r="F34" s="44" t="s">
        <v>207</v>
      </c>
      <c r="G34" s="52" t="s">
        <v>1697</v>
      </c>
      <c r="H34" s="120"/>
      <c r="I34" s="11" t="b">
        <v>1</v>
      </c>
      <c r="J34" s="47" t="str">
        <f t="shared" si="1"/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4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IFERROR(__xludf.DUMMYFUNCTION("""COMPUTED_VALUE"""),"5Star")</f>
        <v>5Star</v>
      </c>
      <c r="R34" s="49">
        <f>IFERROR(__xludf.DUMMYFUNCTION("""COMPUTED_VALUE"""),4694.0)</f>
        <v>4694</v>
      </c>
      <c r="S34" s="51">
        <v>44062.67350193287</v>
      </c>
    </row>
    <row r="35">
      <c r="A35" s="43">
        <v>5.0</v>
      </c>
      <c r="B35" s="43">
        <v>2.0</v>
      </c>
      <c r="C35" s="111">
        <v>33.2077053320016</v>
      </c>
      <c r="D35" s="149">
        <v>-96.6638520414979</v>
      </c>
      <c r="E35" s="43" t="s">
        <v>98</v>
      </c>
      <c r="F35" s="44" t="s">
        <v>141</v>
      </c>
      <c r="G35" s="52" t="s">
        <v>1698</v>
      </c>
      <c r="H35" s="120"/>
      <c r="I35" s="11" t="b">
        <v>1</v>
      </c>
      <c r="J35" s="47" t="str">
        <f t="shared" si="1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4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IFERROR(__xludf.DUMMYFUNCTION("""COMPUTED_VALUE"""),2472.0)</f>
        <v>2472</v>
      </c>
      <c r="S35" s="51">
        <v>44069.67436600695</v>
      </c>
    </row>
    <row r="36">
      <c r="A36" s="43">
        <v>5.0</v>
      </c>
      <c r="B36" s="43">
        <v>3.0</v>
      </c>
      <c r="C36" s="111">
        <v>33.2077053318836</v>
      </c>
      <c r="D36" s="149">
        <v>-96.6636802570487</v>
      </c>
      <c r="E36" s="43" t="s">
        <v>103</v>
      </c>
      <c r="F36" s="44" t="s">
        <v>140</v>
      </c>
      <c r="G36" s="45" t="s">
        <v>1699</v>
      </c>
      <c r="H36" s="46"/>
      <c r="I36" s="11" t="b">
        <v>1</v>
      </c>
      <c r="J36" s="11"/>
      <c r="K36" s="49" t="str">
        <f>IFERROR(__xludf.DUMMYFUNCTION("IF(M36=1,IFERROR(IMPORTXML(G36, ""//p[@class='status-date']""), ""Not deployed""),"""")"),"")</f>
        <v/>
      </c>
      <c r="L36" s="48"/>
      <c r="M36" s="48">
        <f t="shared" si="4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IFERROR(__xludf.DUMMYFUNCTION("""COMPUTED_VALUE"""),"Fossillady")</f>
        <v>Fossillady</v>
      </c>
      <c r="R36" s="49">
        <f>IFERROR(__xludf.DUMMYFUNCTION("""COMPUTED_VALUE"""),3696.0)</f>
        <v>3696</v>
      </c>
      <c r="S36" s="49"/>
    </row>
    <row r="37">
      <c r="A37" s="43">
        <v>5.0</v>
      </c>
      <c r="B37" s="43">
        <v>4.0</v>
      </c>
      <c r="C37" s="111">
        <v>33.2077053317656</v>
      </c>
      <c r="D37" s="149">
        <v>-96.6635084725996</v>
      </c>
      <c r="E37" s="43" t="s">
        <v>98</v>
      </c>
      <c r="F37" s="44" t="s">
        <v>1230</v>
      </c>
      <c r="G37" s="45" t="s">
        <v>1700</v>
      </c>
      <c r="H37" s="46"/>
      <c r="I37" s="11" t="b">
        <v>1</v>
      </c>
      <c r="J37" s="47" t="str">
        <f t="shared" ref="J37:J59" si="5">if(F37="","",if(I37=true,"",S37))</f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4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IFERROR(__xludf.DUMMYFUNCTION("""COMPUTED_VALUE"""),"FlatBlack")</f>
        <v>FlatBlack</v>
      </c>
      <c r="R37" s="49">
        <f>IFERROR(__xludf.DUMMYFUNCTION("""COMPUTED_VALUE"""),681.0)</f>
        <v>681</v>
      </c>
      <c r="S37" s="49"/>
    </row>
    <row r="38">
      <c r="A38" s="43">
        <v>5.0</v>
      </c>
      <c r="B38" s="43">
        <v>5.0</v>
      </c>
      <c r="C38" s="111">
        <v>33.2077053316476</v>
      </c>
      <c r="D38" s="149">
        <v>-96.6633366881504</v>
      </c>
      <c r="E38" s="43" t="s">
        <v>98</v>
      </c>
      <c r="F38" s="44" t="s">
        <v>1315</v>
      </c>
      <c r="G38" s="45" t="s">
        <v>1701</v>
      </c>
      <c r="H38" s="46"/>
      <c r="I38" s="11" t="b">
        <v>1</v>
      </c>
      <c r="J38" s="47" t="str">
        <f t="shared" si="5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4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IFERROR(__xludf.DUMMYFUNCTION("""COMPUTED_VALUE"""),"jwg68")</f>
        <v>jwg68</v>
      </c>
      <c r="R38" s="49">
        <f>IFERROR(__xludf.DUMMYFUNCTION("""COMPUTED_VALUE"""),1308.0)</f>
        <v>1308</v>
      </c>
      <c r="S38" s="49"/>
    </row>
    <row r="39">
      <c r="A39" s="43">
        <v>5.0</v>
      </c>
      <c r="B39" s="43">
        <v>6.0</v>
      </c>
      <c r="C39" s="111">
        <v>33.2077053315296</v>
      </c>
      <c r="D39" s="149">
        <v>-96.6631649037013</v>
      </c>
      <c r="E39" s="43" t="s">
        <v>98</v>
      </c>
      <c r="F39" s="44" t="s">
        <v>1540</v>
      </c>
      <c r="G39" s="45" t="s">
        <v>1702</v>
      </c>
      <c r="H39" s="46"/>
      <c r="I39" s="11" t="b">
        <v>1</v>
      </c>
      <c r="J39" s="47" t="str">
        <f t="shared" si="5"/>
        <v/>
      </c>
      <c r="K39" s="49" t="str">
        <f>IFERROR(__xludf.DUMMYFUNCTION("IF(M39=1,IFERROR(IMPORTXML(G39, ""//p[@class='status-date']""), ""Not deployed""),"""")"),"")</f>
        <v/>
      </c>
      <c r="L39" s="48"/>
      <c r="M39" s="48">
        <f t="shared" si="4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IFERROR(__xludf.DUMMYFUNCTION("""COMPUTED_VALUE"""),"artofmunzeeing")</f>
        <v>artofmunzeeing</v>
      </c>
      <c r="R39" s="49">
        <f>IFERROR(__xludf.DUMMYFUNCTION("""COMPUTED_VALUE"""),3946.0)</f>
        <v>3946</v>
      </c>
      <c r="S39" s="49"/>
    </row>
    <row r="40">
      <c r="A40" s="43">
        <v>5.0</v>
      </c>
      <c r="B40" s="43">
        <v>7.0</v>
      </c>
      <c r="C40" s="111">
        <v>33.2077053314116</v>
      </c>
      <c r="D40" s="149">
        <v>-96.6629931192521</v>
      </c>
      <c r="E40" s="43" t="s">
        <v>98</v>
      </c>
      <c r="F40" s="44" t="s">
        <v>178</v>
      </c>
      <c r="G40" s="45" t="s">
        <v>1703</v>
      </c>
      <c r="H40" s="46"/>
      <c r="I40" s="11" t="b">
        <v>1</v>
      </c>
      <c r="J40" s="47" t="str">
        <f t="shared" si="5"/>
        <v/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4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IFERROR(__xludf.DUMMYFUNCTION("""COMPUTED_VALUE"""),"lison55")</f>
        <v>lison55</v>
      </c>
      <c r="R40" s="49">
        <f>IFERROR(__xludf.DUMMYFUNCTION("""COMPUTED_VALUE"""),5448.0)</f>
        <v>5448</v>
      </c>
      <c r="S40" s="49"/>
    </row>
    <row r="41">
      <c r="A41" s="43">
        <v>5.0</v>
      </c>
      <c r="B41" s="43">
        <v>8.0</v>
      </c>
      <c r="C41" s="111">
        <v>33.2077053312935</v>
      </c>
      <c r="D41" s="149">
        <v>-96.662821334803</v>
      </c>
      <c r="E41" s="43" t="s">
        <v>98</v>
      </c>
      <c r="F41" s="44" t="s">
        <v>920</v>
      </c>
      <c r="G41" s="45" t="s">
        <v>1704</v>
      </c>
      <c r="H41" s="46"/>
      <c r="I41" s="11" t="b">
        <v>1</v>
      </c>
      <c r="J41" s="47" t="str">
        <f t="shared" si="5"/>
        <v/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4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IFERROR(__xludf.DUMMYFUNCTION("""COMPUTED_VALUE"""),"FromTheTardis")</f>
        <v>FromTheTardis</v>
      </c>
      <c r="R41" s="49">
        <f>IFERROR(__xludf.DUMMYFUNCTION("""COMPUTED_VALUE"""),1434.0)</f>
        <v>1434</v>
      </c>
      <c r="S41" s="49"/>
    </row>
    <row r="42">
      <c r="A42" s="43">
        <v>6.0</v>
      </c>
      <c r="B42" s="43">
        <v>1.0</v>
      </c>
      <c r="C42" s="111">
        <v>33.2075616016741</v>
      </c>
      <c r="D42" s="149">
        <v>-96.6640238332812</v>
      </c>
      <c r="E42" s="43" t="s">
        <v>98</v>
      </c>
      <c r="F42" s="44" t="s">
        <v>114</v>
      </c>
      <c r="G42" s="52" t="s">
        <v>1705</v>
      </c>
      <c r="H42" s="46"/>
      <c r="I42" s="11" t="b">
        <v>1</v>
      </c>
      <c r="J42" s="47" t="str">
        <f t="shared" si="5"/>
        <v/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4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IFERROR(__xludf.DUMMYFUNCTION("""COMPUTED_VALUE"""),"J1Huisman")</f>
        <v>J1Huisman</v>
      </c>
      <c r="R42" s="49">
        <f>IFERROR(__xludf.DUMMYFUNCTION("""COMPUTED_VALUE"""),11481.0)</f>
        <v>11481</v>
      </c>
      <c r="S42" s="51">
        <v>44069.64491681713</v>
      </c>
    </row>
    <row r="43">
      <c r="A43" s="43">
        <v>6.0</v>
      </c>
      <c r="B43" s="43">
        <v>2.0</v>
      </c>
      <c r="C43" s="111">
        <v>33.2075616015561</v>
      </c>
      <c r="D43" s="149">
        <v>-96.6638520491141</v>
      </c>
      <c r="E43" s="43" t="s">
        <v>98</v>
      </c>
      <c r="F43" s="44" t="s">
        <v>157</v>
      </c>
      <c r="G43" s="45" t="s">
        <v>1706</v>
      </c>
      <c r="H43" s="46"/>
      <c r="I43" s="11" t="b">
        <v>1</v>
      </c>
      <c r="J43" s="47" t="str">
        <f t="shared" si="5"/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4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IFERROR(__xludf.DUMMYFUNCTION("""COMPUTED_VALUE"""),"barefootguru")</f>
        <v>barefootguru</v>
      </c>
      <c r="R43" s="49">
        <f>IFERROR(__xludf.DUMMYFUNCTION("""COMPUTED_VALUE"""),3162.0)</f>
        <v>3162</v>
      </c>
      <c r="S43" s="49"/>
    </row>
    <row r="44">
      <c r="A44" s="43">
        <v>6.0</v>
      </c>
      <c r="B44" s="43">
        <v>3.0</v>
      </c>
      <c r="C44" s="111">
        <v>33.2075616014381</v>
      </c>
      <c r="D44" s="149">
        <v>-96.663680264947</v>
      </c>
      <c r="E44" s="43" t="s">
        <v>103</v>
      </c>
      <c r="F44" s="44" t="s">
        <v>190</v>
      </c>
      <c r="G44" s="52" t="s">
        <v>1707</v>
      </c>
      <c r="H44" s="46"/>
      <c r="I44" s="11" t="b">
        <v>1</v>
      </c>
      <c r="J44" s="47" t="str">
        <f t="shared" si="5"/>
        <v/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4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IFERROR(__xludf.DUMMYFUNCTION("""COMPUTED_VALUE"""),"GroteSufferd")</f>
        <v>GroteSufferd</v>
      </c>
      <c r="R44" s="49">
        <f>IFERROR(__xludf.DUMMYFUNCTION("""COMPUTED_VALUE"""),421.0)</f>
        <v>421</v>
      </c>
      <c r="S44" s="51">
        <v>44069.64494759259</v>
      </c>
    </row>
    <row r="45">
      <c r="A45" s="43">
        <v>6.0</v>
      </c>
      <c r="B45" s="43">
        <v>4.0</v>
      </c>
      <c r="C45" s="111">
        <v>33.2075616013201</v>
      </c>
      <c r="D45" s="149">
        <v>-96.66350848078</v>
      </c>
      <c r="E45" s="43" t="s">
        <v>98</v>
      </c>
      <c r="F45" s="44" t="s">
        <v>243</v>
      </c>
      <c r="G45" s="45" t="s">
        <v>1708</v>
      </c>
      <c r="H45" s="46"/>
      <c r="I45" s="11" t="b">
        <v>1</v>
      </c>
      <c r="J45" s="47" t="str">
        <f t="shared" si="5"/>
        <v/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4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IFERROR(__xludf.DUMMYFUNCTION("""COMPUTED_VALUE"""),"Aniara")</f>
        <v>Aniara</v>
      </c>
      <c r="R45" s="49">
        <f>IFERROR(__xludf.DUMMYFUNCTION("""COMPUTED_VALUE"""),6743.0)</f>
        <v>6743</v>
      </c>
      <c r="S45" s="49"/>
    </row>
    <row r="46">
      <c r="A46" s="43">
        <v>6.0</v>
      </c>
      <c r="B46" s="43">
        <v>5.0</v>
      </c>
      <c r="C46" s="111">
        <v>33.2075616012021</v>
      </c>
      <c r="D46" s="149">
        <v>-96.6633366966129</v>
      </c>
      <c r="E46" s="43" t="s">
        <v>98</v>
      </c>
      <c r="F46" s="62" t="s">
        <v>169</v>
      </c>
      <c r="G46" s="52" t="s">
        <v>1709</v>
      </c>
      <c r="H46" s="120"/>
      <c r="I46" s="11" t="b">
        <v>1</v>
      </c>
      <c r="J46" s="47" t="str">
        <f t="shared" si="5"/>
        <v/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4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IFERROR(__xludf.DUMMYFUNCTION("""COMPUTED_VALUE"""),"Pinkeltje")</f>
        <v>Pinkeltje</v>
      </c>
      <c r="R46" s="49">
        <f>IFERROR(__xludf.DUMMYFUNCTION("""COMPUTED_VALUE"""),1343.0)</f>
        <v>1343</v>
      </c>
      <c r="S46" s="51">
        <v>44062.90786653935</v>
      </c>
    </row>
    <row r="47">
      <c r="A47" s="43">
        <v>6.0</v>
      </c>
      <c r="B47" s="43">
        <v>6.0</v>
      </c>
      <c r="C47" s="149">
        <v>33.2075616010841</v>
      </c>
      <c r="D47" s="149">
        <v>-96.6631649124459</v>
      </c>
      <c r="E47" s="43" t="s">
        <v>103</v>
      </c>
      <c r="F47" s="44" t="s">
        <v>120</v>
      </c>
      <c r="G47" s="45" t="s">
        <v>1710</v>
      </c>
      <c r="H47" s="120"/>
      <c r="I47" s="11" t="b">
        <v>1</v>
      </c>
      <c r="J47" s="47" t="str">
        <f t="shared" si="5"/>
        <v/>
      </c>
      <c r="K47" s="49" t="str">
        <f>IFERROR(__xludf.DUMMYFUNCTION("IF(M47=1,IFERROR(IMPORTXML(G47, ""//p[@class='status-date']""), ""Not deployed""),"""")"),"")</f>
        <v/>
      </c>
      <c r="L47" s="48"/>
      <c r="M47" s="48">
        <f t="shared" si="4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IFERROR(__xludf.DUMMYFUNCTION("""COMPUTED_VALUE"""),"xrayneex")</f>
        <v>xrayneex</v>
      </c>
      <c r="R47" s="49">
        <f>IFERROR(__xludf.DUMMYFUNCTION("""COMPUTED_VALUE"""),1433.0)</f>
        <v>1433</v>
      </c>
      <c r="S47" s="49"/>
    </row>
    <row r="48">
      <c r="A48" s="43">
        <v>6.0</v>
      </c>
      <c r="B48" s="43">
        <v>7.0</v>
      </c>
      <c r="C48" s="111">
        <v>33.2075616009661</v>
      </c>
      <c r="D48" s="149">
        <v>-96.6629931282788</v>
      </c>
      <c r="E48" s="43" t="s">
        <v>98</v>
      </c>
      <c r="F48" s="44" t="s">
        <v>145</v>
      </c>
      <c r="G48" s="52" t="s">
        <v>1711</v>
      </c>
      <c r="H48" s="120"/>
      <c r="I48" s="11" t="b">
        <v>1</v>
      </c>
      <c r="J48" s="47" t="str">
        <f t="shared" si="5"/>
        <v/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4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IFERROR(__xludf.DUMMYFUNCTION("""COMPUTED_VALUE"""),4300.0)</f>
        <v>4300</v>
      </c>
      <c r="S48" s="51">
        <v>44062.673019988426</v>
      </c>
    </row>
    <row r="49">
      <c r="A49" s="43">
        <v>6.0</v>
      </c>
      <c r="B49" s="43">
        <v>8.0</v>
      </c>
      <c r="C49" s="111">
        <v>33.2075616008481</v>
      </c>
      <c r="D49" s="149">
        <v>-96.6628213441117</v>
      </c>
      <c r="E49" s="43" t="s">
        <v>98</v>
      </c>
      <c r="F49" s="44" t="s">
        <v>147</v>
      </c>
      <c r="G49" s="52" t="s">
        <v>1712</v>
      </c>
      <c r="H49" s="120"/>
      <c r="I49" s="11" t="b">
        <v>1</v>
      </c>
      <c r="J49" s="47" t="str">
        <f t="shared" si="5"/>
        <v/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4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IFERROR(__xludf.DUMMYFUNCTION("""COMPUTED_VALUE"""),7305.0)</f>
        <v>7305</v>
      </c>
      <c r="S49" s="51">
        <v>44062.673330219906</v>
      </c>
    </row>
    <row r="50">
      <c r="A50" s="43">
        <v>7.0</v>
      </c>
      <c r="B50" s="43">
        <v>2.0</v>
      </c>
      <c r="C50" s="111">
        <v>33.2074178711107</v>
      </c>
      <c r="D50" s="149">
        <v>-96.6638520567304</v>
      </c>
      <c r="E50" s="43" t="s">
        <v>103</v>
      </c>
      <c r="F50" s="44" t="s">
        <v>182</v>
      </c>
      <c r="G50" s="45" t="s">
        <v>1713</v>
      </c>
      <c r="H50" s="44"/>
      <c r="I50" s="11" t="b">
        <v>1</v>
      </c>
      <c r="J50" s="47" t="str">
        <f t="shared" si="5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4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IFERROR(__xludf.DUMMYFUNCTION("""COMPUTED_VALUE"""),"TheFatCats")</f>
        <v>TheFatCats</v>
      </c>
      <c r="R50" s="49">
        <f>IFERROR(__xludf.DUMMYFUNCTION("""COMPUTED_VALUE"""),3673.0)</f>
        <v>3673</v>
      </c>
      <c r="S50" s="49"/>
    </row>
    <row r="51">
      <c r="A51" s="43">
        <v>7.0</v>
      </c>
      <c r="B51" s="43">
        <v>3.0</v>
      </c>
      <c r="C51" s="111">
        <v>33.2074178709927</v>
      </c>
      <c r="D51" s="149">
        <v>-96.6636802728454</v>
      </c>
      <c r="E51" s="43" t="s">
        <v>98</v>
      </c>
      <c r="F51" s="44" t="s">
        <v>1523</v>
      </c>
      <c r="G51" s="45" t="s">
        <v>1714</v>
      </c>
      <c r="H51" s="46"/>
      <c r="I51" s="11" t="b">
        <v>1</v>
      </c>
      <c r="J51" s="47" t="str">
        <f t="shared" si="5"/>
        <v/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4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IFERROR(__xludf.DUMMYFUNCTION("""COMPUTED_VALUE"""),"MunziMeg")</f>
        <v>MunziMeg</v>
      </c>
      <c r="R51" s="49">
        <f>IFERROR(__xludf.DUMMYFUNCTION("""COMPUTED_VALUE"""),4585.0)</f>
        <v>4585</v>
      </c>
      <c r="S51" s="49"/>
    </row>
    <row r="52">
      <c r="A52" s="43">
        <v>7.0</v>
      </c>
      <c r="B52" s="43">
        <v>4.0</v>
      </c>
      <c r="C52" s="111">
        <v>33.2074178708747</v>
      </c>
      <c r="D52" s="149">
        <v>-96.6635084889604</v>
      </c>
      <c r="E52" s="43" t="s">
        <v>98</v>
      </c>
      <c r="F52" s="44" t="s">
        <v>766</v>
      </c>
      <c r="G52" s="45" t="s">
        <v>1715</v>
      </c>
      <c r="H52" s="46"/>
      <c r="I52" s="11" t="b">
        <v>1</v>
      </c>
      <c r="J52" s="47" t="str">
        <f t="shared" si="5"/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4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IFERROR(__xludf.DUMMYFUNCTION("""COMPUTED_VALUE"""),"BartWullems")</f>
        <v>BartWullems</v>
      </c>
      <c r="R52" s="49">
        <f>IFERROR(__xludf.DUMMYFUNCTION("""COMPUTED_VALUE"""),5616.0)</f>
        <v>5616</v>
      </c>
      <c r="S52" s="51">
        <v>44109.90055065972</v>
      </c>
    </row>
    <row r="53">
      <c r="A53" s="43">
        <v>7.0</v>
      </c>
      <c r="B53" s="43">
        <v>5.0</v>
      </c>
      <c r="C53" s="111">
        <v>33.2074178707567</v>
      </c>
      <c r="D53" s="149">
        <v>-96.6633367050755</v>
      </c>
      <c r="E53" s="43" t="s">
        <v>98</v>
      </c>
      <c r="F53" s="44" t="s">
        <v>829</v>
      </c>
      <c r="G53" s="52" t="s">
        <v>1716</v>
      </c>
      <c r="H53" s="46"/>
      <c r="I53" s="11" t="b">
        <v>1</v>
      </c>
      <c r="J53" s="47" t="str">
        <f t="shared" si="5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4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IFERROR(__xludf.DUMMYFUNCTION("""COMPUTED_VALUE"""),"roughdraft")</f>
        <v>roughdraft</v>
      </c>
      <c r="R53" s="49">
        <f>IFERROR(__xludf.DUMMYFUNCTION("""COMPUTED_VALUE"""),8732.0)</f>
        <v>8732</v>
      </c>
      <c r="S53" s="49"/>
    </row>
    <row r="54">
      <c r="A54" s="43">
        <v>7.0</v>
      </c>
      <c r="B54" s="43">
        <v>6.0</v>
      </c>
      <c r="C54" s="111">
        <v>33.2074178706387</v>
      </c>
      <c r="D54" s="149">
        <v>-96.6631649211905</v>
      </c>
      <c r="E54" s="43" t="s">
        <v>98</v>
      </c>
      <c r="F54" s="44" t="s">
        <v>314</v>
      </c>
      <c r="G54" s="45" t="s">
        <v>1717</v>
      </c>
      <c r="H54" s="46"/>
      <c r="I54" s="11" t="b">
        <v>1</v>
      </c>
      <c r="J54" s="47" t="str">
        <f t="shared" si="5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4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IFERROR(__xludf.DUMMYFUNCTION("""COMPUTED_VALUE"""),"Trappertje")</f>
        <v>Trappertje</v>
      </c>
      <c r="R54" s="49">
        <f>IFERROR(__xludf.DUMMYFUNCTION("""COMPUTED_VALUE"""),5041.0)</f>
        <v>5041</v>
      </c>
      <c r="S54" s="49"/>
    </row>
    <row r="55">
      <c r="A55" s="43">
        <v>7.0</v>
      </c>
      <c r="B55" s="43">
        <v>7.0</v>
      </c>
      <c r="C55" s="111">
        <v>33.2074178705207</v>
      </c>
      <c r="D55" s="149">
        <v>-96.6629931373055</v>
      </c>
      <c r="E55" s="43" t="s">
        <v>98</v>
      </c>
      <c r="F55" s="44" t="s">
        <v>532</v>
      </c>
      <c r="G55" s="45" t="s">
        <v>1718</v>
      </c>
      <c r="H55" s="46"/>
      <c r="I55" s="11" t="b">
        <v>1</v>
      </c>
      <c r="J55" s="47" t="str">
        <f t="shared" si="5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4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IFERROR(__xludf.DUMMYFUNCTION("""COMPUTED_VALUE"""),"MeanderingMonkeys")</f>
        <v>MeanderingMonkeys</v>
      </c>
      <c r="R55" s="49">
        <f>IFERROR(__xludf.DUMMYFUNCTION("""COMPUTED_VALUE"""),17481.0)</f>
        <v>17481</v>
      </c>
      <c r="S55" s="49"/>
    </row>
    <row r="56">
      <c r="A56" s="43">
        <v>8.0</v>
      </c>
      <c r="B56" s="43">
        <v>3.0</v>
      </c>
      <c r="C56" s="111">
        <v>33.2072741405474</v>
      </c>
      <c r="D56" s="149">
        <v>-96.6636802807431</v>
      </c>
      <c r="E56" s="43" t="s">
        <v>98</v>
      </c>
      <c r="F56" s="44" t="s">
        <v>101</v>
      </c>
      <c r="G56" s="45" t="s">
        <v>1719</v>
      </c>
      <c r="H56" s="46"/>
      <c r="I56" s="11" t="b">
        <v>1</v>
      </c>
      <c r="J56" s="47" t="str">
        <f t="shared" si="5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4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IFERROR(__xludf.DUMMYFUNCTION("""COMPUTED_VALUE"""),"sverlaan")</f>
        <v>sverlaan</v>
      </c>
      <c r="R56" s="49">
        <f>IFERROR(__xludf.DUMMYFUNCTION("""COMPUTED_VALUE"""),4409.0)</f>
        <v>4409</v>
      </c>
      <c r="S56" s="51">
        <v>44099.55161026621</v>
      </c>
    </row>
    <row r="57">
      <c r="A57" s="43">
        <v>8.0</v>
      </c>
      <c r="B57" s="43">
        <v>4.0</v>
      </c>
      <c r="C57" s="111">
        <v>33.2072741404294</v>
      </c>
      <c r="D57" s="149">
        <v>-96.6635084971402</v>
      </c>
      <c r="E57" s="43" t="s">
        <v>103</v>
      </c>
      <c r="F57" s="44" t="s">
        <v>1720</v>
      </c>
      <c r="G57" s="45" t="s">
        <v>1721</v>
      </c>
      <c r="H57" s="46"/>
      <c r="I57" s="11" t="b">
        <v>1</v>
      </c>
      <c r="J57" s="47" t="str">
        <f t="shared" si="5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4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IFERROR(__xludf.DUMMYFUNCTION("""COMPUTED_VALUE"""),"gwendy")</f>
        <v>gwendy</v>
      </c>
      <c r="R57" s="49">
        <f>IFERROR(__xludf.DUMMYFUNCTION("""COMPUTED_VALUE"""),1189.0)</f>
        <v>1189</v>
      </c>
      <c r="S57" s="49"/>
    </row>
    <row r="58">
      <c r="A58" s="43">
        <v>8.0</v>
      </c>
      <c r="B58" s="43">
        <v>5.0</v>
      </c>
      <c r="C58" s="111">
        <v>33.2072741403114</v>
      </c>
      <c r="D58" s="149">
        <v>-96.6633367135373</v>
      </c>
      <c r="E58" s="43" t="s">
        <v>103</v>
      </c>
      <c r="F58" s="44" t="s">
        <v>116</v>
      </c>
      <c r="G58" s="45" t="s">
        <v>1722</v>
      </c>
      <c r="H58" s="46"/>
      <c r="I58" s="11" t="b">
        <v>1</v>
      </c>
      <c r="J58" s="47" t="str">
        <f t="shared" si="5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4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IFERROR(__xludf.DUMMYFUNCTION("""COMPUTED_VALUE"""),"fsafranek")</f>
        <v>fsafranek</v>
      </c>
      <c r="R58" s="49">
        <f>IFERROR(__xludf.DUMMYFUNCTION("""COMPUTED_VALUE"""),4178.0)</f>
        <v>4178</v>
      </c>
      <c r="S58" s="49"/>
    </row>
    <row r="59">
      <c r="A59" s="43">
        <v>8.0</v>
      </c>
      <c r="B59" s="43">
        <v>6.0</v>
      </c>
      <c r="C59" s="111">
        <v>33.2072741401934</v>
      </c>
      <c r="D59" s="149">
        <v>-96.6631649299344</v>
      </c>
      <c r="E59" s="43" t="s">
        <v>98</v>
      </c>
      <c r="F59" s="44" t="s">
        <v>182</v>
      </c>
      <c r="G59" s="45" t="s">
        <v>1723</v>
      </c>
      <c r="H59" s="44"/>
      <c r="I59" s="11" t="b">
        <v>1</v>
      </c>
      <c r="J59" s="47" t="str">
        <f t="shared" si="5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4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IFERROR(__xludf.DUMMYFUNCTION("""COMPUTED_VALUE"""),"TheFatCats")</f>
        <v>TheFatCats</v>
      </c>
      <c r="R59" s="49">
        <f>IFERROR(__xludf.DUMMYFUNCTION("""COMPUTED_VALUE"""),3681.0)</f>
        <v>3681</v>
      </c>
      <c r="S59" s="49"/>
    </row>
    <row r="60">
      <c r="G60" s="134"/>
      <c r="H60" s="134"/>
    </row>
    <row r="61" hidden="1">
      <c r="F61" s="47">
        <f t="shared" ref="F61:G61" si="6">COUNTIF(F8:F59,"")</f>
        <v>0</v>
      </c>
      <c r="G61" s="134">
        <f t="shared" si="6"/>
        <v>0</v>
      </c>
      <c r="H61" s="134"/>
      <c r="I61" s="47">
        <f>COUNTIF(I8:I59,TRUE)</f>
        <v>52</v>
      </c>
    </row>
    <row r="62" hidden="1">
      <c r="G62" s="134"/>
      <c r="H62" s="134"/>
    </row>
    <row r="63" hidden="1">
      <c r="G63" s="134"/>
      <c r="H63" s="134"/>
    </row>
    <row r="64">
      <c r="G64" s="134"/>
      <c r="H64" s="134"/>
    </row>
  </sheetData>
  <mergeCells count="3">
    <mergeCell ref="B1:C1"/>
    <mergeCell ref="I2:I3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3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63"/>
    <col customWidth="1" min="2" max="2" width="9.0"/>
    <col customWidth="1" min="3" max="3" width="13.5"/>
    <col customWidth="1" min="4" max="4" width="14.5"/>
    <col customWidth="1" min="5" max="5" width="18.0"/>
    <col customWidth="1" min="6" max="6" width="13.88"/>
    <col customWidth="1" min="7" max="7" width="43.2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33</v>
      </c>
      <c r="B1" s="37" t="s">
        <v>50</v>
      </c>
      <c r="D1" s="37"/>
      <c r="E1" s="2" t="s">
        <v>79</v>
      </c>
      <c r="F1" s="11" t="s">
        <v>885</v>
      </c>
      <c r="G1" s="65" t="s">
        <v>1724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1725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-27.117823539238</v>
      </c>
      <c r="D8" s="43">
        <v>152.932496529399</v>
      </c>
      <c r="E8" s="43" t="s">
        <v>98</v>
      </c>
      <c r="F8" s="44" t="s">
        <v>319</v>
      </c>
      <c r="G8" s="45" t="s">
        <v>1726</v>
      </c>
      <c r="H8" s="46"/>
      <c r="I8" s="11" t="b">
        <v>1</v>
      </c>
      <c r="J8" s="47" t="str">
        <f t="shared" ref="J8:J23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IFERROR(__xludf.DUMMYFUNCTION("""COMPUTED_VALUE"""),3153.0)</f>
        <v>3153</v>
      </c>
      <c r="S8" s="51">
        <v>44088.68820392361</v>
      </c>
    </row>
    <row r="9">
      <c r="A9" s="43">
        <v>1.0</v>
      </c>
      <c r="B9" s="43">
        <v>4.0</v>
      </c>
      <c r="C9" s="43">
        <v>-27.1178235391456</v>
      </c>
      <c r="D9" s="43">
        <v>152.93265801139</v>
      </c>
      <c r="E9" s="43" t="s">
        <v>98</v>
      </c>
      <c r="F9" s="44" t="s">
        <v>101</v>
      </c>
      <c r="G9" s="45" t="s">
        <v>1727</v>
      </c>
      <c r="H9" s="46"/>
      <c r="I9" s="11" t="b">
        <v>1</v>
      </c>
      <c r="J9" s="47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IFERROR(__xludf.DUMMYFUNCTION("""COMPUTED_VALUE"""),4408.0)</f>
        <v>4408</v>
      </c>
      <c r="S9" s="51">
        <v>44088.68800221065</v>
      </c>
    </row>
    <row r="10">
      <c r="A10" s="43">
        <v>1.0</v>
      </c>
      <c r="B10" s="43">
        <v>5.0</v>
      </c>
      <c r="C10" s="43">
        <v>-27.1178235390533</v>
      </c>
      <c r="D10" s="43">
        <v>152.93281949338</v>
      </c>
      <c r="E10" s="43" t="s">
        <v>103</v>
      </c>
      <c r="F10" s="44" t="s">
        <v>323</v>
      </c>
      <c r="G10" s="45" t="s">
        <v>1728</v>
      </c>
      <c r="H10" s="46"/>
      <c r="I10" s="11" t="b">
        <v>1</v>
      </c>
      <c r="J10" s="47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IFERROR(__xludf.DUMMYFUNCTION("""COMPUTED_VALUE"""),2470.0)</f>
        <v>2470</v>
      </c>
      <c r="S10" s="51">
        <v>44088.68808811343</v>
      </c>
    </row>
    <row r="11">
      <c r="A11" s="43">
        <v>1.0</v>
      </c>
      <c r="B11" s="43">
        <v>6.0</v>
      </c>
      <c r="C11" s="43">
        <v>-27.117823538961</v>
      </c>
      <c r="D11" s="43">
        <v>152.932980975371</v>
      </c>
      <c r="E11" s="43" t="s">
        <v>103</v>
      </c>
      <c r="F11" s="44" t="s">
        <v>217</v>
      </c>
      <c r="G11" s="45" t="s">
        <v>1729</v>
      </c>
      <c r="H11" s="46"/>
      <c r="I11" s="11" t="b">
        <v>1</v>
      </c>
      <c r="J11" s="47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IFERROR(__xludf.DUMMYFUNCTION("""COMPUTED_VALUE"""),3167.0)</f>
        <v>3167</v>
      </c>
      <c r="S11" s="51">
        <v>44088.68815990741</v>
      </c>
    </row>
    <row r="12">
      <c r="A12" s="43">
        <v>2.0</v>
      </c>
      <c r="B12" s="43">
        <v>2.0</v>
      </c>
      <c r="C12" s="43">
        <v>-27.1179672697757</v>
      </c>
      <c r="D12" s="43">
        <v>152.93233505301</v>
      </c>
      <c r="E12" s="43" t="s">
        <v>98</v>
      </c>
      <c r="F12" s="44" t="s">
        <v>122</v>
      </c>
      <c r="G12" s="45" t="s">
        <v>1730</v>
      </c>
      <c r="H12" s="44"/>
      <c r="I12" s="11" t="b">
        <v>1</v>
      </c>
      <c r="J12" s="47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IFERROR(__xludf.DUMMYFUNCTION("""COMPUTED_VALUE"""),"Drazoria")</f>
        <v>Drazoria</v>
      </c>
      <c r="R12" s="49">
        <f>IFERROR(__xludf.DUMMYFUNCTION("""COMPUTED_VALUE"""),847.0)</f>
        <v>847</v>
      </c>
      <c r="S12" s="51">
        <v>44088.724589895835</v>
      </c>
    </row>
    <row r="13">
      <c r="A13" s="43">
        <v>2.0</v>
      </c>
      <c r="B13" s="43">
        <v>3.0</v>
      </c>
      <c r="C13" s="43">
        <v>-27.1179672696834</v>
      </c>
      <c r="D13" s="43">
        <v>152.932496535209</v>
      </c>
      <c r="E13" s="43" t="s">
        <v>98</v>
      </c>
      <c r="F13" s="44" t="s">
        <v>124</v>
      </c>
      <c r="G13" s="45" t="s">
        <v>1731</v>
      </c>
      <c r="H13" s="46"/>
      <c r="I13" s="11" t="b">
        <v>1</v>
      </c>
      <c r="J13" s="47" t="str">
        <f t="shared" si="1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IFERROR(__xludf.DUMMYFUNCTION("""COMPUTED_VALUE"""),"Tinake1309")</f>
        <v>Tinake1309</v>
      </c>
      <c r="R13" s="49">
        <f>IFERROR(__xludf.DUMMYFUNCTION("""COMPUTED_VALUE"""),826.0)</f>
        <v>826</v>
      </c>
      <c r="S13" s="51">
        <v>44088.724685740744</v>
      </c>
    </row>
    <row r="14">
      <c r="A14" s="43">
        <v>2.0</v>
      </c>
      <c r="B14" s="43">
        <v>4.0</v>
      </c>
      <c r="C14" s="43">
        <v>-27.1179672695911</v>
      </c>
      <c r="D14" s="43">
        <v>152.932658017407</v>
      </c>
      <c r="E14" s="43" t="s">
        <v>98</v>
      </c>
      <c r="F14" s="44" t="s">
        <v>126</v>
      </c>
      <c r="G14" s="52" t="s">
        <v>1732</v>
      </c>
      <c r="H14" s="46"/>
      <c r="I14" s="11" t="b">
        <v>1</v>
      </c>
      <c r="J14" s="47" t="str">
        <f t="shared" si="1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IFERROR(__xludf.DUMMYFUNCTION("""COMPUTED_VALUE"""),"Berg14")</f>
        <v>Berg14</v>
      </c>
      <c r="R14" s="49">
        <f>IFERROR(__xludf.DUMMYFUNCTION("""COMPUTED_VALUE"""),642.0)</f>
        <v>642</v>
      </c>
      <c r="S14" s="51">
        <v>44088.725056967596</v>
      </c>
    </row>
    <row r="15">
      <c r="A15" s="43">
        <v>2.0</v>
      </c>
      <c r="B15" s="43">
        <v>5.0</v>
      </c>
      <c r="C15" s="43">
        <v>-27.1179672694988</v>
      </c>
      <c r="D15" s="43">
        <v>152.932819499606</v>
      </c>
      <c r="E15" s="43" t="s">
        <v>103</v>
      </c>
      <c r="F15" s="44" t="s">
        <v>128</v>
      </c>
      <c r="G15" s="45" t="s">
        <v>1733</v>
      </c>
      <c r="H15" s="46"/>
      <c r="I15" s="11" t="b">
        <v>1</v>
      </c>
      <c r="J15" s="47" t="str">
        <f t="shared" si="1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IFERROR(__xludf.DUMMYFUNCTION("""COMPUTED_VALUE"""),"Niks13")</f>
        <v>Niks13</v>
      </c>
      <c r="R15" s="49">
        <f>IFERROR(__xludf.DUMMYFUNCTION("""COMPUTED_VALUE"""),619.0)</f>
        <v>619</v>
      </c>
      <c r="S15" s="51">
        <v>44088.725100254625</v>
      </c>
    </row>
    <row r="16">
      <c r="A16" s="43">
        <v>2.0</v>
      </c>
      <c r="B16" s="43">
        <v>6.0</v>
      </c>
      <c r="C16" s="43">
        <v>-27.1179672694064</v>
      </c>
      <c r="D16" s="43">
        <v>152.932980981804</v>
      </c>
      <c r="E16" s="43" t="s">
        <v>98</v>
      </c>
      <c r="F16" s="44" t="s">
        <v>114</v>
      </c>
      <c r="G16" s="45" t="s">
        <v>1734</v>
      </c>
      <c r="H16" s="44" t="s">
        <v>1735</v>
      </c>
      <c r="I16" s="11" t="b">
        <v>1</v>
      </c>
      <c r="J16" s="47" t="str">
        <f t="shared" si="1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IFERROR(__xludf.DUMMYFUNCTION("""COMPUTED_VALUE"""),"J1Huisman")</f>
        <v>J1Huisman</v>
      </c>
      <c r="R16" s="49">
        <f>IFERROR(__xludf.DUMMYFUNCTION("""COMPUTED_VALUE"""),11452.0)</f>
        <v>11452</v>
      </c>
      <c r="S16" s="49"/>
    </row>
    <row r="17">
      <c r="A17" s="43">
        <v>2.0</v>
      </c>
      <c r="B17" s="43">
        <v>7.0</v>
      </c>
      <c r="C17" s="43">
        <v>-27.1179672693141</v>
      </c>
      <c r="D17" s="43">
        <v>152.933142464003</v>
      </c>
      <c r="E17" s="43" t="s">
        <v>98</v>
      </c>
      <c r="F17" s="44" t="s">
        <v>169</v>
      </c>
      <c r="G17" s="45" t="s">
        <v>1736</v>
      </c>
      <c r="H17" s="44" t="s">
        <v>1735</v>
      </c>
      <c r="I17" s="11" t="b">
        <v>1</v>
      </c>
      <c r="J17" s="47" t="str">
        <f t="shared" si="1"/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IFERROR(__xludf.DUMMYFUNCTION("""COMPUTED_VALUE"""),"Pinkeltje")</f>
        <v>Pinkeltje</v>
      </c>
      <c r="R17" s="49">
        <f>IFERROR(__xludf.DUMMYFUNCTION("""COMPUTED_VALUE"""),1128.0)</f>
        <v>1128</v>
      </c>
      <c r="S17" s="49"/>
    </row>
    <row r="18">
      <c r="A18" s="43">
        <v>3.0</v>
      </c>
      <c r="B18" s="43">
        <v>1.0</v>
      </c>
      <c r="C18" s="43">
        <v>-27.1181110003135</v>
      </c>
      <c r="D18" s="43">
        <v>152.932173576205</v>
      </c>
      <c r="E18" s="43" t="s">
        <v>98</v>
      </c>
      <c r="F18" s="44" t="s">
        <v>120</v>
      </c>
      <c r="G18" s="45" t="s">
        <v>1737</v>
      </c>
      <c r="H18" s="46"/>
      <c r="I18" s="11" t="b">
        <v>1</v>
      </c>
      <c r="J18" s="47" t="str">
        <f t="shared" si="1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IFERROR(__xludf.DUMMYFUNCTION("""COMPUTED_VALUE"""),"xrayneex")</f>
        <v>xrayneex</v>
      </c>
      <c r="R18" s="49">
        <f>IFERROR(__xludf.DUMMYFUNCTION("""COMPUTED_VALUE"""),1503.0)</f>
        <v>1503</v>
      </c>
      <c r="S18" s="49"/>
    </row>
    <row r="19">
      <c r="A19" s="43">
        <v>3.0</v>
      </c>
      <c r="B19" s="43">
        <v>2.0</v>
      </c>
      <c r="C19" s="43">
        <v>-27.1181110002212</v>
      </c>
      <c r="D19" s="43">
        <v>152.932335058611</v>
      </c>
      <c r="E19" s="43" t="s">
        <v>98</v>
      </c>
      <c r="F19" s="44" t="s">
        <v>116</v>
      </c>
      <c r="G19" s="45" t="s">
        <v>1738</v>
      </c>
      <c r="H19" s="46"/>
      <c r="I19" s="11" t="b">
        <v>1</v>
      </c>
      <c r="J19" s="47" t="str">
        <f t="shared" si="1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IFERROR(__xludf.DUMMYFUNCTION("""COMPUTED_VALUE"""),"fsafranek")</f>
        <v>fsafranek</v>
      </c>
      <c r="R19" s="49">
        <f>IFERROR(__xludf.DUMMYFUNCTION("""COMPUTED_VALUE"""),4160.0)</f>
        <v>4160</v>
      </c>
      <c r="S19" s="49"/>
    </row>
    <row r="20">
      <c r="A20" s="43">
        <v>3.0</v>
      </c>
      <c r="B20" s="43">
        <v>3.0</v>
      </c>
      <c r="C20" s="43">
        <v>-27.1181110001289</v>
      </c>
      <c r="D20" s="43">
        <v>152.932496541016</v>
      </c>
      <c r="E20" s="43" t="s">
        <v>98</v>
      </c>
      <c r="F20" s="44" t="s">
        <v>926</v>
      </c>
      <c r="G20" s="45" t="s">
        <v>1739</v>
      </c>
      <c r="H20" s="46"/>
      <c r="I20" s="11" t="b">
        <v>1</v>
      </c>
      <c r="J20" s="47" t="str">
        <f t="shared" si="1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IFERROR(__xludf.DUMMYFUNCTION("""COMPUTED_VALUE"""),"Lanyasummer")</f>
        <v>Lanyasummer</v>
      </c>
      <c r="R20" s="49">
        <f>IFERROR(__xludf.DUMMYFUNCTION("""COMPUTED_VALUE"""),4462.0)</f>
        <v>4462</v>
      </c>
      <c r="S20" s="49"/>
    </row>
    <row r="21">
      <c r="A21" s="43">
        <v>3.0</v>
      </c>
      <c r="B21" s="43">
        <v>4.0</v>
      </c>
      <c r="C21" s="43">
        <v>-27.1181110000365</v>
      </c>
      <c r="D21" s="43">
        <v>152.932658023422</v>
      </c>
      <c r="E21" s="43" t="s">
        <v>98</v>
      </c>
      <c r="F21" s="44" t="s">
        <v>950</v>
      </c>
      <c r="G21" s="45" t="s">
        <v>1740</v>
      </c>
      <c r="H21" s="44"/>
      <c r="I21" s="11" t="b">
        <v>1</v>
      </c>
      <c r="J21" s="47" t="str">
        <f t="shared" si="1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IFERROR(__xludf.DUMMYFUNCTION("""COMPUTED_VALUE"""),"babyw")</f>
        <v>babyw</v>
      </c>
      <c r="R21" s="49">
        <f>IFERROR(__xludf.DUMMYFUNCTION("""COMPUTED_VALUE"""),3253.0)</f>
        <v>3253</v>
      </c>
      <c r="S21" s="49"/>
    </row>
    <row r="22">
      <c r="A22" s="43">
        <v>3.0</v>
      </c>
      <c r="B22" s="43">
        <v>5.0</v>
      </c>
      <c r="C22" s="43">
        <v>-27.1181109999442</v>
      </c>
      <c r="D22" s="43">
        <v>152.932819505828</v>
      </c>
      <c r="E22" s="43" t="s">
        <v>98</v>
      </c>
      <c r="F22" s="44" t="s">
        <v>178</v>
      </c>
      <c r="G22" s="45" t="s">
        <v>1741</v>
      </c>
      <c r="H22" s="46"/>
      <c r="I22" s="11" t="b">
        <v>1</v>
      </c>
      <c r="J22" s="47" t="str">
        <f t="shared" si="1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IFERROR(__xludf.DUMMYFUNCTION("""COMPUTED_VALUE"""),"lison55")</f>
        <v>lison55</v>
      </c>
      <c r="R22" s="49">
        <f>IFERROR(__xludf.DUMMYFUNCTION("""COMPUTED_VALUE"""),5479.0)</f>
        <v>5479</v>
      </c>
      <c r="S22" s="49"/>
    </row>
    <row r="23">
      <c r="A23" s="43">
        <v>3.0</v>
      </c>
      <c r="B23" s="43">
        <v>6.0</v>
      </c>
      <c r="C23" s="43">
        <v>-27.1181109998519</v>
      </c>
      <c r="D23" s="43">
        <v>152.932980988234</v>
      </c>
      <c r="E23" s="43" t="s">
        <v>98</v>
      </c>
      <c r="F23" s="44" t="s">
        <v>136</v>
      </c>
      <c r="G23" s="45" t="s">
        <v>1742</v>
      </c>
      <c r="H23" s="44" t="s">
        <v>1743</v>
      </c>
      <c r="I23" s="11" t="b">
        <v>1</v>
      </c>
      <c r="J23" s="47" t="str">
        <f t="shared" si="1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IFERROR(__xludf.DUMMYFUNCTION("""COMPUTED_VALUE"""),"OdinsFiRe")</f>
        <v>OdinsFiRe</v>
      </c>
      <c r="R23" s="49">
        <f>IFERROR(__xludf.DUMMYFUNCTION("""COMPUTED_VALUE"""),1809.0)</f>
        <v>1809</v>
      </c>
      <c r="S23" s="49"/>
    </row>
    <row r="24">
      <c r="A24" s="43">
        <v>3.0</v>
      </c>
      <c r="B24" s="43">
        <v>7.0</v>
      </c>
      <c r="C24" s="43">
        <v>-27.1181109997596</v>
      </c>
      <c r="D24" s="43">
        <v>152.93314247064</v>
      </c>
      <c r="E24" s="43" t="s">
        <v>98</v>
      </c>
      <c r="F24" s="44" t="s">
        <v>766</v>
      </c>
      <c r="G24" s="45" t="s">
        <v>1744</v>
      </c>
      <c r="H24" s="46"/>
      <c r="I24" s="11" t="b">
        <v>1</v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IFERROR(__xludf.DUMMYFUNCTION("""COMPUTED_VALUE"""),"BartWullems")</f>
        <v>BartWullems</v>
      </c>
      <c r="R24" s="49">
        <f>IFERROR(__xludf.DUMMYFUNCTION("""COMPUTED_VALUE"""),5605.0)</f>
        <v>5605</v>
      </c>
      <c r="S24" s="51">
        <v>44094.336328206016</v>
      </c>
    </row>
    <row r="25">
      <c r="A25" s="43">
        <v>3.0</v>
      </c>
      <c r="B25" s="43">
        <v>8.0</v>
      </c>
      <c r="C25" s="43">
        <v>-27.1181109996672</v>
      </c>
      <c r="D25" s="43">
        <v>152.933303953046</v>
      </c>
      <c r="E25" s="43" t="s">
        <v>98</v>
      </c>
      <c r="F25" s="44" t="s">
        <v>920</v>
      </c>
      <c r="G25" s="45" t="s">
        <v>1745</v>
      </c>
      <c r="H25" s="46"/>
      <c r="I25" s="11" t="b">
        <v>1</v>
      </c>
      <c r="J25" s="47" t="str">
        <f t="shared" ref="J25:J53" si="3">if(I25=true,"",S25)</f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IFERROR(__xludf.DUMMYFUNCTION("""COMPUTED_VALUE"""),"FromTheTardis")</f>
        <v>FromTheTardis</v>
      </c>
      <c r="R25" s="49">
        <f>IFERROR(__xludf.DUMMYFUNCTION("""COMPUTED_VALUE"""),1440.0)</f>
        <v>1440</v>
      </c>
      <c r="S25" s="49"/>
    </row>
    <row r="26">
      <c r="A26" s="43">
        <v>4.0</v>
      </c>
      <c r="B26" s="43">
        <v>1.0</v>
      </c>
      <c r="C26" s="43">
        <v>-27.118254730759</v>
      </c>
      <c r="D26" s="43">
        <v>152.932173581599</v>
      </c>
      <c r="E26" s="43" t="s">
        <v>98</v>
      </c>
      <c r="F26" s="44" t="s">
        <v>190</v>
      </c>
      <c r="G26" s="52" t="s">
        <v>1746</v>
      </c>
      <c r="H26" s="44" t="s">
        <v>1747</v>
      </c>
      <c r="I26" s="11" t="b">
        <v>1</v>
      </c>
      <c r="J26" s="47" t="str">
        <f t="shared" si="3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IFERROR(__xludf.DUMMYFUNCTION("""COMPUTED_VALUE"""),"GroteSufferd")</f>
        <v>GroteSufferd</v>
      </c>
      <c r="R26" s="49">
        <f>IFERROR(__xludf.DUMMYFUNCTION("""COMPUTED_VALUE"""),432.0)</f>
        <v>432</v>
      </c>
      <c r="S26" s="49"/>
    </row>
    <row r="27">
      <c r="A27" s="43">
        <v>4.0</v>
      </c>
      <c r="B27" s="43">
        <v>2.0</v>
      </c>
      <c r="C27" s="43">
        <v>-27.1182547306666</v>
      </c>
      <c r="D27" s="43">
        <v>152.932335064212</v>
      </c>
      <c r="E27" s="43" t="s">
        <v>103</v>
      </c>
      <c r="F27" s="44" t="s">
        <v>182</v>
      </c>
      <c r="G27" s="45" t="s">
        <v>1748</v>
      </c>
      <c r="H27" s="46"/>
      <c r="I27" s="11" t="b">
        <v>1</v>
      </c>
      <c r="J27" s="47" t="str">
        <f t="shared" si="3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IFERROR(__xludf.DUMMYFUNCTION("""COMPUTED_VALUE"""),"TheFatCats")</f>
        <v>TheFatCats</v>
      </c>
      <c r="R27" s="49">
        <f>IFERROR(__xludf.DUMMYFUNCTION("""COMPUTED_VALUE"""),3915.0)</f>
        <v>3915</v>
      </c>
      <c r="S27" s="49"/>
    </row>
    <row r="28">
      <c r="A28" s="43">
        <v>4.0</v>
      </c>
      <c r="B28" s="43">
        <v>3.0</v>
      </c>
      <c r="C28" s="43">
        <v>-27.1182547305743</v>
      </c>
      <c r="D28" s="43">
        <v>152.932496546826</v>
      </c>
      <c r="E28" s="43" t="s">
        <v>98</v>
      </c>
      <c r="F28" s="44" t="s">
        <v>870</v>
      </c>
      <c r="G28" s="45" t="s">
        <v>1749</v>
      </c>
      <c r="H28" s="46"/>
      <c r="I28" s="11" t="b">
        <v>1</v>
      </c>
      <c r="J28" s="47" t="str">
        <f t="shared" si="3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IFERROR(__xludf.DUMMYFUNCTION("""COMPUTED_VALUE"""),"amadoreugen")</f>
        <v>amadoreugen</v>
      </c>
      <c r="R28" s="49">
        <f>IFERROR(__xludf.DUMMYFUNCTION("""COMPUTED_VALUE"""),5828.0)</f>
        <v>5828</v>
      </c>
      <c r="S28" s="49"/>
    </row>
    <row r="29">
      <c r="A29" s="43">
        <v>4.0</v>
      </c>
      <c r="B29" s="43">
        <v>4.0</v>
      </c>
      <c r="C29" s="43">
        <v>-27.118254730482</v>
      </c>
      <c r="D29" s="43">
        <v>152.932658029439</v>
      </c>
      <c r="E29" s="43" t="s">
        <v>98</v>
      </c>
      <c r="F29" s="44" t="s">
        <v>138</v>
      </c>
      <c r="G29" s="45" t="s">
        <v>1750</v>
      </c>
      <c r="H29" s="46"/>
      <c r="I29" s="11" t="b">
        <v>1</v>
      </c>
      <c r="J29" s="47" t="str">
        <f t="shared" si="3"/>
        <v/>
      </c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IFERROR(__xludf.DUMMYFUNCTION("""COMPUTED_VALUE"""),2951.0)</f>
        <v>2951</v>
      </c>
      <c r="S29" s="49"/>
    </row>
    <row r="30">
      <c r="A30" s="43">
        <v>4.0</v>
      </c>
      <c r="B30" s="43">
        <v>5.0</v>
      </c>
      <c r="C30" s="43">
        <v>-27.1182547303897</v>
      </c>
      <c r="D30" s="43">
        <v>152.932819512053</v>
      </c>
      <c r="E30" s="43" t="s">
        <v>98</v>
      </c>
      <c r="F30" s="44" t="s">
        <v>182</v>
      </c>
      <c r="G30" s="45" t="s">
        <v>1751</v>
      </c>
      <c r="H30" s="46"/>
      <c r="I30" s="11" t="b">
        <v>1</v>
      </c>
      <c r="J30" s="47" t="str">
        <f t="shared" si="3"/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IFERROR(__xludf.DUMMYFUNCTION("""COMPUTED_VALUE"""),"TheFatCats")</f>
        <v>TheFatCats</v>
      </c>
      <c r="R30" s="49">
        <f>IFERROR(__xludf.DUMMYFUNCTION("""COMPUTED_VALUE"""),3929.0)</f>
        <v>3929</v>
      </c>
      <c r="S30" s="49"/>
    </row>
    <row r="31">
      <c r="A31" s="43">
        <v>4.0</v>
      </c>
      <c r="B31" s="43">
        <v>6.0</v>
      </c>
      <c r="C31" s="43">
        <v>-27.1182547302973</v>
      </c>
      <c r="D31" s="43">
        <v>152.932980994666</v>
      </c>
      <c r="E31" s="43" t="s">
        <v>103</v>
      </c>
      <c r="F31" s="44" t="s">
        <v>940</v>
      </c>
      <c r="G31" s="45" t="s">
        <v>1752</v>
      </c>
      <c r="H31" s="46"/>
      <c r="I31" s="11" t="b">
        <v>1</v>
      </c>
      <c r="J31" s="47" t="str">
        <f t="shared" si="3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IFERROR(__xludf.DUMMYFUNCTION("""COMPUTED_VALUE"""),"WiseOldWizard")</f>
        <v>WiseOldWizard</v>
      </c>
      <c r="R31" s="49">
        <f>IFERROR(__xludf.DUMMYFUNCTION("""COMPUTED_VALUE"""),4047.0)</f>
        <v>4047</v>
      </c>
      <c r="S31" s="49"/>
    </row>
    <row r="32">
      <c r="A32" s="43">
        <v>4.0</v>
      </c>
      <c r="B32" s="43">
        <v>7.0</v>
      </c>
      <c r="C32" s="43">
        <v>-27.118254730205</v>
      </c>
      <c r="D32" s="43">
        <v>152.933142477279</v>
      </c>
      <c r="E32" s="43" t="s">
        <v>98</v>
      </c>
      <c r="F32" s="44" t="s">
        <v>1326</v>
      </c>
      <c r="G32" s="52" t="s">
        <v>1753</v>
      </c>
      <c r="H32" s="46"/>
      <c r="I32" s="11" t="b">
        <v>1</v>
      </c>
      <c r="J32" s="47" t="str">
        <f t="shared" si="3"/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IFERROR(__xludf.DUMMYFUNCTION("""COMPUTED_VALUE"""),"BrotherWilliam")</f>
        <v>BrotherWilliam</v>
      </c>
      <c r="R32" s="49">
        <f>IFERROR(__xludf.DUMMYFUNCTION("""COMPUTED_VALUE"""),4100.0)</f>
        <v>4100</v>
      </c>
      <c r="S32" s="49"/>
    </row>
    <row r="33">
      <c r="A33" s="43">
        <v>4.0</v>
      </c>
      <c r="B33" s="43">
        <v>8.0</v>
      </c>
      <c r="C33" s="43">
        <v>-27.1182547301127</v>
      </c>
      <c r="D33" s="43">
        <v>152.933303959893</v>
      </c>
      <c r="E33" s="43" t="s">
        <v>98</v>
      </c>
      <c r="F33" s="44" t="s">
        <v>112</v>
      </c>
      <c r="G33" s="52" t="s">
        <v>1754</v>
      </c>
      <c r="H33" s="46"/>
      <c r="I33" s="11" t="b">
        <v>1</v>
      </c>
      <c r="J33" s="47" t="str">
        <f t="shared" si="3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IFERROR(__xludf.DUMMYFUNCTION("""COMPUTED_VALUE"""),"ArtofEco")</f>
        <v>ArtofEco</v>
      </c>
      <c r="R33" s="49">
        <f>IFERROR(__xludf.DUMMYFUNCTION("""COMPUTED_VALUE"""),3047.0)</f>
        <v>3047</v>
      </c>
      <c r="S33" s="49"/>
    </row>
    <row r="34">
      <c r="A34" s="43">
        <v>5.0</v>
      </c>
      <c r="B34" s="43">
        <v>1.0</v>
      </c>
      <c r="C34" s="43">
        <v>-27.1183984612044</v>
      </c>
      <c r="D34" s="43">
        <v>152.932173586993</v>
      </c>
      <c r="E34" s="43" t="s">
        <v>103</v>
      </c>
      <c r="F34" s="44" t="s">
        <v>134</v>
      </c>
      <c r="G34" s="45" t="s">
        <v>1755</v>
      </c>
      <c r="H34" s="44"/>
      <c r="I34" s="11" t="b">
        <v>1</v>
      </c>
      <c r="J34" s="47" t="str">
        <f t="shared" si="3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IFERROR(__xludf.DUMMYFUNCTION("""COMPUTED_VALUE"""),"Wangotango")</f>
        <v>Wangotango</v>
      </c>
      <c r="R34" s="49">
        <f>IFERROR(__xludf.DUMMYFUNCTION("""COMPUTED_VALUE"""),1366.0)</f>
        <v>1366</v>
      </c>
      <c r="S34" s="49"/>
    </row>
    <row r="35">
      <c r="A35" s="43">
        <v>5.0</v>
      </c>
      <c r="B35" s="43">
        <v>2.0</v>
      </c>
      <c r="C35" s="43">
        <v>-27.1183984611121</v>
      </c>
      <c r="D35" s="43">
        <v>152.932335069814</v>
      </c>
      <c r="E35" s="43" t="s">
        <v>98</v>
      </c>
      <c r="F35" s="44" t="s">
        <v>141</v>
      </c>
      <c r="G35" s="45" t="s">
        <v>1756</v>
      </c>
      <c r="H35" s="46"/>
      <c r="I35" s="11" t="b">
        <v>1</v>
      </c>
      <c r="J35" s="47" t="str">
        <f t="shared" si="3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IFERROR(__xludf.DUMMYFUNCTION("""COMPUTED_VALUE"""),2507.0)</f>
        <v>2507</v>
      </c>
      <c r="S35" s="49"/>
    </row>
    <row r="36">
      <c r="A36" s="43">
        <v>5.0</v>
      </c>
      <c r="B36" s="43">
        <v>3.0</v>
      </c>
      <c r="C36" s="43">
        <v>-27.1183984610198</v>
      </c>
      <c r="D36" s="43">
        <v>152.932496552635</v>
      </c>
      <c r="E36" s="43" t="s">
        <v>103</v>
      </c>
      <c r="F36" s="44" t="s">
        <v>629</v>
      </c>
      <c r="G36" s="52" t="s">
        <v>1757</v>
      </c>
      <c r="H36" s="46"/>
      <c r="I36" s="11" t="b">
        <v>1</v>
      </c>
      <c r="J36" s="47" t="str">
        <f t="shared" si="3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IFERROR(__xludf.DUMMYFUNCTION("""COMPUTED_VALUE"""),"IggiePiggie")</f>
        <v>IggiePiggie</v>
      </c>
      <c r="R36" s="49">
        <f>IFERROR(__xludf.DUMMYFUNCTION("""COMPUTED_VALUE"""),2109.0)</f>
        <v>2109</v>
      </c>
      <c r="S36" s="49"/>
    </row>
    <row r="37">
      <c r="A37" s="43">
        <v>5.0</v>
      </c>
      <c r="B37" s="43">
        <v>4.0</v>
      </c>
      <c r="C37" s="43">
        <v>-27.1183984609274</v>
      </c>
      <c r="D37" s="43">
        <v>152.932658035456</v>
      </c>
      <c r="E37" s="43" t="s">
        <v>98</v>
      </c>
      <c r="F37" s="44" t="s">
        <v>140</v>
      </c>
      <c r="G37" s="45" t="s">
        <v>1758</v>
      </c>
      <c r="H37" s="46"/>
      <c r="I37" s="11" t="b">
        <v>1</v>
      </c>
      <c r="J37" s="47" t="str">
        <f t="shared" si="3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IFERROR(__xludf.DUMMYFUNCTION("""COMPUTED_VALUE"""),"Fossillady")</f>
        <v>Fossillady</v>
      </c>
      <c r="R37" s="49">
        <f>IFERROR(__xludf.DUMMYFUNCTION("""COMPUTED_VALUE"""),3471.0)</f>
        <v>3471</v>
      </c>
      <c r="S37" s="49"/>
    </row>
    <row r="38">
      <c r="A38" s="43">
        <v>5.0</v>
      </c>
      <c r="B38" s="43">
        <v>5.0</v>
      </c>
      <c r="C38" s="43">
        <v>-27.1183984608351</v>
      </c>
      <c r="D38" s="43">
        <v>152.932819518277</v>
      </c>
      <c r="E38" s="43" t="s">
        <v>98</v>
      </c>
      <c r="F38" s="44" t="s">
        <v>314</v>
      </c>
      <c r="G38" s="45" t="s">
        <v>1759</v>
      </c>
      <c r="H38" s="46"/>
      <c r="I38" s="11" t="b">
        <v>1</v>
      </c>
      <c r="J38" s="47" t="str">
        <f t="shared" si="3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IFERROR(__xludf.DUMMYFUNCTION("""COMPUTED_VALUE"""),"Trappertje")</f>
        <v>Trappertje</v>
      </c>
      <c r="R38" s="49">
        <f>IFERROR(__xludf.DUMMYFUNCTION("""COMPUTED_VALUE"""),5488.0)</f>
        <v>5488</v>
      </c>
      <c r="S38" s="49"/>
    </row>
    <row r="39">
      <c r="A39" s="43">
        <v>5.0</v>
      </c>
      <c r="B39" s="43">
        <v>6.0</v>
      </c>
      <c r="C39" s="43">
        <v>-27.1183984607428</v>
      </c>
      <c r="D39" s="43">
        <v>152.932981001098</v>
      </c>
      <c r="E39" s="43" t="s">
        <v>98</v>
      </c>
      <c r="F39" s="44" t="s">
        <v>887</v>
      </c>
      <c r="G39" s="45" t="s">
        <v>1760</v>
      </c>
      <c r="H39" s="46"/>
      <c r="I39" s="11" t="b">
        <v>1</v>
      </c>
      <c r="J39" s="47" t="str">
        <f t="shared" si="3"/>
        <v/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IFERROR(__xludf.DUMMYFUNCTION("""COMPUTED_VALUE"""),"mding4gold")</f>
        <v>mding4gold</v>
      </c>
      <c r="R39" s="49">
        <f>IFERROR(__xludf.DUMMYFUNCTION("""COMPUTED_VALUE"""),4867.0)</f>
        <v>4867</v>
      </c>
      <c r="S39" s="49"/>
    </row>
    <row r="40">
      <c r="A40" s="43">
        <v>5.0</v>
      </c>
      <c r="B40" s="43">
        <v>7.0</v>
      </c>
      <c r="C40" s="43">
        <v>-27.1183984606505</v>
      </c>
      <c r="D40" s="43">
        <v>152.933142483919</v>
      </c>
      <c r="E40" s="43" t="s">
        <v>98</v>
      </c>
      <c r="F40" s="44" t="s">
        <v>141</v>
      </c>
      <c r="G40" s="52" t="s">
        <v>1761</v>
      </c>
      <c r="H40" s="44"/>
      <c r="I40" s="11" t="b">
        <v>1</v>
      </c>
      <c r="J40" s="47" t="str">
        <f t="shared" si="3"/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IFERROR(__xludf.DUMMYFUNCTION("""COMPUTED_VALUE"""),"cbf600")</f>
        <v>cbf600</v>
      </c>
      <c r="R40" s="49">
        <f>IFERROR(__xludf.DUMMYFUNCTION("""COMPUTED_VALUE"""),2646.0)</f>
        <v>2646</v>
      </c>
      <c r="S40" s="49"/>
    </row>
    <row r="41">
      <c r="A41" s="43">
        <v>5.0</v>
      </c>
      <c r="B41" s="43">
        <v>8.0</v>
      </c>
      <c r="C41" s="43">
        <v>-27.1183984605581</v>
      </c>
      <c r="D41" s="43">
        <v>152.93330396674</v>
      </c>
      <c r="E41" s="43" t="s">
        <v>98</v>
      </c>
      <c r="F41" s="44" t="s">
        <v>101</v>
      </c>
      <c r="G41" s="45" t="s">
        <v>1762</v>
      </c>
      <c r="H41" s="46"/>
      <c r="I41" s="11" t="b">
        <v>1</v>
      </c>
      <c r="J41" s="47" t="str">
        <f t="shared" si="3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IFERROR(__xludf.DUMMYFUNCTION("""COMPUTED_VALUE"""),"sverlaan")</f>
        <v>sverlaan</v>
      </c>
      <c r="R41" s="49">
        <f>IFERROR(__xludf.DUMMYFUNCTION("""COMPUTED_VALUE"""),5175.0)</f>
        <v>5175</v>
      </c>
      <c r="S41" s="51">
        <v>44255.64870096065</v>
      </c>
    </row>
    <row r="42">
      <c r="A42" s="43">
        <v>6.0</v>
      </c>
      <c r="B42" s="43">
        <v>1.0</v>
      </c>
      <c r="C42" s="43">
        <v>-27.1185421916498</v>
      </c>
      <c r="D42" s="43">
        <v>152.932173592387</v>
      </c>
      <c r="E42" s="43" t="s">
        <v>98</v>
      </c>
      <c r="F42" s="44" t="s">
        <v>149</v>
      </c>
      <c r="G42" s="45" t="s">
        <v>1763</v>
      </c>
      <c r="H42" s="46"/>
      <c r="I42" s="11" t="b">
        <v>1</v>
      </c>
      <c r="J42" s="47" t="str">
        <f t="shared" si="3"/>
        <v/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IFERROR(__xludf.DUMMYFUNCTION("""COMPUTED_VALUE"""),4559.0)</f>
        <v>4559</v>
      </c>
      <c r="S42" s="49"/>
    </row>
    <row r="43">
      <c r="A43" s="43">
        <v>6.0</v>
      </c>
      <c r="B43" s="43">
        <v>2.0</v>
      </c>
      <c r="C43" s="43">
        <v>-27.1185421915575</v>
      </c>
      <c r="D43" s="43">
        <v>152.932335075415</v>
      </c>
      <c r="E43" s="43" t="s">
        <v>98</v>
      </c>
      <c r="F43" s="44" t="s">
        <v>101</v>
      </c>
      <c r="G43" s="52" t="s">
        <v>1764</v>
      </c>
      <c r="H43" s="46"/>
      <c r="I43" s="11" t="b">
        <v>1</v>
      </c>
      <c r="J43" s="47" t="str">
        <f t="shared" si="3"/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IFERROR(__xludf.DUMMYFUNCTION("""COMPUTED_VALUE"""),"sverlaan")</f>
        <v>sverlaan</v>
      </c>
      <c r="R43" s="49">
        <f>IFERROR(__xludf.DUMMYFUNCTION("""COMPUTED_VALUE"""),5026.0)</f>
        <v>5026</v>
      </c>
      <c r="S43" s="51">
        <v>44258.62601633102</v>
      </c>
    </row>
    <row r="44">
      <c r="A44" s="43">
        <v>6.0</v>
      </c>
      <c r="B44" s="43">
        <v>3.0</v>
      </c>
      <c r="C44" s="43">
        <v>-27.1185421914652</v>
      </c>
      <c r="D44" s="43">
        <v>152.932496558443</v>
      </c>
      <c r="E44" s="43" t="s">
        <v>103</v>
      </c>
      <c r="F44" s="44" t="s">
        <v>1230</v>
      </c>
      <c r="G44" s="45" t="s">
        <v>1765</v>
      </c>
      <c r="H44" s="46"/>
      <c r="I44" s="11" t="b">
        <v>1</v>
      </c>
      <c r="J44" s="47" t="str">
        <f t="shared" si="3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IFERROR(__xludf.DUMMYFUNCTION("""COMPUTED_VALUE"""),"FlatBlack")</f>
        <v>FlatBlack</v>
      </c>
      <c r="R44" s="49">
        <f>IFERROR(__xludf.DUMMYFUNCTION("""COMPUTED_VALUE"""),966.0)</f>
        <v>966</v>
      </c>
      <c r="S44" s="49"/>
    </row>
    <row r="45">
      <c r="A45" s="43">
        <v>6.0</v>
      </c>
      <c r="B45" s="43">
        <v>4.0</v>
      </c>
      <c r="C45" s="43">
        <v>-27.1185421913728</v>
      </c>
      <c r="D45" s="43">
        <v>152.932658041472</v>
      </c>
      <c r="E45" s="43" t="s">
        <v>98</v>
      </c>
      <c r="F45" s="44" t="s">
        <v>323</v>
      </c>
      <c r="G45" s="45" t="s">
        <v>1766</v>
      </c>
      <c r="H45" s="46"/>
      <c r="I45" s="11" t="b">
        <v>1</v>
      </c>
      <c r="J45" s="47" t="str">
        <f t="shared" si="3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IFERROR(__xludf.DUMMYFUNCTION("""COMPUTED_VALUE"""),"PawPatrolThomas")</f>
        <v>PawPatrolThomas</v>
      </c>
      <c r="R45" s="49">
        <f>IFERROR(__xludf.DUMMYFUNCTION("""COMPUTED_VALUE"""),2082.0)</f>
        <v>2082</v>
      </c>
      <c r="S45" s="51">
        <v>44258.628456805556</v>
      </c>
    </row>
    <row r="46">
      <c r="A46" s="43">
        <v>6.0</v>
      </c>
      <c r="B46" s="43">
        <v>5.0</v>
      </c>
      <c r="C46" s="43">
        <v>-27.1185421912805</v>
      </c>
      <c r="D46" s="43">
        <v>152.9328195245</v>
      </c>
      <c r="E46" s="43" t="s">
        <v>98</v>
      </c>
      <c r="F46" s="44" t="s">
        <v>101</v>
      </c>
      <c r="G46" s="45" t="s">
        <v>1767</v>
      </c>
      <c r="H46" s="46"/>
      <c r="I46" s="11" t="b">
        <v>1</v>
      </c>
      <c r="J46" s="47" t="str">
        <f t="shared" si="3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IFERROR(__xludf.DUMMYFUNCTION("""COMPUTED_VALUE"""),"sverlaan")</f>
        <v>sverlaan</v>
      </c>
      <c r="R46" s="49">
        <f>IFERROR(__xludf.DUMMYFUNCTION("""COMPUTED_VALUE"""),3887.0)</f>
        <v>3887</v>
      </c>
      <c r="S46" s="51">
        <v>44258.62701140046</v>
      </c>
    </row>
    <row r="47">
      <c r="A47" s="43">
        <v>6.0</v>
      </c>
      <c r="B47" s="43">
        <v>6.0</v>
      </c>
      <c r="C47" s="43">
        <v>-27.1185421911882</v>
      </c>
      <c r="D47" s="43">
        <v>152.932981007528</v>
      </c>
      <c r="E47" s="43" t="s">
        <v>103</v>
      </c>
      <c r="F47" s="44" t="s">
        <v>870</v>
      </c>
      <c r="G47" s="45" t="s">
        <v>1768</v>
      </c>
      <c r="H47" s="46"/>
      <c r="I47" s="11" t="b">
        <v>1</v>
      </c>
      <c r="J47" s="47" t="str">
        <f t="shared" si="3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IFERROR(__xludf.DUMMYFUNCTION("""COMPUTED_VALUE"""),"amadoreugen")</f>
        <v>amadoreugen</v>
      </c>
      <c r="R47" s="49">
        <f>IFERROR(__xludf.DUMMYFUNCTION("""COMPUTED_VALUE"""),5827.0)</f>
        <v>5827</v>
      </c>
      <c r="S47" s="49"/>
    </row>
    <row r="48">
      <c r="A48" s="43">
        <v>6.0</v>
      </c>
      <c r="B48" s="43">
        <v>7.0</v>
      </c>
      <c r="C48" s="43">
        <v>-27.1185421910958</v>
      </c>
      <c r="D48" s="43">
        <v>152.933142490557</v>
      </c>
      <c r="E48" s="43" t="s">
        <v>98</v>
      </c>
      <c r="F48" s="44" t="s">
        <v>145</v>
      </c>
      <c r="G48" s="52" t="s">
        <v>1769</v>
      </c>
      <c r="H48" s="46"/>
      <c r="I48" s="11" t="b">
        <v>1</v>
      </c>
      <c r="J48" s="47" t="str">
        <f t="shared" si="3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IFERROR(__xludf.DUMMYFUNCTION("""COMPUTED_VALUE"""),4457.0)</f>
        <v>4457</v>
      </c>
      <c r="S48" s="51">
        <v>44088.68836097222</v>
      </c>
    </row>
    <row r="49">
      <c r="A49" s="43">
        <v>6.0</v>
      </c>
      <c r="B49" s="43">
        <v>8.0</v>
      </c>
      <c r="C49" s="43">
        <v>-27.1185421910035</v>
      </c>
      <c r="D49" s="43">
        <v>152.933303973585</v>
      </c>
      <c r="E49" s="43" t="s">
        <v>98</v>
      </c>
      <c r="F49" s="44" t="s">
        <v>147</v>
      </c>
      <c r="G49" s="52" t="s">
        <v>1770</v>
      </c>
      <c r="H49" s="46"/>
      <c r="I49" s="11" t="b">
        <v>1</v>
      </c>
      <c r="J49" s="47" t="str">
        <f t="shared" si="3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IFERROR(__xludf.DUMMYFUNCTION("""COMPUTED_VALUE"""),6997.0)</f>
        <v>6997</v>
      </c>
      <c r="S49" s="51">
        <v>44088.688609282406</v>
      </c>
    </row>
    <row r="50">
      <c r="A50" s="43">
        <v>7.0</v>
      </c>
      <c r="B50" s="43">
        <v>2.0</v>
      </c>
      <c r="C50" s="43">
        <v>-27.118685922003</v>
      </c>
      <c r="D50" s="43">
        <v>152.932335081018</v>
      </c>
      <c r="E50" s="43" t="s">
        <v>103</v>
      </c>
      <c r="F50" s="44" t="s">
        <v>182</v>
      </c>
      <c r="G50" s="45" t="s">
        <v>1771</v>
      </c>
      <c r="H50" s="46"/>
      <c r="I50" s="11" t="b">
        <v>1</v>
      </c>
      <c r="J50" s="47" t="str">
        <f t="shared" si="3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IFERROR(__xludf.DUMMYFUNCTION("""COMPUTED_VALUE"""),"TheFatCats")</f>
        <v>TheFatCats</v>
      </c>
      <c r="R50" s="49">
        <f>IFERROR(__xludf.DUMMYFUNCTION("""COMPUTED_VALUE"""),3942.0)</f>
        <v>3942</v>
      </c>
      <c r="S50" s="49"/>
    </row>
    <row r="51">
      <c r="A51" s="43">
        <v>7.0</v>
      </c>
      <c r="B51" s="43">
        <v>3.0</v>
      </c>
      <c r="C51" s="43">
        <v>-27.1186859219106</v>
      </c>
      <c r="D51" s="43">
        <v>152.932496564254</v>
      </c>
      <c r="E51" s="43" t="s">
        <v>98</v>
      </c>
      <c r="F51" s="44" t="s">
        <v>1326</v>
      </c>
      <c r="G51" s="52" t="s">
        <v>1772</v>
      </c>
      <c r="H51" s="46"/>
      <c r="I51" s="11" t="b">
        <v>1</v>
      </c>
      <c r="J51" s="47" t="str">
        <f t="shared" si="3"/>
        <v/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IFERROR(__xludf.DUMMYFUNCTION("""COMPUTED_VALUE"""),"BrotherWilliam")</f>
        <v>BrotherWilliam</v>
      </c>
      <c r="R51" s="49">
        <f>IFERROR(__xludf.DUMMYFUNCTION("""COMPUTED_VALUE"""),4280.0)</f>
        <v>4280</v>
      </c>
      <c r="S51" s="49"/>
    </row>
    <row r="52">
      <c r="A52" s="43">
        <v>7.0</v>
      </c>
      <c r="B52" s="43">
        <v>4.0</v>
      </c>
      <c r="C52" s="43">
        <v>-27.1186859218183</v>
      </c>
      <c r="D52" s="43">
        <v>152.93265804749</v>
      </c>
      <c r="E52" s="43" t="s">
        <v>98</v>
      </c>
      <c r="F52" s="44" t="s">
        <v>112</v>
      </c>
      <c r="G52" s="52" t="s">
        <v>1773</v>
      </c>
      <c r="H52" s="46"/>
      <c r="I52" s="11" t="b">
        <v>1</v>
      </c>
      <c r="J52" s="47" t="str">
        <f t="shared" si="3"/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IFERROR(__xludf.DUMMYFUNCTION("""COMPUTED_VALUE"""),"ArtofEco")</f>
        <v>ArtofEco</v>
      </c>
      <c r="R52" s="49">
        <f>IFERROR(__xludf.DUMMYFUNCTION("""COMPUTED_VALUE"""),3116.0)</f>
        <v>3116</v>
      </c>
      <c r="S52" s="49"/>
    </row>
    <row r="53">
      <c r="A53" s="43">
        <v>7.0</v>
      </c>
      <c r="B53" s="43">
        <v>5.0</v>
      </c>
      <c r="C53" s="43">
        <v>-27.118685921726</v>
      </c>
      <c r="D53" s="43">
        <v>152.932819530726</v>
      </c>
      <c r="E53" s="43" t="s">
        <v>98</v>
      </c>
      <c r="F53" s="44" t="s">
        <v>182</v>
      </c>
      <c r="G53" s="45" t="s">
        <v>1774</v>
      </c>
      <c r="H53" s="46"/>
      <c r="I53" s="11" t="b">
        <v>1</v>
      </c>
      <c r="J53" s="47" t="str">
        <f t="shared" si="3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IFERROR(__xludf.DUMMYFUNCTION("""COMPUTED_VALUE"""),"TheFatCats")</f>
        <v>TheFatCats</v>
      </c>
      <c r="R53" s="49">
        <f>IFERROR(__xludf.DUMMYFUNCTION("""COMPUTED_VALUE"""),3948.0)</f>
        <v>3948</v>
      </c>
      <c r="S53" s="49"/>
    </row>
    <row r="54">
      <c r="A54" s="43">
        <v>7.0</v>
      </c>
      <c r="B54" s="43">
        <v>6.0</v>
      </c>
      <c r="C54" s="43">
        <v>-27.1186859216336</v>
      </c>
      <c r="D54" s="43">
        <v>152.932981013962</v>
      </c>
      <c r="E54" s="43" t="s">
        <v>98</v>
      </c>
      <c r="F54" s="44" t="s">
        <v>1775</v>
      </c>
      <c r="G54" s="45" t="s">
        <v>1776</v>
      </c>
      <c r="H54" s="44"/>
      <c r="I54" s="11" t="b">
        <v>1</v>
      </c>
      <c r="J54" s="11"/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IFERROR(__xludf.DUMMYFUNCTION("""COMPUTED_VALUE"""),"DJSmith")</f>
        <v>DJSmith</v>
      </c>
      <c r="R54" s="49">
        <f>IFERROR(__xludf.DUMMYFUNCTION("""COMPUTED_VALUE"""),7277.0)</f>
        <v>7277</v>
      </c>
      <c r="S54" s="49"/>
    </row>
    <row r="55">
      <c r="A55" s="43">
        <v>7.0</v>
      </c>
      <c r="B55" s="43">
        <v>7.0</v>
      </c>
      <c r="C55" s="43">
        <v>-27.1186859215413</v>
      </c>
      <c r="D55" s="43">
        <v>152.933142497197</v>
      </c>
      <c r="E55" s="43" t="s">
        <v>98</v>
      </c>
      <c r="F55" s="44" t="s">
        <v>134</v>
      </c>
      <c r="G55" s="45" t="s">
        <v>1777</v>
      </c>
      <c r="H55" s="46"/>
      <c r="I55" s="11" t="b">
        <v>1</v>
      </c>
      <c r="J55" s="47" t="str">
        <f t="shared" ref="J55:J59" si="4">if(I55=true,"",S55)</f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IFERROR(__xludf.DUMMYFUNCTION("""COMPUTED_VALUE"""),"Wangotango")</f>
        <v>Wangotango</v>
      </c>
      <c r="R55" s="49">
        <f>IFERROR(__xludf.DUMMYFUNCTION("""COMPUTED_VALUE"""),1352.0)</f>
        <v>1352</v>
      </c>
      <c r="S55" s="49"/>
    </row>
    <row r="56">
      <c r="A56" s="43">
        <v>8.0</v>
      </c>
      <c r="B56" s="43">
        <v>3.0</v>
      </c>
      <c r="C56" s="43">
        <v>-27.1188296523561</v>
      </c>
      <c r="D56" s="43">
        <v>152.93249657006</v>
      </c>
      <c r="E56" s="43" t="s">
        <v>98</v>
      </c>
      <c r="F56" s="44" t="s">
        <v>918</v>
      </c>
      <c r="G56" s="45" t="s">
        <v>1778</v>
      </c>
      <c r="H56" s="46"/>
      <c r="I56" s="11" t="b">
        <v>1</v>
      </c>
      <c r="J56" s="47" t="str">
        <f t="shared" si="4"/>
        <v/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IFERROR(__xludf.DUMMYFUNCTION("""COMPUTED_VALUE"""),"5Star")</f>
        <v>5Star</v>
      </c>
      <c r="R56" s="49">
        <f>IFERROR(__xludf.DUMMYFUNCTION("""COMPUTED_VALUE"""),4692.0)</f>
        <v>4692</v>
      </c>
      <c r="S56" s="51">
        <v>44088.68883747685</v>
      </c>
    </row>
    <row r="57">
      <c r="A57" s="43">
        <v>8.0</v>
      </c>
      <c r="B57" s="43">
        <v>4.0</v>
      </c>
      <c r="C57" s="43">
        <v>-27.1188296522638</v>
      </c>
      <c r="D57" s="43">
        <v>152.932658053503</v>
      </c>
      <c r="E57" s="43" t="s">
        <v>103</v>
      </c>
      <c r="F57" s="44" t="s">
        <v>157</v>
      </c>
      <c r="G57" s="45" t="s">
        <v>1779</v>
      </c>
      <c r="H57" s="46"/>
      <c r="I57" s="11" t="b">
        <v>1</v>
      </c>
      <c r="J57" s="47" t="str">
        <f t="shared" si="4"/>
        <v/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IFERROR(__xludf.DUMMYFUNCTION("""COMPUTED_VALUE"""),"barefootguru")</f>
        <v>barefootguru</v>
      </c>
      <c r="R57" s="49">
        <f>IFERROR(__xludf.DUMMYFUNCTION("""COMPUTED_VALUE"""),3185.0)</f>
        <v>3185</v>
      </c>
      <c r="S57" s="49"/>
    </row>
    <row r="58">
      <c r="A58" s="43">
        <v>8.0</v>
      </c>
      <c r="B58" s="43">
        <v>5.0</v>
      </c>
      <c r="C58" s="43">
        <v>-27.1188296521714</v>
      </c>
      <c r="D58" s="43">
        <v>152.932819536947</v>
      </c>
      <c r="E58" s="43" t="s">
        <v>103</v>
      </c>
      <c r="F58" s="44" t="s">
        <v>120</v>
      </c>
      <c r="G58" s="45" t="s">
        <v>1780</v>
      </c>
      <c r="H58" s="46"/>
      <c r="I58" s="11" t="b">
        <v>1</v>
      </c>
      <c r="J58" s="47" t="str">
        <f t="shared" si="4"/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IFERROR(__xludf.DUMMYFUNCTION("""COMPUTED_VALUE"""),"xrayneex")</f>
        <v>xrayneex</v>
      </c>
      <c r="R58" s="49">
        <f>IFERROR(__xludf.DUMMYFUNCTION("""COMPUTED_VALUE"""),1542.0)</f>
        <v>1542</v>
      </c>
      <c r="S58" s="49"/>
    </row>
    <row r="59">
      <c r="A59" s="43">
        <v>8.0</v>
      </c>
      <c r="B59" s="43">
        <v>6.0</v>
      </c>
      <c r="C59" s="43">
        <v>-27.1188296520791</v>
      </c>
      <c r="D59" s="43">
        <v>152.93298102039</v>
      </c>
      <c r="E59" s="43" t="s">
        <v>98</v>
      </c>
      <c r="F59" s="44" t="s">
        <v>108</v>
      </c>
      <c r="G59" s="45" t="s">
        <v>1781</v>
      </c>
      <c r="H59" s="46"/>
      <c r="I59" s="11" t="b">
        <v>1</v>
      </c>
      <c r="J59" s="47" t="str">
        <f t="shared" si="4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IFERROR(__xludf.DUMMYFUNCTION("""COMPUTED_VALUE"""),"Bungle")</f>
        <v>Bungle</v>
      </c>
      <c r="R59" s="49">
        <f>IFERROR(__xludf.DUMMYFUNCTION("""COMPUTED_VALUE"""),3148.0)</f>
        <v>3148</v>
      </c>
      <c r="S59" s="49"/>
    </row>
    <row r="61" hidden="1">
      <c r="F61" s="47">
        <f t="shared" ref="F61:G61" si="5">COUNTIF(F8:F59,"")</f>
        <v>0</v>
      </c>
      <c r="G61" s="47">
        <f t="shared" si="5"/>
        <v>0</v>
      </c>
      <c r="I61" s="47">
        <f>COUNTIF(I8:I59,TRUE)</f>
        <v>52</v>
      </c>
    </row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3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13"/>
    <col customWidth="1" min="2" max="2" width="7.25"/>
    <col customWidth="1" min="3" max="3" width="15.5"/>
    <col customWidth="1" min="4" max="4" width="15.88"/>
    <col customWidth="1" min="5" max="5" width="19.88"/>
    <col customWidth="1" min="6" max="6" width="13.63"/>
    <col customWidth="1" min="7" max="7" width="44.2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33</v>
      </c>
      <c r="B1" s="37" t="s">
        <v>36</v>
      </c>
      <c r="D1" s="106"/>
      <c r="E1" s="2" t="s">
        <v>79</v>
      </c>
      <c r="F1" s="24" t="s">
        <v>157</v>
      </c>
      <c r="G1" s="69" t="s">
        <v>1782</v>
      </c>
      <c r="H1" s="97" t="s">
        <v>769</v>
      </c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108"/>
      <c r="D2" s="108"/>
      <c r="E2" s="2" t="s">
        <v>82</v>
      </c>
      <c r="F2" s="2"/>
      <c r="G2" s="4" t="s">
        <v>1783</v>
      </c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108"/>
      <c r="D3" s="108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108"/>
      <c r="D4" s="108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109"/>
      <c r="D5" s="109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109"/>
      <c r="D6" s="109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110" t="s">
        <v>87</v>
      </c>
      <c r="D7" s="110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52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111">
        <v>-35.1415442789774</v>
      </c>
      <c r="D8" s="111">
        <v>138.540636300073</v>
      </c>
      <c r="E8" s="43" t="s">
        <v>98</v>
      </c>
      <c r="F8" s="44" t="s">
        <v>922</v>
      </c>
      <c r="G8" s="45" t="s">
        <v>1784</v>
      </c>
      <c r="H8" s="46"/>
      <c r="I8" s="11" t="b">
        <v>1</v>
      </c>
      <c r="J8" s="47" t="str">
        <f t="shared" ref="J8:J32" si="1">if(I8=true,"",S8)</f>
        <v/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IFERROR(__xludf.DUMMYFUNCTION("""COMPUTED_VALUE"""),"DHitz")</f>
        <v>DHitz</v>
      </c>
      <c r="R8" s="49">
        <f>IFERROR(__xludf.DUMMYFUNCTION("""COMPUTED_VALUE"""),3710.0)</f>
        <v>3710</v>
      </c>
      <c r="S8" s="49"/>
    </row>
    <row r="9">
      <c r="A9" s="43">
        <v>1.0</v>
      </c>
      <c r="B9" s="43">
        <v>4.0</v>
      </c>
      <c r="C9" s="111">
        <v>-35.1415442788505</v>
      </c>
      <c r="D9" s="111">
        <v>138.540812067127</v>
      </c>
      <c r="E9" s="43" t="s">
        <v>98</v>
      </c>
      <c r="F9" s="44" t="s">
        <v>169</v>
      </c>
      <c r="G9" s="65" t="s">
        <v>1785</v>
      </c>
      <c r="H9" s="44"/>
      <c r="I9" s="11" t="b">
        <v>1</v>
      </c>
      <c r="J9" s="47" t="str">
        <f t="shared" si="1"/>
        <v/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IFERROR(__xludf.DUMMYFUNCTION("""COMPUTED_VALUE"""),"Pinkeltje")</f>
        <v>Pinkeltje</v>
      </c>
      <c r="R9" s="49">
        <f>IFERROR(__xludf.DUMMYFUNCTION("""COMPUTED_VALUE"""),1096.0)</f>
        <v>1096</v>
      </c>
      <c r="S9" s="49"/>
    </row>
    <row r="10">
      <c r="A10" s="43">
        <v>1.0</v>
      </c>
      <c r="B10" s="43">
        <v>5.0</v>
      </c>
      <c r="C10" s="111">
        <v>-35.1415442787236</v>
      </c>
      <c r="D10" s="111">
        <v>138.540987834181</v>
      </c>
      <c r="E10" s="43" t="s">
        <v>103</v>
      </c>
      <c r="F10" s="44" t="s">
        <v>178</v>
      </c>
      <c r="G10" s="45" t="s">
        <v>1786</v>
      </c>
      <c r="H10" s="46"/>
      <c r="I10" s="11" t="b">
        <v>1</v>
      </c>
      <c r="J10" s="47" t="str">
        <f t="shared" si="1"/>
        <v/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IFERROR(__xludf.DUMMYFUNCTION("""COMPUTED_VALUE"""),"lison55")</f>
        <v>lison55</v>
      </c>
      <c r="R10" s="49">
        <f>IFERROR(__xludf.DUMMYFUNCTION("""COMPUTED_VALUE"""),5153.0)</f>
        <v>5153</v>
      </c>
      <c r="S10" s="49"/>
    </row>
    <row r="11">
      <c r="A11" s="43">
        <v>1.0</v>
      </c>
      <c r="B11" s="43">
        <v>6.0</v>
      </c>
      <c r="C11" s="111">
        <v>-35.1415442785967</v>
      </c>
      <c r="D11" s="111">
        <v>138.541163601234</v>
      </c>
      <c r="E11" s="43" t="s">
        <v>103</v>
      </c>
      <c r="F11" s="44" t="s">
        <v>920</v>
      </c>
      <c r="G11" s="65" t="s">
        <v>1787</v>
      </c>
      <c r="H11" s="46"/>
      <c r="I11" s="11" t="b">
        <v>1</v>
      </c>
      <c r="J11" s="47" t="str">
        <f t="shared" si="1"/>
        <v/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IFERROR(__xludf.DUMMYFUNCTION("""COMPUTED_VALUE"""),"FromTheTardis")</f>
        <v>FromTheTardis</v>
      </c>
      <c r="R11" s="49">
        <f>IFERROR(__xludf.DUMMYFUNCTION("""COMPUTED_VALUE"""),1328.0)</f>
        <v>1328</v>
      </c>
      <c r="S11" s="49"/>
    </row>
    <row r="12">
      <c r="A12" s="43">
        <v>2.0</v>
      </c>
      <c r="B12" s="43">
        <v>2.0</v>
      </c>
      <c r="C12" s="111">
        <v>-35.1416880095498</v>
      </c>
      <c r="D12" s="111">
        <v>138.540460541399</v>
      </c>
      <c r="E12" s="43" t="s">
        <v>98</v>
      </c>
      <c r="F12" s="104" t="s">
        <v>1035</v>
      </c>
      <c r="G12" s="117" t="s">
        <v>1788</v>
      </c>
      <c r="H12" s="56"/>
      <c r="I12" s="11" t="b">
        <v>1</v>
      </c>
      <c r="J12" s="47" t="str">
        <f t="shared" si="1"/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IFERROR(__xludf.DUMMYFUNCTION("""COMPUTED_VALUE"""),"Lanyasummer")</f>
        <v>Lanyasummer</v>
      </c>
      <c r="R12" s="49">
        <f>IFERROR(__xludf.DUMMYFUNCTION("""COMPUTED_VALUE"""),4105.0)</f>
        <v>4105</v>
      </c>
      <c r="S12" s="49"/>
    </row>
    <row r="13">
      <c r="A13" s="43">
        <v>2.0</v>
      </c>
      <c r="B13" s="43">
        <v>3.0</v>
      </c>
      <c r="C13" s="111">
        <v>-35.1416880094229</v>
      </c>
      <c r="D13" s="111">
        <v>138.540636308763</v>
      </c>
      <c r="E13" s="43" t="s">
        <v>98</v>
      </c>
      <c r="F13" s="44" t="s">
        <v>114</v>
      </c>
      <c r="G13" s="65" t="s">
        <v>1789</v>
      </c>
      <c r="H13" s="44"/>
      <c r="I13" s="11" t="b">
        <v>1</v>
      </c>
      <c r="J13" s="47" t="str">
        <f t="shared" si="1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IFERROR(__xludf.DUMMYFUNCTION("""COMPUTED_VALUE"""),"J1Huisman")</f>
        <v>J1Huisman</v>
      </c>
      <c r="R13" s="49">
        <f>IFERROR(__xludf.DUMMYFUNCTION("""COMPUTED_VALUE"""),11169.0)</f>
        <v>11169</v>
      </c>
      <c r="S13" s="49"/>
    </row>
    <row r="14">
      <c r="A14" s="43">
        <v>2.0</v>
      </c>
      <c r="B14" s="43">
        <v>4.0</v>
      </c>
      <c r="C14" s="111">
        <v>-35.141688009296</v>
      </c>
      <c r="D14" s="111">
        <v>138.540812076127</v>
      </c>
      <c r="E14" s="43" t="s">
        <v>98</v>
      </c>
      <c r="F14" s="44" t="s">
        <v>933</v>
      </c>
      <c r="G14" s="52" t="s">
        <v>1790</v>
      </c>
      <c r="H14" s="120"/>
      <c r="I14" s="11" t="b">
        <v>1</v>
      </c>
      <c r="J14" s="47" t="str">
        <f t="shared" si="1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IFERROR(__xludf.DUMMYFUNCTION("""COMPUTED_VALUE"""),"Bambinacattiva")</f>
        <v>Bambinacattiva</v>
      </c>
      <c r="R14" s="49">
        <f>IFERROR(__xludf.DUMMYFUNCTION("""COMPUTED_VALUE"""),689.0)</f>
        <v>689</v>
      </c>
      <c r="S14" s="49"/>
    </row>
    <row r="15">
      <c r="A15" s="43">
        <v>2.0</v>
      </c>
      <c r="B15" s="43">
        <v>5.0</v>
      </c>
      <c r="C15" s="111">
        <v>-35.1416880091691</v>
      </c>
      <c r="D15" s="111">
        <v>138.540987843492</v>
      </c>
      <c r="E15" s="43" t="s">
        <v>103</v>
      </c>
      <c r="F15" s="44" t="s">
        <v>314</v>
      </c>
      <c r="G15" s="45" t="s">
        <v>1791</v>
      </c>
      <c r="H15" s="46"/>
      <c r="I15" s="11" t="b">
        <v>1</v>
      </c>
      <c r="J15" s="47" t="str">
        <f t="shared" si="1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IFERROR(__xludf.DUMMYFUNCTION("""COMPUTED_VALUE"""),"Trappertje")</f>
        <v>Trappertje</v>
      </c>
      <c r="R15" s="49">
        <f>IFERROR(__xludf.DUMMYFUNCTION("""COMPUTED_VALUE"""),4646.0)</f>
        <v>4646</v>
      </c>
      <c r="S15" s="49"/>
    </row>
    <row r="16">
      <c r="A16" s="43">
        <v>2.0</v>
      </c>
      <c r="B16" s="43">
        <v>6.0</v>
      </c>
      <c r="C16" s="111">
        <v>-35.1416880090422</v>
      </c>
      <c r="D16" s="111">
        <v>138.541163610856</v>
      </c>
      <c r="E16" s="43" t="s">
        <v>98</v>
      </c>
      <c r="F16" s="44" t="s">
        <v>101</v>
      </c>
      <c r="G16" s="45" t="s">
        <v>1792</v>
      </c>
      <c r="H16" s="46"/>
      <c r="I16" s="11" t="b">
        <v>1</v>
      </c>
      <c r="J16" s="47" t="str">
        <f t="shared" si="1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IFERROR(__xludf.DUMMYFUNCTION("""COMPUTED_VALUE"""),"sverlaan")</f>
        <v>sverlaan</v>
      </c>
      <c r="R16" s="49">
        <f>IFERROR(__xludf.DUMMYFUNCTION("""COMPUTED_VALUE"""),4129.0)</f>
        <v>4129</v>
      </c>
      <c r="S16" s="49"/>
    </row>
    <row r="17">
      <c r="A17" s="43">
        <v>2.0</v>
      </c>
      <c r="B17" s="43">
        <v>7.0</v>
      </c>
      <c r="C17" s="111">
        <v>-35.1416880089153</v>
      </c>
      <c r="D17" s="111">
        <v>138.54133937822</v>
      </c>
      <c r="E17" s="43" t="s">
        <v>98</v>
      </c>
      <c r="F17" s="44" t="s">
        <v>936</v>
      </c>
      <c r="G17" s="45" t="s">
        <v>1793</v>
      </c>
      <c r="H17" s="46"/>
      <c r="I17" s="11" t="b">
        <v>1</v>
      </c>
      <c r="J17" s="47" t="str">
        <f t="shared" si="1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IFERROR(__xludf.DUMMYFUNCTION("""COMPUTED_VALUE"""),"EmileP68")</f>
        <v>EmileP68</v>
      </c>
      <c r="R17" s="49">
        <f>IFERROR(__xludf.DUMMYFUNCTION("""COMPUTED_VALUE"""),2902.0)</f>
        <v>2902</v>
      </c>
      <c r="S17" s="49"/>
    </row>
    <row r="18">
      <c r="A18" s="43">
        <v>3.0</v>
      </c>
      <c r="B18" s="43">
        <v>1.0</v>
      </c>
      <c r="C18" s="111">
        <v>-35.1418317401221</v>
      </c>
      <c r="D18" s="111">
        <v>138.540284782105</v>
      </c>
      <c r="E18" s="43" t="s">
        <v>98</v>
      </c>
      <c r="F18" s="44" t="s">
        <v>918</v>
      </c>
      <c r="G18" s="112" t="s">
        <v>1794</v>
      </c>
      <c r="H18" s="46"/>
      <c r="I18" s="11" t="b">
        <v>1</v>
      </c>
      <c r="J18" s="47" t="str">
        <f t="shared" si="1"/>
        <v/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IFERROR(__xludf.DUMMYFUNCTION("""COMPUTED_VALUE"""),"5Star")</f>
        <v>5Star</v>
      </c>
      <c r="R18" s="49">
        <f>IFERROR(__xludf.DUMMYFUNCTION("""COMPUTED_VALUE"""),5636.0)</f>
        <v>5636</v>
      </c>
      <c r="S18" s="49"/>
    </row>
    <row r="19">
      <c r="A19" s="43">
        <v>3.0</v>
      </c>
      <c r="B19" s="43">
        <v>2.0</v>
      </c>
      <c r="C19" s="111">
        <v>-35.1418317399952</v>
      </c>
      <c r="D19" s="111">
        <v>138.540460549779</v>
      </c>
      <c r="E19" s="43" t="s">
        <v>98</v>
      </c>
      <c r="F19" s="44" t="s">
        <v>938</v>
      </c>
      <c r="G19" s="45" t="s">
        <v>1795</v>
      </c>
      <c r="H19" s="46"/>
      <c r="I19" s="11" t="b">
        <v>1</v>
      </c>
      <c r="J19" s="47" t="str">
        <f t="shared" si="1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IFERROR(__xludf.DUMMYFUNCTION("""COMPUTED_VALUE"""),"PawPatrolThomas")</f>
        <v>PawPatrolThomas</v>
      </c>
      <c r="R19" s="49">
        <f>IFERROR(__xludf.DUMMYFUNCTION("""COMPUTED_VALUE"""),2206.0)</f>
        <v>2206</v>
      </c>
      <c r="S19" s="49"/>
    </row>
    <row r="20">
      <c r="A20" s="43">
        <v>3.0</v>
      </c>
      <c r="B20" s="43">
        <v>3.0</v>
      </c>
      <c r="C20" s="111">
        <v>-35.1418317398683</v>
      </c>
      <c r="D20" s="111">
        <v>138.540636317454</v>
      </c>
      <c r="E20" s="43" t="s">
        <v>98</v>
      </c>
      <c r="F20" s="44" t="s">
        <v>956</v>
      </c>
      <c r="G20" s="45" t="s">
        <v>1796</v>
      </c>
      <c r="H20" s="46"/>
      <c r="I20" s="11" t="b">
        <v>1</v>
      </c>
      <c r="J20" s="47" t="str">
        <f t="shared" si="1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IFERROR(__xludf.DUMMYFUNCTION("""COMPUTED_VALUE"""),"benotje")</f>
        <v>benotje</v>
      </c>
      <c r="R20" s="49">
        <f>IFERROR(__xludf.DUMMYFUNCTION("""COMPUTED_VALUE"""),1334.0)</f>
        <v>1334</v>
      </c>
      <c r="S20" s="49"/>
    </row>
    <row r="21">
      <c r="A21" s="43">
        <v>3.0</v>
      </c>
      <c r="B21" s="43">
        <v>4.0</v>
      </c>
      <c r="C21" s="111">
        <v>-35.1418317397414</v>
      </c>
      <c r="D21" s="111">
        <v>138.540812085128</v>
      </c>
      <c r="E21" s="43" t="s">
        <v>98</v>
      </c>
      <c r="F21" s="44" t="s">
        <v>157</v>
      </c>
      <c r="G21" s="45" t="s">
        <v>1797</v>
      </c>
      <c r="H21" s="46"/>
      <c r="I21" s="11" t="b">
        <v>1</v>
      </c>
      <c r="J21" s="47" t="str">
        <f t="shared" si="1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IFERROR(__xludf.DUMMYFUNCTION("""COMPUTED_VALUE"""),"barefootguru")</f>
        <v>barefootguru</v>
      </c>
      <c r="R21" s="49">
        <f>IFERROR(__xludf.DUMMYFUNCTION("""COMPUTED_VALUE"""),3092.0)</f>
        <v>3092</v>
      </c>
      <c r="S21" s="49"/>
    </row>
    <row r="22">
      <c r="A22" s="43">
        <v>3.0</v>
      </c>
      <c r="B22" s="43">
        <v>5.0</v>
      </c>
      <c r="C22" s="111">
        <v>-35.1418317396145</v>
      </c>
      <c r="D22" s="111">
        <v>138.540987852803</v>
      </c>
      <c r="E22" s="43" t="s">
        <v>98</v>
      </c>
      <c r="F22" s="44" t="s">
        <v>940</v>
      </c>
      <c r="G22" s="45" t="s">
        <v>1798</v>
      </c>
      <c r="H22" s="46"/>
      <c r="I22" s="11" t="b">
        <v>1</v>
      </c>
      <c r="J22" s="47" t="str">
        <f t="shared" si="1"/>
        <v/>
      </c>
      <c r="K22" s="49" t="str">
        <f>IFERROR(__xludf.DUMMYFUNCTION("IF(M22=1,IFERROR(IMPORTXML(G22, ""//p[@class='status-date']""),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IFERROR(__xludf.DUMMYFUNCTION("""COMPUTED_VALUE"""),"WiseOldWizard")</f>
        <v>WiseOldWizard</v>
      </c>
      <c r="R22" s="49">
        <f>IFERROR(__xludf.DUMMYFUNCTION("""COMPUTED_VALUE"""),3923.0)</f>
        <v>3923</v>
      </c>
      <c r="S22" s="49"/>
    </row>
    <row r="23">
      <c r="A23" s="43">
        <v>3.0</v>
      </c>
      <c r="B23" s="43">
        <v>6.0</v>
      </c>
      <c r="C23" s="111">
        <v>-35.1418317394876</v>
      </c>
      <c r="D23" s="111">
        <v>138.541163620477</v>
      </c>
      <c r="E23" s="43" t="s">
        <v>98</v>
      </c>
      <c r="F23" s="44" t="s">
        <v>942</v>
      </c>
      <c r="G23" s="45" t="s">
        <v>1799</v>
      </c>
      <c r="H23" s="46"/>
      <c r="I23" s="11" t="b">
        <v>1</v>
      </c>
      <c r="J23" s="47" t="str">
        <f t="shared" si="1"/>
        <v/>
      </c>
      <c r="K23" s="49" t="str">
        <f>IFERROR(__xludf.DUMMYFUNCTION("IF(M23=1,IFERROR(IMPORTXML(G23, ""//p[@class='status-date']""),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IFERROR(__xludf.DUMMYFUNCTION("""COMPUTED_VALUE"""),"hoekraam")</f>
        <v>hoekraam</v>
      </c>
      <c r="R23" s="49">
        <f>IFERROR(__xludf.DUMMYFUNCTION("""COMPUTED_VALUE"""),6940.0)</f>
        <v>6940</v>
      </c>
      <c r="S23" s="49"/>
    </row>
    <row r="24">
      <c r="A24" s="43">
        <v>3.0</v>
      </c>
      <c r="B24" s="43">
        <v>7.0</v>
      </c>
      <c r="C24" s="111">
        <v>-35.1418317393607</v>
      </c>
      <c r="D24" s="111">
        <v>138.541339388151</v>
      </c>
      <c r="E24" s="43" t="s">
        <v>98</v>
      </c>
      <c r="F24" s="44" t="s">
        <v>120</v>
      </c>
      <c r="G24" s="45" t="s">
        <v>1800</v>
      </c>
      <c r="H24" s="46"/>
      <c r="I24" s="11" t="b">
        <v>1</v>
      </c>
      <c r="J24" s="47" t="str">
        <f t="shared" si="1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IFERROR(__xludf.DUMMYFUNCTION("""COMPUTED_VALUE"""),"xrayneex")</f>
        <v>xrayneex</v>
      </c>
      <c r="R24" s="49">
        <f>IFERROR(__xludf.DUMMYFUNCTION("""COMPUTED_VALUE"""),1307.0)</f>
        <v>1307</v>
      </c>
      <c r="S24" s="49"/>
    </row>
    <row r="25">
      <c r="A25" s="43">
        <v>3.0</v>
      </c>
      <c r="B25" s="43">
        <v>8.0</v>
      </c>
      <c r="C25" s="111">
        <v>-35.1418317392338</v>
      </c>
      <c r="D25" s="111">
        <v>138.541515155826</v>
      </c>
      <c r="E25" s="43" t="s">
        <v>98</v>
      </c>
      <c r="F25" s="44" t="s">
        <v>110</v>
      </c>
      <c r="G25" s="52" t="s">
        <v>1801</v>
      </c>
      <c r="H25" s="120"/>
      <c r="I25" s="11" t="b">
        <v>1</v>
      </c>
      <c r="J25" s="47" t="str">
        <f t="shared" si="1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IFERROR(__xludf.DUMMYFUNCTION("""COMPUTED_VALUE"""),"BrotherWilliam")</f>
        <v>BrotherWilliam</v>
      </c>
      <c r="R25" s="49">
        <f>IFERROR(__xludf.DUMMYFUNCTION("""COMPUTED_VALUE"""),3862.0)</f>
        <v>3862</v>
      </c>
      <c r="S25" s="49"/>
    </row>
    <row r="26">
      <c r="A26" s="43">
        <v>4.0</v>
      </c>
      <c r="B26" s="43">
        <v>1.0</v>
      </c>
      <c r="C26" s="111">
        <v>-35.1419754705676</v>
      </c>
      <c r="D26" s="111">
        <v>138.540284790174</v>
      </c>
      <c r="E26" s="43" t="s">
        <v>98</v>
      </c>
      <c r="F26" s="44" t="s">
        <v>942</v>
      </c>
      <c r="G26" s="52" t="s">
        <v>1802</v>
      </c>
      <c r="H26" s="120"/>
      <c r="I26" s="11" t="b">
        <v>1</v>
      </c>
      <c r="J26" s="47" t="str">
        <f t="shared" si="1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IFERROR(__xludf.DUMMYFUNCTION("""COMPUTED_VALUE"""),"hoekraam")</f>
        <v>hoekraam</v>
      </c>
      <c r="R26" s="49">
        <f>IFERROR(__xludf.DUMMYFUNCTION("""COMPUTED_VALUE"""),6983.0)</f>
        <v>6983</v>
      </c>
      <c r="S26" s="49"/>
    </row>
    <row r="27">
      <c r="A27" s="43">
        <v>4.0</v>
      </c>
      <c r="B27" s="43">
        <v>2.0</v>
      </c>
      <c r="C27" s="111">
        <v>-35.1419754704407</v>
      </c>
      <c r="D27" s="111">
        <v>138.540460558159</v>
      </c>
      <c r="E27" s="43" t="s">
        <v>103</v>
      </c>
      <c r="F27" s="44" t="s">
        <v>112</v>
      </c>
      <c r="G27" s="52" t="s">
        <v>1803</v>
      </c>
      <c r="H27" s="120"/>
      <c r="I27" s="11" t="b">
        <v>1</v>
      </c>
      <c r="J27" s="47" t="str">
        <f t="shared" si="1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IFERROR(__xludf.DUMMYFUNCTION("""COMPUTED_VALUE"""),"ArtofEco")</f>
        <v>ArtofEco</v>
      </c>
      <c r="R27" s="49">
        <f>IFERROR(__xludf.DUMMYFUNCTION("""COMPUTED_VALUE"""),2907.0)</f>
        <v>2907</v>
      </c>
      <c r="S27" s="49"/>
    </row>
    <row r="28">
      <c r="A28" s="43">
        <v>4.0</v>
      </c>
      <c r="B28" s="43">
        <v>3.0</v>
      </c>
      <c r="C28" s="111">
        <v>-35.1419754703138</v>
      </c>
      <c r="D28" s="111">
        <v>138.540636326144</v>
      </c>
      <c r="E28" s="43" t="s">
        <v>98</v>
      </c>
      <c r="F28" s="44" t="s">
        <v>885</v>
      </c>
      <c r="G28" s="45" t="s">
        <v>1804</v>
      </c>
      <c r="H28" s="46"/>
      <c r="I28" s="11" t="b">
        <v>1</v>
      </c>
      <c r="J28" s="47" t="str">
        <f t="shared" si="1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IFERROR(__xludf.DUMMYFUNCTION("""COMPUTED_VALUE"""),"JackSparrow")</f>
        <v>JackSparrow</v>
      </c>
      <c r="R28" s="49">
        <f>IFERROR(__xludf.DUMMYFUNCTION("""COMPUTED_VALUE"""),19431.0)</f>
        <v>19431</v>
      </c>
      <c r="S28" s="49"/>
    </row>
    <row r="29">
      <c r="A29" s="43">
        <v>4.0</v>
      </c>
      <c r="B29" s="43">
        <v>4.0</v>
      </c>
      <c r="C29" s="111">
        <v>-35.1419754701869</v>
      </c>
      <c r="D29" s="111">
        <v>138.540812094129</v>
      </c>
      <c r="E29" s="43" t="s">
        <v>98</v>
      </c>
      <c r="F29" s="44" t="s">
        <v>138</v>
      </c>
      <c r="G29" s="45" t="s">
        <v>1805</v>
      </c>
      <c r="H29" s="46"/>
      <c r="I29" s="11" t="b">
        <v>1</v>
      </c>
      <c r="J29" s="47" t="str">
        <f t="shared" si="1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IFERROR(__xludf.DUMMYFUNCTION("""COMPUTED_VALUE"""),2676.0)</f>
        <v>2676</v>
      </c>
      <c r="S29" s="49"/>
    </row>
    <row r="30">
      <c r="A30" s="43">
        <v>4.0</v>
      </c>
      <c r="B30" s="43">
        <v>5.0</v>
      </c>
      <c r="C30" s="111">
        <v>-35.14197547006</v>
      </c>
      <c r="D30" s="111">
        <v>138.540987862113</v>
      </c>
      <c r="E30" s="43" t="s">
        <v>98</v>
      </c>
      <c r="F30" s="44" t="s">
        <v>950</v>
      </c>
      <c r="G30" s="45" t="s">
        <v>1806</v>
      </c>
      <c r="H30" s="114"/>
      <c r="I30" s="11" t="b">
        <v>1</v>
      </c>
      <c r="J30" s="47" t="str">
        <f t="shared" si="1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IFERROR(__xludf.DUMMYFUNCTION("""COMPUTED_VALUE"""),"babyw")</f>
        <v>babyw</v>
      </c>
      <c r="R30" s="49">
        <f>IFERROR(__xludf.DUMMYFUNCTION("""COMPUTED_VALUE"""),3041.0)</f>
        <v>3041</v>
      </c>
      <c r="S30" s="49"/>
    </row>
    <row r="31">
      <c r="A31" s="43">
        <v>4.0</v>
      </c>
      <c r="B31" s="43">
        <v>6.0</v>
      </c>
      <c r="C31" s="111">
        <v>-35.1419754699331</v>
      </c>
      <c r="D31" s="111">
        <v>138.541163630098</v>
      </c>
      <c r="E31" s="43" t="s">
        <v>103</v>
      </c>
      <c r="F31" s="44" t="s">
        <v>243</v>
      </c>
      <c r="G31" s="65" t="s">
        <v>1807</v>
      </c>
      <c r="H31" s="46"/>
      <c r="I31" s="11" t="b">
        <v>1</v>
      </c>
      <c r="J31" s="47" t="str">
        <f t="shared" si="1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IFERROR(__xludf.DUMMYFUNCTION("""COMPUTED_VALUE"""),"Aniara")</f>
        <v>Aniara</v>
      </c>
      <c r="R31" s="49">
        <f>IFERROR(__xludf.DUMMYFUNCTION("""COMPUTED_VALUE"""),6431.0)</f>
        <v>6431</v>
      </c>
      <c r="S31" s="49"/>
    </row>
    <row r="32">
      <c r="A32" s="43">
        <v>4.0</v>
      </c>
      <c r="B32" s="43">
        <v>7.0</v>
      </c>
      <c r="C32" s="111">
        <v>-35.1419754698062</v>
      </c>
      <c r="D32" s="111">
        <v>138.541339398083</v>
      </c>
      <c r="E32" s="43" t="s">
        <v>98</v>
      </c>
      <c r="F32" s="44" t="s">
        <v>136</v>
      </c>
      <c r="G32" s="45" t="s">
        <v>1808</v>
      </c>
      <c r="H32" s="46"/>
      <c r="I32" s="11" t="b">
        <v>1</v>
      </c>
      <c r="J32" s="47" t="str">
        <f t="shared" si="1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IFERROR(__xludf.DUMMYFUNCTION("""COMPUTED_VALUE"""),"OdinsFiRe")</f>
        <v>OdinsFiRe</v>
      </c>
      <c r="R32" s="49">
        <f>IFERROR(__xludf.DUMMYFUNCTION("""COMPUTED_VALUE"""),1521.0)</f>
        <v>1521</v>
      </c>
      <c r="S32" s="49"/>
    </row>
    <row r="33">
      <c r="A33" s="43">
        <v>4.0</v>
      </c>
      <c r="B33" s="43">
        <v>8.0</v>
      </c>
      <c r="C33" s="111">
        <v>-35.1419754696793</v>
      </c>
      <c r="D33" s="111">
        <v>138.541515166068</v>
      </c>
      <c r="E33" s="43" t="s">
        <v>98</v>
      </c>
      <c r="F33" s="44" t="s">
        <v>1809</v>
      </c>
      <c r="G33" s="45" t="s">
        <v>1810</v>
      </c>
      <c r="H33" s="46"/>
      <c r="I33" s="11" t="b">
        <v>1</v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IFERROR(__xludf.DUMMYFUNCTION("""COMPUTED_VALUE"""),"PhatCapper")</f>
        <v>PhatCapper</v>
      </c>
      <c r="R33" s="49">
        <f>IFERROR(__xludf.DUMMYFUNCTION("""COMPUTED_VALUE"""),784.0)</f>
        <v>784</v>
      </c>
      <c r="S33" s="115">
        <v>44050.0</v>
      </c>
    </row>
    <row r="34">
      <c r="A34" s="43">
        <v>5.0</v>
      </c>
      <c r="B34" s="43">
        <v>1.0</v>
      </c>
      <c r="C34" s="111">
        <v>-35.142119201013</v>
      </c>
      <c r="D34" s="111">
        <v>138.540284798244</v>
      </c>
      <c r="E34" s="43" t="s">
        <v>103</v>
      </c>
      <c r="F34" s="44" t="s">
        <v>116</v>
      </c>
      <c r="G34" s="45" t="s">
        <v>1811</v>
      </c>
      <c r="H34" s="46"/>
      <c r="I34" s="11" t="b">
        <v>1</v>
      </c>
      <c r="J34" s="47" t="str">
        <f t="shared" ref="J34:J59" si="3">if(I34=true,"",S34)</f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IFERROR(__xludf.DUMMYFUNCTION("""COMPUTED_VALUE"""),"fsafranek")</f>
        <v>fsafranek</v>
      </c>
      <c r="R34" s="49">
        <f>IFERROR(__xludf.DUMMYFUNCTION("""COMPUTED_VALUE"""),4261.0)</f>
        <v>4261</v>
      </c>
      <c r="S34" s="49"/>
    </row>
    <row r="35">
      <c r="A35" s="43">
        <v>5.0</v>
      </c>
      <c r="B35" s="43">
        <v>2.0</v>
      </c>
      <c r="C35" s="111">
        <v>-35.1421192008861</v>
      </c>
      <c r="D35" s="111">
        <v>138.540460566539</v>
      </c>
      <c r="E35" s="43" t="s">
        <v>98</v>
      </c>
      <c r="F35" s="44" t="s">
        <v>141</v>
      </c>
      <c r="G35" s="54" t="s">
        <v>1812</v>
      </c>
      <c r="H35" s="120"/>
      <c r="I35" s="11" t="b">
        <v>1</v>
      </c>
      <c r="J35" s="47" t="str">
        <f t="shared" si="3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IFERROR(__xludf.DUMMYFUNCTION("""COMPUTED_VALUE"""),2307.0)</f>
        <v>2307</v>
      </c>
      <c r="S35" s="49"/>
    </row>
    <row r="36">
      <c r="A36" s="43">
        <v>5.0</v>
      </c>
      <c r="B36" s="43">
        <v>3.0</v>
      </c>
      <c r="C36" s="111">
        <v>-35.1421192007592</v>
      </c>
      <c r="D36" s="111">
        <v>138.540636334834</v>
      </c>
      <c r="E36" s="43" t="s">
        <v>103</v>
      </c>
      <c r="F36" s="44" t="s">
        <v>629</v>
      </c>
      <c r="G36" s="52" t="s">
        <v>1813</v>
      </c>
      <c r="H36" s="120"/>
      <c r="I36" s="11" t="b">
        <v>1</v>
      </c>
      <c r="J36" s="47" t="str">
        <f t="shared" si="3"/>
        <v/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IFERROR(__xludf.DUMMYFUNCTION("""COMPUTED_VALUE"""),"IggiePiggie")</f>
        <v>IggiePiggie</v>
      </c>
      <c r="R36" s="49">
        <f>IFERROR(__xludf.DUMMYFUNCTION("""COMPUTED_VALUE"""),1772.0)</f>
        <v>1772</v>
      </c>
      <c r="S36" s="49"/>
    </row>
    <row r="37">
      <c r="A37" s="43">
        <v>5.0</v>
      </c>
      <c r="B37" s="43">
        <v>4.0</v>
      </c>
      <c r="C37" s="111">
        <v>-35.1421192006323</v>
      </c>
      <c r="D37" s="111">
        <v>138.540812103129</v>
      </c>
      <c r="E37" s="43" t="s">
        <v>98</v>
      </c>
      <c r="F37" s="44" t="s">
        <v>122</v>
      </c>
      <c r="G37" s="65" t="s">
        <v>1814</v>
      </c>
      <c r="H37" s="46"/>
      <c r="I37" s="11" t="b">
        <v>1</v>
      </c>
      <c r="J37" s="47" t="str">
        <f t="shared" si="3"/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IFERROR(__xludf.DUMMYFUNCTION("""COMPUTED_VALUE"""),"Drazoria")</f>
        <v>Drazoria</v>
      </c>
      <c r="R37" s="49">
        <f>IFERROR(__xludf.DUMMYFUNCTION("""COMPUTED_VALUE"""),661.0)</f>
        <v>661</v>
      </c>
      <c r="S37" s="49"/>
    </row>
    <row r="38">
      <c r="A38" s="43">
        <v>5.0</v>
      </c>
      <c r="B38" s="43">
        <v>5.0</v>
      </c>
      <c r="C38" s="111">
        <v>-35.1421192005054</v>
      </c>
      <c r="D38" s="111">
        <v>138.540987871424</v>
      </c>
      <c r="E38" s="43" t="s">
        <v>98</v>
      </c>
      <c r="F38" s="44" t="s">
        <v>124</v>
      </c>
      <c r="G38" s="45" t="s">
        <v>1815</v>
      </c>
      <c r="H38" s="46"/>
      <c r="I38" s="11" t="b">
        <v>1</v>
      </c>
      <c r="J38" s="47" t="str">
        <f t="shared" si="3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IFERROR(__xludf.DUMMYFUNCTION("""COMPUTED_VALUE"""),"Tinake1309")</f>
        <v>Tinake1309</v>
      </c>
      <c r="R38" s="49">
        <f>IFERROR(__xludf.DUMMYFUNCTION("""COMPUTED_VALUE"""),668.0)</f>
        <v>668</v>
      </c>
      <c r="S38" s="49"/>
    </row>
    <row r="39">
      <c r="A39" s="43">
        <v>5.0</v>
      </c>
      <c r="B39" s="43">
        <v>6.0</v>
      </c>
      <c r="C39" s="111">
        <v>-35.1421192003785</v>
      </c>
      <c r="D39" s="111">
        <v>138.54116363972</v>
      </c>
      <c r="E39" s="43" t="s">
        <v>98</v>
      </c>
      <c r="F39" s="44" t="s">
        <v>1276</v>
      </c>
      <c r="G39" s="45" t="s">
        <v>1816</v>
      </c>
      <c r="H39" s="46"/>
      <c r="I39" s="11" t="b">
        <v>1</v>
      </c>
      <c r="J39" s="47" t="str">
        <f t="shared" si="3"/>
        <v/>
      </c>
      <c r="K39" s="49" t="str">
        <f>IFERROR(__xludf.DUMMYFUNCTION("IF(M39=1,IFERROR(IMPORTXML(G39, ""//p[@class='status-date']""),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IFERROR(__xludf.DUMMYFUNCTION("""COMPUTED_VALUE"""),"Berg14")</f>
        <v>Berg14</v>
      </c>
      <c r="R39" s="49">
        <f>IFERROR(__xludf.DUMMYFUNCTION("""COMPUTED_VALUE"""),444.0)</f>
        <v>444</v>
      </c>
      <c r="S39" s="49"/>
    </row>
    <row r="40">
      <c r="A40" s="43">
        <v>5.0</v>
      </c>
      <c r="B40" s="43">
        <v>7.0</v>
      </c>
      <c r="C40" s="111">
        <v>-35.1421192002516</v>
      </c>
      <c r="D40" s="111">
        <v>138.541339408015</v>
      </c>
      <c r="E40" s="43" t="s">
        <v>98</v>
      </c>
      <c r="F40" s="44" t="s">
        <v>128</v>
      </c>
      <c r="G40" s="45" t="s">
        <v>1817</v>
      </c>
      <c r="H40" s="46"/>
      <c r="I40" s="11" t="b">
        <v>1</v>
      </c>
      <c r="J40" s="47" t="str">
        <f t="shared" si="3"/>
        <v/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IFERROR(__xludf.DUMMYFUNCTION("""COMPUTED_VALUE"""),"Niks13")</f>
        <v>Niks13</v>
      </c>
      <c r="R40" s="49">
        <f>IFERROR(__xludf.DUMMYFUNCTION("""COMPUTED_VALUE"""),422.0)</f>
        <v>422</v>
      </c>
      <c r="S40" s="49"/>
    </row>
    <row r="41">
      <c r="A41" s="43">
        <v>5.0</v>
      </c>
      <c r="B41" s="43">
        <v>8.0</v>
      </c>
      <c r="C41" s="111">
        <v>-35.1421192001247</v>
      </c>
      <c r="D41" s="111">
        <v>138.54151517631</v>
      </c>
      <c r="E41" s="43" t="s">
        <v>98</v>
      </c>
      <c r="F41" s="44" t="s">
        <v>1818</v>
      </c>
      <c r="G41" s="54" t="s">
        <v>1819</v>
      </c>
      <c r="H41" s="120"/>
      <c r="I41" s="11" t="b">
        <v>1</v>
      </c>
      <c r="J41" s="47" t="str">
        <f t="shared" si="3"/>
        <v/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IFERROR(__xludf.DUMMYFUNCTION("""COMPUTED_VALUE"""),"GroteSufferd")</f>
        <v>GroteSufferd</v>
      </c>
      <c r="R41" s="49">
        <f>IFERROR(__xludf.DUMMYFUNCTION("""COMPUTED_VALUE"""),308.0)</f>
        <v>308</v>
      </c>
      <c r="S41" s="49"/>
    </row>
    <row r="42">
      <c r="A42" s="43">
        <v>6.0</v>
      </c>
      <c r="B42" s="43">
        <v>1.0</v>
      </c>
      <c r="C42" s="111">
        <v>-35.1422629314585</v>
      </c>
      <c r="D42" s="111">
        <v>138.540284806313</v>
      </c>
      <c r="E42" s="43" t="s">
        <v>98</v>
      </c>
      <c r="F42" s="44" t="s">
        <v>1094</v>
      </c>
      <c r="G42" s="45" t="s">
        <v>1820</v>
      </c>
      <c r="H42" s="46"/>
      <c r="I42" s="11" t="b">
        <v>1</v>
      </c>
      <c r="J42" s="47" t="str">
        <f t="shared" si="3"/>
        <v/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IFERROR(__xludf.DUMMYFUNCTION("""COMPUTED_VALUE"""),"Questing4")</f>
        <v>Questing4</v>
      </c>
      <c r="R42" s="49">
        <f>IFERROR(__xludf.DUMMYFUNCTION("""COMPUTED_VALUE"""),7110.0)</f>
        <v>7110</v>
      </c>
      <c r="S42" s="49"/>
    </row>
    <row r="43">
      <c r="A43" s="43">
        <v>6.0</v>
      </c>
      <c r="B43" s="43">
        <v>2.0</v>
      </c>
      <c r="C43" s="111">
        <v>-35.1422629313316</v>
      </c>
      <c r="D43" s="111">
        <v>138.540460574919</v>
      </c>
      <c r="E43" s="43" t="s">
        <v>98</v>
      </c>
      <c r="F43" s="44" t="s">
        <v>149</v>
      </c>
      <c r="G43" s="65" t="s">
        <v>1821</v>
      </c>
      <c r="H43" s="46"/>
      <c r="I43" s="11" t="b">
        <v>1</v>
      </c>
      <c r="J43" s="47" t="str">
        <f t="shared" si="3"/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IFERROR(__xludf.DUMMYFUNCTION("""COMPUTED_VALUE"""),"Bisquick2")</f>
        <v>Bisquick2</v>
      </c>
      <c r="R43" s="49">
        <f>IFERROR(__xludf.DUMMYFUNCTION("""COMPUTED_VALUE"""),4004.0)</f>
        <v>4004</v>
      </c>
      <c r="S43" s="49"/>
    </row>
    <row r="44">
      <c r="A44" s="43">
        <v>6.0</v>
      </c>
      <c r="B44" s="43">
        <v>3.0</v>
      </c>
      <c r="C44" s="111">
        <v>-35.1422629312047</v>
      </c>
      <c r="D44" s="111">
        <v>138.540636343524</v>
      </c>
      <c r="E44" s="43" t="s">
        <v>103</v>
      </c>
      <c r="F44" s="44" t="s">
        <v>134</v>
      </c>
      <c r="G44" s="45" t="s">
        <v>1822</v>
      </c>
      <c r="H44" s="46"/>
      <c r="I44" s="11" t="b">
        <v>1</v>
      </c>
      <c r="J44" s="47" t="str">
        <f t="shared" si="3"/>
        <v/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IFERROR(__xludf.DUMMYFUNCTION("""COMPUTED_VALUE"""),"Wangotango")</f>
        <v>Wangotango</v>
      </c>
      <c r="R44" s="49">
        <f>IFERROR(__xludf.DUMMYFUNCTION("""COMPUTED_VALUE"""),1406.0)</f>
        <v>1406</v>
      </c>
      <c r="S44" s="49"/>
    </row>
    <row r="45">
      <c r="A45" s="43">
        <v>6.0</v>
      </c>
      <c r="B45" s="43">
        <v>4.0</v>
      </c>
      <c r="C45" s="111">
        <v>-35.1422629310778</v>
      </c>
      <c r="D45" s="111">
        <v>138.54081211213</v>
      </c>
      <c r="E45" s="43" t="s">
        <v>98</v>
      </c>
      <c r="F45" s="44" t="s">
        <v>1025</v>
      </c>
      <c r="G45" s="65" t="s">
        <v>1823</v>
      </c>
      <c r="H45" s="46"/>
      <c r="I45" s="11" t="b">
        <v>1</v>
      </c>
      <c r="J45" s="47" t="str">
        <f t="shared" si="3"/>
        <v/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IFERROR(__xludf.DUMMYFUNCTION("""COMPUTED_VALUE"""),"upapou")</f>
        <v>upapou</v>
      </c>
      <c r="R45" s="49">
        <f>IFERROR(__xludf.DUMMYFUNCTION("""COMPUTED_VALUE"""),1007.0)</f>
        <v>1007</v>
      </c>
      <c r="S45" s="49"/>
    </row>
    <row r="46">
      <c r="A46" s="43">
        <v>6.0</v>
      </c>
      <c r="B46" s="43">
        <v>5.0</v>
      </c>
      <c r="C46" s="111">
        <v>-35.1422629309508</v>
      </c>
      <c r="D46" s="111">
        <v>138.540987880736</v>
      </c>
      <c r="E46" s="43" t="s">
        <v>98</v>
      </c>
      <c r="F46" s="44" t="s">
        <v>108</v>
      </c>
      <c r="G46" s="45" t="s">
        <v>1824</v>
      </c>
      <c r="H46" s="46"/>
      <c r="I46" s="11" t="b">
        <v>1</v>
      </c>
      <c r="J46" s="47" t="str">
        <f t="shared" si="3"/>
        <v/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IFERROR(__xludf.DUMMYFUNCTION("""COMPUTED_VALUE"""),"Bungle")</f>
        <v>Bungle</v>
      </c>
      <c r="R46" s="49">
        <f>IFERROR(__xludf.DUMMYFUNCTION("""COMPUTED_VALUE"""),2734.0)</f>
        <v>2734</v>
      </c>
      <c r="S46" s="49"/>
    </row>
    <row r="47">
      <c r="A47" s="43">
        <v>6.0</v>
      </c>
      <c r="B47" s="43">
        <v>6.0</v>
      </c>
      <c r="C47" s="111">
        <v>-35.1422629308239</v>
      </c>
      <c r="D47" s="111">
        <v>138.541163649341</v>
      </c>
      <c r="E47" s="43" t="s">
        <v>103</v>
      </c>
      <c r="F47" s="44" t="s">
        <v>1092</v>
      </c>
      <c r="G47" s="45" t="s">
        <v>1825</v>
      </c>
      <c r="H47" s="46"/>
      <c r="I47" s="11" t="b">
        <v>1</v>
      </c>
      <c r="J47" s="47" t="str">
        <f t="shared" si="3"/>
        <v/>
      </c>
      <c r="K47" s="49" t="str">
        <f>IFERROR(__xludf.DUMMYFUNCTION("IF(M47=1,IFERROR(IMPORTXML(G47, ""//p[@class='status-date']""),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IFERROR(__xludf.DUMMYFUNCTION("""COMPUTED_VALUE"""),"belladivadee")</f>
        <v>belladivadee</v>
      </c>
      <c r="R47" s="49">
        <f>IFERROR(__xludf.DUMMYFUNCTION("""COMPUTED_VALUE"""),2962.0)</f>
        <v>2962</v>
      </c>
      <c r="S47" s="49"/>
    </row>
    <row r="48">
      <c r="A48" s="43">
        <v>6.0</v>
      </c>
      <c r="B48" s="43">
        <v>7.0</v>
      </c>
      <c r="C48" s="111">
        <v>-35.1422629306971</v>
      </c>
      <c r="D48" s="111">
        <v>138.541339417947</v>
      </c>
      <c r="E48" s="43" t="s">
        <v>98</v>
      </c>
      <c r="F48" s="44" t="s">
        <v>145</v>
      </c>
      <c r="G48" s="52" t="s">
        <v>1826</v>
      </c>
      <c r="H48" s="120"/>
      <c r="I48" s="11" t="b">
        <v>1</v>
      </c>
      <c r="J48" s="47" t="str">
        <f t="shared" si="3"/>
        <v/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IFERROR(__xludf.DUMMYFUNCTION("""COMPUTED_VALUE"""),4048.0)</f>
        <v>4048</v>
      </c>
      <c r="S48" s="49"/>
    </row>
    <row r="49">
      <c r="A49" s="43">
        <v>6.0</v>
      </c>
      <c r="B49" s="43">
        <v>8.0</v>
      </c>
      <c r="C49" s="111">
        <v>-35.1422629305702</v>
      </c>
      <c r="D49" s="111">
        <v>138.541515186552</v>
      </c>
      <c r="E49" s="43" t="s">
        <v>98</v>
      </c>
      <c r="F49" s="44" t="s">
        <v>147</v>
      </c>
      <c r="G49" s="45" t="s">
        <v>1827</v>
      </c>
      <c r="H49" s="46"/>
      <c r="I49" s="11" t="b">
        <v>1</v>
      </c>
      <c r="J49" s="47" t="str">
        <f t="shared" si="3"/>
        <v/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IFERROR(__xludf.DUMMYFUNCTION("""COMPUTED_VALUE"""),6730.0)</f>
        <v>6730</v>
      </c>
      <c r="S49" s="49"/>
    </row>
    <row r="50">
      <c r="A50" s="43">
        <v>7.0</v>
      </c>
      <c r="B50" s="43">
        <v>2.0</v>
      </c>
      <c r="C50" s="111">
        <v>-35.142406661777</v>
      </c>
      <c r="D50" s="111">
        <v>138.540460583299</v>
      </c>
      <c r="E50" s="43" t="s">
        <v>103</v>
      </c>
      <c r="F50" s="44" t="s">
        <v>120</v>
      </c>
      <c r="G50" s="45" t="s">
        <v>1828</v>
      </c>
      <c r="H50" s="46"/>
      <c r="I50" s="11" t="b">
        <v>1</v>
      </c>
      <c r="J50" s="47" t="str">
        <f t="shared" si="3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IFERROR(__xludf.DUMMYFUNCTION("""COMPUTED_VALUE"""),"xrayneex")</f>
        <v>xrayneex</v>
      </c>
      <c r="R50" s="49">
        <f>IFERROR(__xludf.DUMMYFUNCTION("""COMPUTED_VALUE"""),1305.0)</f>
        <v>1305</v>
      </c>
      <c r="S50" s="49"/>
    </row>
    <row r="51">
      <c r="A51" s="43">
        <v>7.0</v>
      </c>
      <c r="B51" s="43">
        <v>3.0</v>
      </c>
      <c r="C51" s="111">
        <v>-35.1424066616501</v>
      </c>
      <c r="D51" s="111">
        <v>138.540636352215</v>
      </c>
      <c r="E51" s="43" t="s">
        <v>98</v>
      </c>
      <c r="F51" s="44" t="s">
        <v>1829</v>
      </c>
      <c r="G51" s="45" t="s">
        <v>1830</v>
      </c>
      <c r="H51" s="44"/>
      <c r="I51" s="11" t="b">
        <v>1</v>
      </c>
      <c r="J51" s="47" t="str">
        <f t="shared" si="3"/>
        <v/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IFERROR(__xludf.DUMMYFUNCTION("""COMPUTED_VALUE"""),"PhatCapper")</f>
        <v>PhatCapper</v>
      </c>
      <c r="R51" s="49">
        <f>IFERROR(__xludf.DUMMYFUNCTION("""COMPUTED_VALUE"""),758.0)</f>
        <v>758</v>
      </c>
      <c r="S51" s="49"/>
    </row>
    <row r="52">
      <c r="A52" s="43">
        <v>7.0</v>
      </c>
      <c r="B52" s="43">
        <v>4.0</v>
      </c>
      <c r="C52" s="111">
        <v>-35.1424066615232</v>
      </c>
      <c r="D52" s="111">
        <v>138.540812121131</v>
      </c>
      <c r="E52" s="43" t="s">
        <v>98</v>
      </c>
      <c r="F52" s="44" t="s">
        <v>182</v>
      </c>
      <c r="G52" s="45" t="s">
        <v>1831</v>
      </c>
      <c r="H52" s="44"/>
      <c r="I52" s="11" t="b">
        <v>1</v>
      </c>
      <c r="J52" s="47" t="str">
        <f t="shared" si="3"/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IFERROR(__xludf.DUMMYFUNCTION("""COMPUTED_VALUE"""),"TheFatCats")</f>
        <v>TheFatCats</v>
      </c>
      <c r="R52" s="49">
        <f>IFERROR(__xludf.DUMMYFUNCTION("""COMPUTED_VALUE"""),3637.0)</f>
        <v>3637</v>
      </c>
      <c r="S52" s="49"/>
    </row>
    <row r="53">
      <c r="A53" s="43">
        <v>7.0</v>
      </c>
      <c r="B53" s="43">
        <v>5.0</v>
      </c>
      <c r="C53" s="111">
        <v>-35.1424066613963</v>
      </c>
      <c r="D53" s="111">
        <v>138.540987890047</v>
      </c>
      <c r="E53" s="43" t="s">
        <v>98</v>
      </c>
      <c r="F53" s="44" t="s">
        <v>1197</v>
      </c>
      <c r="G53" s="45" t="s">
        <v>1832</v>
      </c>
      <c r="H53" s="44"/>
      <c r="I53" s="11" t="b">
        <v>1</v>
      </c>
      <c r="J53" s="47" t="str">
        <f t="shared" si="3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IFERROR(__xludf.DUMMYFUNCTION("""COMPUTED_VALUE"""),"KublaKhan")</f>
        <v>KublaKhan</v>
      </c>
      <c r="R53" s="49">
        <f>IFERROR(__xludf.DUMMYFUNCTION("""COMPUTED_VALUE"""),693.0)</f>
        <v>693</v>
      </c>
      <c r="S53" s="49"/>
    </row>
    <row r="54">
      <c r="A54" s="43">
        <v>7.0</v>
      </c>
      <c r="B54" s="43">
        <v>6.0</v>
      </c>
      <c r="C54" s="111">
        <v>-35.1424066612695</v>
      </c>
      <c r="D54" s="111">
        <v>138.541163658963</v>
      </c>
      <c r="E54" s="43" t="s">
        <v>98</v>
      </c>
      <c r="F54" s="44" t="s">
        <v>1407</v>
      </c>
      <c r="G54" s="65" t="s">
        <v>1833</v>
      </c>
      <c r="H54" s="46"/>
      <c r="I54" s="11" t="b">
        <v>1</v>
      </c>
      <c r="J54" s="47" t="str">
        <f t="shared" si="3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IFERROR(__xludf.DUMMYFUNCTION("""COMPUTED_VALUE"""),"Beermaven")</f>
        <v>Beermaven</v>
      </c>
      <c r="R54" s="49">
        <f>IFERROR(__xludf.DUMMYFUNCTION("""COMPUTED_VALUE"""),2926.0)</f>
        <v>2926</v>
      </c>
      <c r="S54" s="49"/>
    </row>
    <row r="55">
      <c r="A55" s="43">
        <v>7.0</v>
      </c>
      <c r="B55" s="43">
        <v>7.0</v>
      </c>
      <c r="C55" s="111">
        <v>-35.1424066611426</v>
      </c>
      <c r="D55" s="111">
        <v>138.541339427879</v>
      </c>
      <c r="E55" s="43" t="s">
        <v>98</v>
      </c>
      <c r="F55" s="44" t="s">
        <v>101</v>
      </c>
      <c r="G55" s="45" t="s">
        <v>1834</v>
      </c>
      <c r="H55" s="118"/>
      <c r="I55" s="11" t="b">
        <v>1</v>
      </c>
      <c r="J55" s="47" t="str">
        <f t="shared" si="3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IFERROR(__xludf.DUMMYFUNCTION("""COMPUTED_VALUE"""),"sverlaan")</f>
        <v>sverlaan</v>
      </c>
      <c r="R55" s="49">
        <f>IFERROR(__xludf.DUMMYFUNCTION("""COMPUTED_VALUE"""),4193.0)</f>
        <v>4193</v>
      </c>
      <c r="S55" s="51">
        <v>44043.549998206014</v>
      </c>
    </row>
    <row r="56">
      <c r="A56" s="43">
        <v>8.0</v>
      </c>
      <c r="B56" s="43">
        <v>3.0</v>
      </c>
      <c r="C56" s="111">
        <v>-35.1425503920956</v>
      </c>
      <c r="D56" s="111">
        <v>138.540636360906</v>
      </c>
      <c r="E56" s="43" t="s">
        <v>98</v>
      </c>
      <c r="F56" s="44" t="s">
        <v>1119</v>
      </c>
      <c r="G56" s="45" t="s">
        <v>1835</v>
      </c>
      <c r="H56" s="46"/>
      <c r="I56" s="11" t="b">
        <v>1</v>
      </c>
      <c r="J56" s="47" t="str">
        <f t="shared" si="3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IFERROR(__xludf.DUMMYFUNCTION("""COMPUTED_VALUE"""),"PawPatrolThomas")</f>
        <v>PawPatrolThomas</v>
      </c>
      <c r="R56" s="49">
        <f>IFERROR(__xludf.DUMMYFUNCTION("""COMPUTED_VALUE"""),2283.0)</f>
        <v>2283</v>
      </c>
      <c r="S56" s="51">
        <v>44047.92064693287</v>
      </c>
    </row>
    <row r="57">
      <c r="A57" s="43">
        <v>8.0</v>
      </c>
      <c r="B57" s="43">
        <v>4.0</v>
      </c>
      <c r="C57" s="111">
        <v>-35.1425503919687</v>
      </c>
      <c r="D57" s="111">
        <v>138.540812130132</v>
      </c>
      <c r="E57" s="43" t="s">
        <v>103</v>
      </c>
      <c r="F57" s="44" t="s">
        <v>136</v>
      </c>
      <c r="G57" s="65" t="s">
        <v>1836</v>
      </c>
      <c r="H57" s="46"/>
      <c r="I57" s="11" t="b">
        <v>1</v>
      </c>
      <c r="J57" s="47" t="str">
        <f t="shared" si="3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IFERROR(__xludf.DUMMYFUNCTION("""COMPUTED_VALUE"""),"OdinsFiRe")</f>
        <v>OdinsFiRe</v>
      </c>
      <c r="R57" s="49">
        <f>IFERROR(__xludf.DUMMYFUNCTION("""COMPUTED_VALUE"""),1527.0)</f>
        <v>1527</v>
      </c>
      <c r="S57" s="49"/>
    </row>
    <row r="58">
      <c r="A58" s="43">
        <v>8.0</v>
      </c>
      <c r="B58" s="43">
        <v>5.0</v>
      </c>
      <c r="C58" s="111">
        <v>-35.1425503918418</v>
      </c>
      <c r="D58" s="111">
        <v>138.540987899359</v>
      </c>
      <c r="E58" s="43" t="s">
        <v>103</v>
      </c>
      <c r="F58" s="44" t="s">
        <v>141</v>
      </c>
      <c r="G58" s="52" t="s">
        <v>1837</v>
      </c>
      <c r="H58" s="120"/>
      <c r="I58" s="11" t="b">
        <v>1</v>
      </c>
      <c r="J58" s="47" t="str">
        <f t="shared" si="3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IFERROR(__xludf.DUMMYFUNCTION("""COMPUTED_VALUE"""),"cbf600")</f>
        <v>cbf600</v>
      </c>
      <c r="R58" s="49">
        <f>IFERROR(__xludf.DUMMYFUNCTION("""COMPUTED_VALUE"""),2339.0)</f>
        <v>2339</v>
      </c>
      <c r="S58" s="49"/>
    </row>
    <row r="59">
      <c r="A59" s="43">
        <v>8.0</v>
      </c>
      <c r="B59" s="43">
        <v>6.0</v>
      </c>
      <c r="C59" s="111">
        <v>-35.1425503917149</v>
      </c>
      <c r="D59" s="111">
        <v>138.541163668585</v>
      </c>
      <c r="E59" s="43" t="s">
        <v>98</v>
      </c>
      <c r="F59" s="44" t="s">
        <v>985</v>
      </c>
      <c r="G59" s="45" t="s">
        <v>1838</v>
      </c>
      <c r="H59" s="46"/>
      <c r="I59" s="11" t="b">
        <v>1</v>
      </c>
      <c r="J59" s="47" t="str">
        <f t="shared" si="3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IFERROR(__xludf.DUMMYFUNCTION("""COMPUTED_VALUE"""),"LonelyWalker")</f>
        <v>LonelyWalker</v>
      </c>
      <c r="R59" s="49">
        <f>IFERROR(__xludf.DUMMYFUNCTION("""COMPUTED_VALUE"""),392.0)</f>
        <v>392</v>
      </c>
      <c r="S59" s="49"/>
    </row>
    <row r="60">
      <c r="C60" s="116"/>
      <c r="D60" s="116"/>
      <c r="H60" s="134"/>
    </row>
    <row r="61" hidden="1">
      <c r="C61" s="116"/>
      <c r="D61" s="116"/>
      <c r="F61" s="47">
        <f t="shared" ref="F61:G61" si="4">COUNTIF(F8:F59,"")</f>
        <v>0</v>
      </c>
      <c r="G61" s="47">
        <f t="shared" si="4"/>
        <v>0</v>
      </c>
      <c r="I61" s="47">
        <f>COUNTIF(I8:I59,TRUE)</f>
        <v>52</v>
      </c>
    </row>
    <row r="62" hidden="1">
      <c r="C62" s="116"/>
      <c r="D62" s="116"/>
    </row>
    <row r="63" hidden="1">
      <c r="C63" s="116"/>
      <c r="D63" s="116"/>
    </row>
    <row r="64" hidden="1">
      <c r="C64" s="116"/>
      <c r="D64" s="116"/>
    </row>
    <row r="65">
      <c r="C65" s="116"/>
      <c r="D65" s="116"/>
    </row>
    <row r="66">
      <c r="C66" s="116"/>
      <c r="D66" s="116"/>
    </row>
    <row r="67">
      <c r="C67" s="116"/>
      <c r="D67" s="116"/>
    </row>
    <row r="68">
      <c r="C68" s="116"/>
      <c r="D68" s="116"/>
    </row>
    <row r="69">
      <c r="C69" s="116"/>
      <c r="D69" s="116"/>
    </row>
    <row r="70">
      <c r="C70" s="116"/>
      <c r="D70" s="116"/>
    </row>
    <row r="71">
      <c r="C71" s="116"/>
      <c r="D71" s="116"/>
    </row>
    <row r="72">
      <c r="C72" s="116"/>
      <c r="D72" s="116"/>
    </row>
    <row r="73">
      <c r="C73" s="116"/>
      <c r="D73" s="116"/>
    </row>
    <row r="74">
      <c r="C74" s="116"/>
      <c r="D74" s="116"/>
    </row>
    <row r="75">
      <c r="C75" s="116"/>
      <c r="D75" s="116"/>
    </row>
    <row r="76">
      <c r="C76" s="116"/>
      <c r="D76" s="116"/>
    </row>
    <row r="77">
      <c r="C77" s="116"/>
      <c r="D77" s="116"/>
    </row>
    <row r="78">
      <c r="C78" s="116"/>
      <c r="D78" s="116"/>
    </row>
    <row r="79">
      <c r="C79" s="116"/>
      <c r="D79" s="116"/>
    </row>
    <row r="80">
      <c r="C80" s="116"/>
      <c r="D80" s="116"/>
    </row>
    <row r="81">
      <c r="C81" s="116"/>
      <c r="D81" s="116"/>
    </row>
    <row r="82">
      <c r="C82" s="116"/>
      <c r="D82" s="116"/>
    </row>
    <row r="83">
      <c r="C83" s="116"/>
      <c r="D83" s="116"/>
    </row>
    <row r="84">
      <c r="C84" s="116"/>
      <c r="D84" s="116"/>
    </row>
    <row r="85">
      <c r="C85" s="116"/>
      <c r="D85" s="116"/>
    </row>
    <row r="86">
      <c r="C86" s="116"/>
      <c r="D86" s="116"/>
    </row>
    <row r="87">
      <c r="C87" s="116"/>
      <c r="D87" s="116"/>
    </row>
    <row r="88">
      <c r="C88" s="116"/>
      <c r="D88" s="116"/>
    </row>
    <row r="89">
      <c r="C89" s="116"/>
      <c r="D89" s="116"/>
    </row>
    <row r="90">
      <c r="C90" s="116"/>
      <c r="D90" s="116"/>
    </row>
    <row r="91">
      <c r="C91" s="116"/>
      <c r="D91" s="116"/>
    </row>
    <row r="92">
      <c r="C92" s="116"/>
      <c r="D92" s="116"/>
    </row>
    <row r="93">
      <c r="C93" s="116"/>
      <c r="D93" s="116"/>
    </row>
  </sheetData>
  <mergeCells count="3">
    <mergeCell ref="B1:C1"/>
    <mergeCell ref="H1:H2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3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0"/>
    <col customWidth="1" min="2" max="2" width="7.13"/>
    <col customWidth="1" min="3" max="3" width="15.5"/>
    <col customWidth="1" min="4" max="4" width="13.13"/>
    <col customWidth="1" min="5" max="5" width="18.38"/>
    <col customWidth="1" min="6" max="6" width="13.75"/>
    <col customWidth="1" min="7" max="7" width="43.88"/>
    <col customWidth="1" min="8" max="8" width="14.2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33</v>
      </c>
      <c r="B1" s="37" t="s">
        <v>34</v>
      </c>
      <c r="D1" s="153"/>
      <c r="E1" s="2" t="s">
        <v>79</v>
      </c>
      <c r="F1" s="24" t="s">
        <v>885</v>
      </c>
      <c r="G1" s="154" t="s">
        <v>1839</v>
      </c>
      <c r="H1" s="97" t="s">
        <v>769</v>
      </c>
      <c r="I1" s="2"/>
      <c r="J1" s="15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108"/>
      <c r="D2" s="156"/>
      <c r="E2" s="2" t="s">
        <v>82</v>
      </c>
      <c r="F2" s="2"/>
      <c r="G2" s="4" t="s">
        <v>1840</v>
      </c>
      <c r="I2" s="2"/>
      <c r="J2" s="15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108"/>
      <c r="D3" s="156"/>
      <c r="E3" s="2" t="s">
        <v>11</v>
      </c>
      <c r="F3" s="2">
        <f>52-F61-F5</f>
        <v>0</v>
      </c>
      <c r="G3" s="2"/>
      <c r="H3" s="2"/>
      <c r="I3" s="2"/>
      <c r="J3" s="15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108"/>
      <c r="D4" s="156"/>
      <c r="E4" s="2" t="s">
        <v>84</v>
      </c>
      <c r="F4" s="2">
        <f>F61</f>
        <v>0</v>
      </c>
      <c r="G4" s="2"/>
      <c r="H4" s="2"/>
      <c r="I4" s="2"/>
      <c r="J4" s="15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109"/>
      <c r="D5" s="157"/>
      <c r="E5" s="2" t="s">
        <v>13</v>
      </c>
      <c r="F5" s="2">
        <f>I61</f>
        <v>52</v>
      </c>
      <c r="G5" s="39">
        <f>F5/52</f>
        <v>1</v>
      </c>
      <c r="H5" s="38"/>
      <c r="I5" s="38"/>
      <c r="J5" s="158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109"/>
      <c r="D6" s="157"/>
      <c r="E6" s="38"/>
      <c r="F6" s="38"/>
      <c r="G6" s="38"/>
      <c r="H6" s="38"/>
      <c r="I6" s="38"/>
      <c r="J6" s="159"/>
    </row>
    <row r="7">
      <c r="A7" s="41" t="s">
        <v>85</v>
      </c>
      <c r="B7" s="41" t="s">
        <v>86</v>
      </c>
      <c r="C7" s="110" t="s">
        <v>87</v>
      </c>
      <c r="D7" s="160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6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111">
        <v>-31.8173026349038</v>
      </c>
      <c r="D8" s="162">
        <v>115.796600015542</v>
      </c>
      <c r="E8" s="43" t="s">
        <v>98</v>
      </c>
      <c r="F8" s="44" t="s">
        <v>922</v>
      </c>
      <c r="G8" s="45" t="s">
        <v>1841</v>
      </c>
      <c r="H8" s="46"/>
      <c r="I8" s="11" t="b">
        <v>1</v>
      </c>
      <c r="J8" s="159" t="str">
        <f t="shared" ref="J8:J59" si="1">if(I8=true,"",S8)</f>
        <v/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IFERROR(__xludf.DUMMYFUNCTION("""COMPUTED_VALUE"""),"DHitz")</f>
        <v>DHitz</v>
      </c>
      <c r="R8" s="49">
        <f>IFERROR(__xludf.DUMMYFUNCTION("""COMPUTED_VALUE"""),3707.0)</f>
        <v>3707</v>
      </c>
      <c r="S8" s="49"/>
    </row>
    <row r="9">
      <c r="A9" s="43">
        <v>1.0</v>
      </c>
      <c r="B9" s="43">
        <v>4.0</v>
      </c>
      <c r="C9" s="111">
        <v>-31.817302634792</v>
      </c>
      <c r="D9" s="162">
        <v>115.796769163213</v>
      </c>
      <c r="E9" s="43" t="s">
        <v>98</v>
      </c>
      <c r="F9" s="44" t="s">
        <v>920</v>
      </c>
      <c r="G9" s="65" t="s">
        <v>1842</v>
      </c>
      <c r="H9" s="46"/>
      <c r="I9" s="11" t="b">
        <v>1</v>
      </c>
      <c r="J9" s="159" t="str">
        <f t="shared" si="1"/>
        <v/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IFERROR(__xludf.DUMMYFUNCTION("""COMPUTED_VALUE"""),"FromTheTardis")</f>
        <v>FromTheTardis</v>
      </c>
      <c r="R9" s="49">
        <f>IFERROR(__xludf.DUMMYFUNCTION("""COMPUTED_VALUE"""),1332.0)</f>
        <v>1332</v>
      </c>
      <c r="S9" s="49"/>
    </row>
    <row r="10">
      <c r="A10" s="43">
        <v>1.0</v>
      </c>
      <c r="B10" s="43">
        <v>5.0</v>
      </c>
      <c r="C10" s="111">
        <v>-31.8173026346801</v>
      </c>
      <c r="D10" s="162">
        <v>115.796938310883</v>
      </c>
      <c r="E10" s="43" t="s">
        <v>103</v>
      </c>
      <c r="F10" s="44" t="s">
        <v>178</v>
      </c>
      <c r="G10" s="45" t="s">
        <v>1843</v>
      </c>
      <c r="H10" s="46"/>
      <c r="I10" s="11" t="b">
        <v>1</v>
      </c>
      <c r="J10" s="159" t="str">
        <f t="shared" si="1"/>
        <v/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IFERROR(__xludf.DUMMYFUNCTION("""COMPUTED_VALUE"""),"lison55")</f>
        <v>lison55</v>
      </c>
      <c r="R10" s="49">
        <f>IFERROR(__xludf.DUMMYFUNCTION("""COMPUTED_VALUE"""),5159.0)</f>
        <v>5159</v>
      </c>
      <c r="S10" s="49"/>
    </row>
    <row r="11">
      <c r="A11" s="43">
        <v>1.0</v>
      </c>
      <c r="B11" s="43">
        <v>6.0</v>
      </c>
      <c r="C11" s="111">
        <v>-31.8173026345683</v>
      </c>
      <c r="D11" s="162">
        <v>115.797107458554</v>
      </c>
      <c r="E11" s="43" t="s">
        <v>103</v>
      </c>
      <c r="F11" s="44" t="s">
        <v>608</v>
      </c>
      <c r="G11" s="65" t="s">
        <v>1844</v>
      </c>
      <c r="H11" s="46"/>
      <c r="I11" s="11" t="b">
        <v>1</v>
      </c>
      <c r="J11" s="159" t="str">
        <f t="shared" si="1"/>
        <v/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IFERROR(__xludf.DUMMYFUNCTION("""COMPUTED_VALUE"""),"Andrew81")</f>
        <v>Andrew81</v>
      </c>
      <c r="R11" s="49">
        <f>IFERROR(__xludf.DUMMYFUNCTION("""COMPUTED_VALUE"""),1340.0)</f>
        <v>1340</v>
      </c>
      <c r="S11" s="49"/>
    </row>
    <row r="12">
      <c r="A12" s="43">
        <v>2.0</v>
      </c>
      <c r="B12" s="43">
        <v>2.0</v>
      </c>
      <c r="C12" s="111">
        <v>-31.8174463654611</v>
      </c>
      <c r="D12" s="162">
        <v>115.796430874981</v>
      </c>
      <c r="E12" s="43" t="s">
        <v>98</v>
      </c>
      <c r="F12" s="44" t="s">
        <v>926</v>
      </c>
      <c r="G12" s="45" t="s">
        <v>1845</v>
      </c>
      <c r="H12" s="44"/>
      <c r="I12" s="11" t="b">
        <v>1</v>
      </c>
      <c r="J12" s="159" t="str">
        <f t="shared" si="1"/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IFERROR(__xludf.DUMMYFUNCTION("""COMPUTED_VALUE"""),"Lanyasummer")</f>
        <v>Lanyasummer</v>
      </c>
      <c r="R12" s="49">
        <f>IFERROR(__xludf.DUMMYFUNCTION("""COMPUTED_VALUE"""),4104.0)</f>
        <v>4104</v>
      </c>
      <c r="S12" s="49"/>
    </row>
    <row r="13">
      <c r="A13" s="43">
        <v>2.0</v>
      </c>
      <c r="B13" s="43">
        <v>3.0</v>
      </c>
      <c r="C13" s="111">
        <v>-31.8174463653493</v>
      </c>
      <c r="D13" s="162">
        <v>115.796600022915</v>
      </c>
      <c r="E13" s="43" t="s">
        <v>98</v>
      </c>
      <c r="F13" s="44" t="s">
        <v>114</v>
      </c>
      <c r="G13" s="65" t="s">
        <v>1846</v>
      </c>
      <c r="H13" s="44"/>
      <c r="I13" s="11" t="b">
        <v>1</v>
      </c>
      <c r="J13" s="159" t="str">
        <f t="shared" si="1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IFERROR(__xludf.DUMMYFUNCTION("""COMPUTED_VALUE"""),"J1Huisman")</f>
        <v>J1Huisman</v>
      </c>
      <c r="R13" s="49">
        <f>IFERROR(__xludf.DUMMYFUNCTION("""COMPUTED_VALUE"""),11168.0)</f>
        <v>11168</v>
      </c>
      <c r="S13" s="49"/>
    </row>
    <row r="14">
      <c r="A14" s="43">
        <v>2.0</v>
      </c>
      <c r="B14" s="43">
        <v>4.0</v>
      </c>
      <c r="C14" s="111">
        <v>-31.8174463652374</v>
      </c>
      <c r="D14" s="162">
        <v>115.796769170848</v>
      </c>
      <c r="E14" s="43" t="s">
        <v>98</v>
      </c>
      <c r="F14" s="44" t="s">
        <v>169</v>
      </c>
      <c r="G14" s="45" t="s">
        <v>1847</v>
      </c>
      <c r="H14" s="44"/>
      <c r="I14" s="11" t="b">
        <v>1</v>
      </c>
      <c r="J14" s="159" t="str">
        <f t="shared" si="1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IFERROR(__xludf.DUMMYFUNCTION("""COMPUTED_VALUE"""),"Pinkeltje")</f>
        <v>Pinkeltje</v>
      </c>
      <c r="R14" s="49">
        <f>IFERROR(__xludf.DUMMYFUNCTION("""COMPUTED_VALUE"""),1068.0)</f>
        <v>1068</v>
      </c>
      <c r="S14" s="49"/>
    </row>
    <row r="15">
      <c r="A15" s="43">
        <v>2.0</v>
      </c>
      <c r="B15" s="43">
        <v>5.0</v>
      </c>
      <c r="C15" s="111">
        <v>-31.8174463651256</v>
      </c>
      <c r="D15" s="162">
        <v>115.796938318782</v>
      </c>
      <c r="E15" s="43" t="s">
        <v>103</v>
      </c>
      <c r="F15" s="44" t="s">
        <v>933</v>
      </c>
      <c r="G15" s="52" t="s">
        <v>1848</v>
      </c>
      <c r="H15" s="120"/>
      <c r="I15" s="11" t="b">
        <v>1</v>
      </c>
      <c r="J15" s="159" t="str">
        <f t="shared" si="1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IFERROR(__xludf.DUMMYFUNCTION("""COMPUTED_VALUE"""),"Bambinacattiva")</f>
        <v>Bambinacattiva</v>
      </c>
      <c r="R15" s="49">
        <f>IFERROR(__xludf.DUMMYFUNCTION("""COMPUTED_VALUE"""),684.0)</f>
        <v>684</v>
      </c>
      <c r="S15" s="49"/>
    </row>
    <row r="16">
      <c r="A16" s="43">
        <v>2.0</v>
      </c>
      <c r="B16" s="43">
        <v>6.0</v>
      </c>
      <c r="C16" s="111">
        <v>-31.8174463650137</v>
      </c>
      <c r="D16" s="162">
        <v>115.797107466716</v>
      </c>
      <c r="E16" s="43" t="s">
        <v>98</v>
      </c>
      <c r="F16" s="44" t="s">
        <v>994</v>
      </c>
      <c r="G16" s="45" t="s">
        <v>1849</v>
      </c>
      <c r="H16" s="46"/>
      <c r="I16" s="11" t="b">
        <v>1</v>
      </c>
      <c r="J16" s="159" t="str">
        <f t="shared" si="1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IFERROR(__xludf.DUMMYFUNCTION("""COMPUTED_VALUE"""),"sverlaan")</f>
        <v>sverlaan</v>
      </c>
      <c r="R16" s="49">
        <f>IFERROR(__xludf.DUMMYFUNCTION("""COMPUTED_VALUE"""),4125.0)</f>
        <v>4125</v>
      </c>
      <c r="S16" s="49"/>
    </row>
    <row r="17">
      <c r="A17" s="43">
        <v>2.0</v>
      </c>
      <c r="B17" s="43">
        <v>7.0</v>
      </c>
      <c r="C17" s="111">
        <v>-31.8174463649019</v>
      </c>
      <c r="D17" s="162">
        <v>115.79727661465</v>
      </c>
      <c r="E17" s="43" t="s">
        <v>98</v>
      </c>
      <c r="F17" s="44" t="s">
        <v>774</v>
      </c>
      <c r="G17" s="45" t="s">
        <v>1850</v>
      </c>
      <c r="H17" s="46"/>
      <c r="I17" s="11" t="b">
        <v>1</v>
      </c>
      <c r="J17" s="159" t="str">
        <f t="shared" si="1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IFERROR(__xludf.DUMMYFUNCTION("""COMPUTED_VALUE"""),"EmileP68")</f>
        <v>EmileP68</v>
      </c>
      <c r="R17" s="49">
        <f>IFERROR(__xludf.DUMMYFUNCTION("""COMPUTED_VALUE"""),2897.0)</f>
        <v>2897</v>
      </c>
      <c r="S17" s="49"/>
    </row>
    <row r="18">
      <c r="A18" s="43">
        <v>3.0</v>
      </c>
      <c r="B18" s="43">
        <v>1.0</v>
      </c>
      <c r="C18" s="111">
        <v>-31.8175900960185</v>
      </c>
      <c r="D18" s="162">
        <v>115.796261733893</v>
      </c>
      <c r="E18" s="43" t="s">
        <v>98</v>
      </c>
      <c r="F18" s="44" t="s">
        <v>323</v>
      </c>
      <c r="G18" s="45" t="s">
        <v>1851</v>
      </c>
      <c r="H18" s="46"/>
      <c r="I18" s="11" t="b">
        <v>1</v>
      </c>
      <c r="J18" s="159" t="str">
        <f t="shared" si="1"/>
        <v/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IFERROR(__xludf.DUMMYFUNCTION("""COMPUTED_VALUE"""),"PawPatrolThomas")</f>
        <v>PawPatrolThomas</v>
      </c>
      <c r="R18" s="49">
        <f>IFERROR(__xludf.DUMMYFUNCTION("""COMPUTED_VALUE"""),2202.0)</f>
        <v>2202</v>
      </c>
      <c r="S18" s="49"/>
    </row>
    <row r="19">
      <c r="A19" s="43">
        <v>3.0</v>
      </c>
      <c r="B19" s="43">
        <v>2.0</v>
      </c>
      <c r="C19" s="111">
        <v>-31.8175900959066</v>
      </c>
      <c r="D19" s="162">
        <v>115.79643088209</v>
      </c>
      <c r="E19" s="43" t="s">
        <v>98</v>
      </c>
      <c r="F19" s="44" t="s">
        <v>942</v>
      </c>
      <c r="G19" s="52" t="s">
        <v>1852</v>
      </c>
      <c r="H19" s="120"/>
      <c r="I19" s="11" t="b">
        <v>1</v>
      </c>
      <c r="J19" s="159" t="str">
        <f t="shared" si="1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IFERROR(__xludf.DUMMYFUNCTION("""COMPUTED_VALUE"""),"hoekraam")</f>
        <v>hoekraam</v>
      </c>
      <c r="R19" s="49">
        <f>IFERROR(__xludf.DUMMYFUNCTION("""COMPUTED_VALUE"""),7003.0)</f>
        <v>7003</v>
      </c>
      <c r="S19" s="49"/>
    </row>
    <row r="20">
      <c r="A20" s="43">
        <v>3.0</v>
      </c>
      <c r="B20" s="43">
        <v>3.0</v>
      </c>
      <c r="C20" s="111">
        <v>-31.8175900957948</v>
      </c>
      <c r="D20" s="162">
        <v>115.796600030287</v>
      </c>
      <c r="E20" s="43" t="s">
        <v>98</v>
      </c>
      <c r="F20" s="44" t="s">
        <v>120</v>
      </c>
      <c r="G20" s="45" t="s">
        <v>1853</v>
      </c>
      <c r="H20" s="46"/>
      <c r="I20" s="11" t="b">
        <v>1</v>
      </c>
      <c r="J20" s="159" t="str">
        <f t="shared" si="1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IFERROR(__xludf.DUMMYFUNCTION("""COMPUTED_VALUE"""),"xrayneex")</f>
        <v>xrayneex</v>
      </c>
      <c r="R20" s="49">
        <f>IFERROR(__xludf.DUMMYFUNCTION("""COMPUTED_VALUE"""),1293.0)</f>
        <v>1293</v>
      </c>
      <c r="S20" s="49"/>
    </row>
    <row r="21">
      <c r="A21" s="43">
        <v>3.0</v>
      </c>
      <c r="B21" s="43">
        <v>4.0</v>
      </c>
      <c r="C21" s="111">
        <v>-31.8175900956829</v>
      </c>
      <c r="D21" s="162">
        <v>115.796769178484</v>
      </c>
      <c r="E21" s="43" t="s">
        <v>98</v>
      </c>
      <c r="F21" s="44" t="s">
        <v>110</v>
      </c>
      <c r="G21" s="65" t="s">
        <v>1854</v>
      </c>
      <c r="H21" s="46"/>
      <c r="I21" s="11" t="b">
        <v>1</v>
      </c>
      <c r="J21" s="159" t="str">
        <f t="shared" si="1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IFERROR(__xludf.DUMMYFUNCTION("""COMPUTED_VALUE"""),"BrotherWilliam")</f>
        <v>BrotherWilliam</v>
      </c>
      <c r="R21" s="49">
        <f>IFERROR(__xludf.DUMMYFUNCTION("""COMPUTED_VALUE"""),3863.0)</f>
        <v>3863</v>
      </c>
      <c r="S21" s="115">
        <v>44081.0</v>
      </c>
    </row>
    <row r="22">
      <c r="A22" s="43">
        <v>3.0</v>
      </c>
      <c r="B22" s="43">
        <v>5.0</v>
      </c>
      <c r="C22" s="111">
        <v>-31.8175900955711</v>
      </c>
      <c r="D22" s="162">
        <v>115.796938326681</v>
      </c>
      <c r="E22" s="43" t="s">
        <v>98</v>
      </c>
      <c r="F22" s="44" t="s">
        <v>116</v>
      </c>
      <c r="G22" s="45" t="s">
        <v>1855</v>
      </c>
      <c r="H22" s="46"/>
      <c r="I22" s="11" t="b">
        <v>1</v>
      </c>
      <c r="J22" s="159" t="str">
        <f t="shared" si="1"/>
        <v/>
      </c>
      <c r="K22" s="49" t="str">
        <f>IFERROR(__xludf.DUMMYFUNCTION("IF(M22=1,IFERROR(IMPORTXML(G22, ""//p[@class='status-date']""),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IFERROR(__xludf.DUMMYFUNCTION("""COMPUTED_VALUE"""),"fsafranek")</f>
        <v>fsafranek</v>
      </c>
      <c r="R22" s="49">
        <f>IFERROR(__xludf.DUMMYFUNCTION("""COMPUTED_VALUE"""),4276.0)</f>
        <v>4276</v>
      </c>
      <c r="S22" s="49"/>
    </row>
    <row r="23">
      <c r="A23" s="43">
        <v>3.0</v>
      </c>
      <c r="B23" s="43">
        <v>6.0</v>
      </c>
      <c r="C23" s="111">
        <v>-31.8175900954592</v>
      </c>
      <c r="D23" s="162">
        <v>115.797107474878</v>
      </c>
      <c r="E23" s="43" t="s">
        <v>98</v>
      </c>
      <c r="F23" s="44" t="s">
        <v>950</v>
      </c>
      <c r="G23" s="65" t="s">
        <v>1856</v>
      </c>
      <c r="H23" s="114"/>
      <c r="I23" s="11" t="b">
        <v>1</v>
      </c>
      <c r="J23" s="159" t="str">
        <f t="shared" si="1"/>
        <v/>
      </c>
      <c r="K23" s="49" t="str">
        <f>IFERROR(__xludf.DUMMYFUNCTION("IF(M23=1,IFERROR(IMPORTXML(G23, ""//p[@class='status-date']""),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IFERROR(__xludf.DUMMYFUNCTION("""COMPUTED_VALUE"""),"babyw")</f>
        <v>babyw</v>
      </c>
      <c r="R23" s="49">
        <f>IFERROR(__xludf.DUMMYFUNCTION("""COMPUTED_VALUE"""),2847.0)</f>
        <v>2847</v>
      </c>
      <c r="S23" s="49"/>
    </row>
    <row r="24">
      <c r="A24" s="43">
        <v>3.0</v>
      </c>
      <c r="B24" s="43">
        <v>7.0</v>
      </c>
      <c r="C24" s="111">
        <v>-31.8175900953474</v>
      </c>
      <c r="D24" s="162">
        <v>115.797276623075</v>
      </c>
      <c r="E24" s="43" t="s">
        <v>98</v>
      </c>
      <c r="F24" s="44" t="s">
        <v>134</v>
      </c>
      <c r="G24" s="45" t="s">
        <v>1857</v>
      </c>
      <c r="H24" s="46"/>
      <c r="I24" s="11" t="b">
        <v>1</v>
      </c>
      <c r="J24" s="159" t="str">
        <f t="shared" si="1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IFERROR(__xludf.DUMMYFUNCTION("""COMPUTED_VALUE"""),"Wangotango")</f>
        <v>Wangotango</v>
      </c>
      <c r="R24" s="49">
        <f>IFERROR(__xludf.DUMMYFUNCTION("""COMPUTED_VALUE"""),1192.0)</f>
        <v>1192</v>
      </c>
      <c r="S24" s="49"/>
    </row>
    <row r="25">
      <c r="A25" s="43">
        <v>3.0</v>
      </c>
      <c r="B25" s="43">
        <v>8.0</v>
      </c>
      <c r="C25" s="111">
        <v>-31.8175900952355</v>
      </c>
      <c r="D25" s="162">
        <v>115.797445771272</v>
      </c>
      <c r="E25" s="43" t="s">
        <v>98</v>
      </c>
      <c r="F25" s="44" t="s">
        <v>138</v>
      </c>
      <c r="G25" s="65" t="s">
        <v>1858</v>
      </c>
      <c r="H25" s="46"/>
      <c r="I25" s="11" t="b">
        <v>1</v>
      </c>
      <c r="J25" s="159" t="str">
        <f t="shared" si="1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IFERROR(__xludf.DUMMYFUNCTION("""COMPUTED_VALUE"""),"Anetzet")</f>
        <v>Anetzet</v>
      </c>
      <c r="R25" s="49">
        <f>IFERROR(__xludf.DUMMYFUNCTION("""COMPUTED_VALUE"""),2669.0)</f>
        <v>2669</v>
      </c>
      <c r="S25" s="49"/>
    </row>
    <row r="26">
      <c r="A26" s="43">
        <v>4.0</v>
      </c>
      <c r="B26" s="43">
        <v>1.0</v>
      </c>
      <c r="C26" s="111">
        <v>-31.8177338264639</v>
      </c>
      <c r="D26" s="162">
        <v>115.796261740739</v>
      </c>
      <c r="E26" s="43" t="s">
        <v>98</v>
      </c>
      <c r="F26" s="44" t="s">
        <v>122</v>
      </c>
      <c r="G26" s="45" t="s">
        <v>1859</v>
      </c>
      <c r="H26" s="46"/>
      <c r="I26" s="11" t="b">
        <v>1</v>
      </c>
      <c r="J26" s="159" t="str">
        <f t="shared" si="1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IFERROR(__xludf.DUMMYFUNCTION("""COMPUTED_VALUE"""),"Drazoria")</f>
        <v>Drazoria</v>
      </c>
      <c r="R26" s="49">
        <f>IFERROR(__xludf.DUMMYFUNCTION("""COMPUTED_VALUE"""),691.0)</f>
        <v>691</v>
      </c>
      <c r="S26" s="49"/>
    </row>
    <row r="27">
      <c r="A27" s="43">
        <v>4.0</v>
      </c>
      <c r="B27" s="43">
        <v>2.0</v>
      </c>
      <c r="C27" s="111">
        <v>-31.817733826352</v>
      </c>
      <c r="D27" s="162">
        <v>115.796430889199</v>
      </c>
      <c r="E27" s="43" t="s">
        <v>103</v>
      </c>
      <c r="F27" s="44" t="s">
        <v>126</v>
      </c>
      <c r="G27" s="45" t="s">
        <v>1860</v>
      </c>
      <c r="H27" s="46"/>
      <c r="I27" s="11" t="b">
        <v>1</v>
      </c>
      <c r="J27" s="159" t="str">
        <f t="shared" si="1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IFERROR(__xludf.DUMMYFUNCTION("""COMPUTED_VALUE"""),"Berg14")</f>
        <v>Berg14</v>
      </c>
      <c r="R27" s="49">
        <f>IFERROR(__xludf.DUMMYFUNCTION("""COMPUTED_VALUE"""),452.0)</f>
        <v>452</v>
      </c>
      <c r="S27" s="49"/>
    </row>
    <row r="28">
      <c r="A28" s="43">
        <v>4.0</v>
      </c>
      <c r="B28" s="43">
        <v>3.0</v>
      </c>
      <c r="C28" s="111">
        <v>-31.8177338262402</v>
      </c>
      <c r="D28" s="162">
        <v>115.796600037659</v>
      </c>
      <c r="E28" s="43" t="s">
        <v>98</v>
      </c>
      <c r="F28" s="44" t="s">
        <v>124</v>
      </c>
      <c r="G28" s="45" t="s">
        <v>1861</v>
      </c>
      <c r="H28" s="46"/>
      <c r="I28" s="11" t="b">
        <v>1</v>
      </c>
      <c r="J28" s="159" t="str">
        <f t="shared" si="1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IFERROR(__xludf.DUMMYFUNCTION("""COMPUTED_VALUE"""),"Tinake1309")</f>
        <v>Tinake1309</v>
      </c>
      <c r="R28" s="49">
        <f>IFERROR(__xludf.DUMMYFUNCTION("""COMPUTED_VALUE"""),669.0)</f>
        <v>669</v>
      </c>
      <c r="S28" s="49"/>
    </row>
    <row r="29">
      <c r="A29" s="43">
        <v>4.0</v>
      </c>
      <c r="B29" s="43">
        <v>4.0</v>
      </c>
      <c r="C29" s="111">
        <v>-31.8177338261283</v>
      </c>
      <c r="D29" s="162">
        <v>115.79676918612</v>
      </c>
      <c r="E29" s="43" t="s">
        <v>98</v>
      </c>
      <c r="F29" s="44" t="s">
        <v>128</v>
      </c>
      <c r="G29" s="65" t="s">
        <v>1862</v>
      </c>
      <c r="H29" s="46"/>
      <c r="I29" s="11" t="b">
        <v>1</v>
      </c>
      <c r="J29" s="159" t="str">
        <f t="shared" si="1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IFERROR(__xludf.DUMMYFUNCTION("""COMPUTED_VALUE"""),"Niks13")</f>
        <v>Niks13</v>
      </c>
      <c r="R29" s="49">
        <f>IFERROR(__xludf.DUMMYFUNCTION("""COMPUTED_VALUE"""),428.0)</f>
        <v>428</v>
      </c>
      <c r="S29" s="49"/>
    </row>
    <row r="30">
      <c r="A30" s="43">
        <v>4.0</v>
      </c>
      <c r="B30" s="43">
        <v>5.0</v>
      </c>
      <c r="C30" s="111">
        <v>-31.8177338260165</v>
      </c>
      <c r="D30" s="162">
        <v>115.79693833458</v>
      </c>
      <c r="E30" s="43" t="s">
        <v>98</v>
      </c>
      <c r="F30" s="44" t="s">
        <v>112</v>
      </c>
      <c r="G30" s="45" t="s">
        <v>1863</v>
      </c>
      <c r="H30" s="46"/>
      <c r="I30" s="11" t="b">
        <v>1</v>
      </c>
      <c r="J30" s="159" t="str">
        <f t="shared" si="1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IFERROR(__xludf.DUMMYFUNCTION("""COMPUTED_VALUE"""),"ArtofEco")</f>
        <v>ArtofEco</v>
      </c>
      <c r="R30" s="49">
        <f>IFERROR(__xludf.DUMMYFUNCTION("""COMPUTED_VALUE"""),2889.0)</f>
        <v>2889</v>
      </c>
      <c r="S30" s="163" t="s">
        <v>1864</v>
      </c>
    </row>
    <row r="31">
      <c r="A31" s="43">
        <v>4.0</v>
      </c>
      <c r="B31" s="43">
        <v>6.0</v>
      </c>
      <c r="C31" s="111">
        <v>-31.8177338259046</v>
      </c>
      <c r="D31" s="162">
        <v>115.79710748304</v>
      </c>
      <c r="E31" s="43" t="s">
        <v>103</v>
      </c>
      <c r="F31" s="44" t="s">
        <v>319</v>
      </c>
      <c r="G31" s="45" t="s">
        <v>1865</v>
      </c>
      <c r="H31" s="46"/>
      <c r="I31" s="11" t="b">
        <v>1</v>
      </c>
      <c r="J31" s="159" t="str">
        <f t="shared" si="1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IFERROR(__xludf.DUMMYFUNCTION("""COMPUTED_VALUE"""),"belladivadee")</f>
        <v>belladivadee</v>
      </c>
      <c r="R31" s="49">
        <f>IFERROR(__xludf.DUMMYFUNCTION("""COMPUTED_VALUE"""),2969.0)</f>
        <v>2969</v>
      </c>
      <c r="S31" s="49"/>
    </row>
    <row r="32">
      <c r="A32" s="43">
        <v>4.0</v>
      </c>
      <c r="B32" s="43">
        <v>7.0</v>
      </c>
      <c r="C32" s="111">
        <v>-31.8177338257927</v>
      </c>
      <c r="D32" s="162">
        <v>115.797276631501</v>
      </c>
      <c r="E32" s="43" t="s">
        <v>98</v>
      </c>
      <c r="F32" s="44" t="s">
        <v>80</v>
      </c>
      <c r="G32" s="45" t="s">
        <v>1866</v>
      </c>
      <c r="H32" s="46"/>
      <c r="I32" s="11" t="b">
        <v>1</v>
      </c>
      <c r="J32" s="159" t="str">
        <f t="shared" si="1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IFERROR(__xludf.DUMMYFUNCTION("""COMPUTED_VALUE"""),"Derlame")</f>
        <v>Derlame</v>
      </c>
      <c r="R32" s="49">
        <f>IFERROR(__xludf.DUMMYFUNCTION("""COMPUTED_VALUE"""),12299.0)</f>
        <v>12299</v>
      </c>
      <c r="S32" s="49"/>
    </row>
    <row r="33">
      <c r="A33" s="43">
        <v>4.0</v>
      </c>
      <c r="B33" s="43">
        <v>8.0</v>
      </c>
      <c r="C33" s="111">
        <v>-31.8177338256809</v>
      </c>
      <c r="D33" s="162">
        <v>115.797445779961</v>
      </c>
      <c r="E33" s="43" t="s">
        <v>98</v>
      </c>
      <c r="F33" s="44" t="s">
        <v>157</v>
      </c>
      <c r="G33" s="45" t="s">
        <v>1867</v>
      </c>
      <c r="H33" s="46"/>
      <c r="I33" s="11" t="b">
        <v>1</v>
      </c>
      <c r="J33" s="159" t="str">
        <f t="shared" si="1"/>
        <v/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IFERROR(__xludf.DUMMYFUNCTION("""COMPUTED_VALUE"""),"barefootguru")</f>
        <v>barefootguru</v>
      </c>
      <c r="R33" s="49">
        <f>IFERROR(__xludf.DUMMYFUNCTION("""COMPUTED_VALUE"""),3093.0)</f>
        <v>3093</v>
      </c>
      <c r="S33" s="49"/>
    </row>
    <row r="34">
      <c r="A34" s="43">
        <v>5.0</v>
      </c>
      <c r="B34" s="43">
        <v>1.0</v>
      </c>
      <c r="C34" s="111">
        <v>-31.8178775569094</v>
      </c>
      <c r="D34" s="162">
        <v>115.796261747584</v>
      </c>
      <c r="E34" s="43" t="s">
        <v>103</v>
      </c>
      <c r="F34" s="44" t="s">
        <v>1868</v>
      </c>
      <c r="G34" s="45" t="s">
        <v>1869</v>
      </c>
      <c r="H34" s="46"/>
      <c r="I34" s="11" t="b">
        <v>1</v>
      </c>
      <c r="J34" s="159" t="str">
        <f t="shared" si="1"/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IFERROR(__xludf.DUMMYFUNCTION("""COMPUTED_VALUE"""),"Aniara")</f>
        <v>Aniara</v>
      </c>
      <c r="R34" s="49">
        <f>IFERROR(__xludf.DUMMYFUNCTION("""COMPUTED_VALUE"""),6430.0)</f>
        <v>6430</v>
      </c>
      <c r="S34" s="49"/>
    </row>
    <row r="35">
      <c r="A35" s="43">
        <v>5.0</v>
      </c>
      <c r="B35" s="43">
        <v>2.0</v>
      </c>
      <c r="C35" s="111">
        <v>-31.8178775567975</v>
      </c>
      <c r="D35" s="162">
        <v>115.796430896308</v>
      </c>
      <c r="E35" s="43" t="s">
        <v>98</v>
      </c>
      <c r="F35" s="44" t="s">
        <v>141</v>
      </c>
      <c r="G35" s="54" t="s">
        <v>1870</v>
      </c>
      <c r="H35" s="120"/>
      <c r="I35" s="11" t="b">
        <v>1</v>
      </c>
      <c r="J35" s="159" t="str">
        <f t="shared" si="1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IFERROR(__xludf.DUMMYFUNCTION("""COMPUTED_VALUE"""),2385.0)</f>
        <v>2385</v>
      </c>
      <c r="S35" s="49"/>
    </row>
    <row r="36">
      <c r="A36" s="43">
        <v>5.0</v>
      </c>
      <c r="B36" s="43">
        <v>3.0</v>
      </c>
      <c r="C36" s="111">
        <v>-31.8178775566856</v>
      </c>
      <c r="D36" s="162">
        <v>115.796600045032</v>
      </c>
      <c r="E36" s="43" t="s">
        <v>103</v>
      </c>
      <c r="F36" s="44" t="s">
        <v>629</v>
      </c>
      <c r="G36" s="52" t="s">
        <v>1871</v>
      </c>
      <c r="H36" s="120"/>
      <c r="I36" s="11" t="b">
        <v>1</v>
      </c>
      <c r="J36" s="159" t="str">
        <f t="shared" si="1"/>
        <v/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IFERROR(__xludf.DUMMYFUNCTION("""COMPUTED_VALUE"""),"IggiePiggie")</f>
        <v>IggiePiggie</v>
      </c>
      <c r="R36" s="49">
        <f>IFERROR(__xludf.DUMMYFUNCTION("""COMPUTED_VALUE"""),1777.0)</f>
        <v>1777</v>
      </c>
      <c r="S36" s="49"/>
    </row>
    <row r="37">
      <c r="A37" s="43">
        <v>5.0</v>
      </c>
      <c r="B37" s="43">
        <v>4.0</v>
      </c>
      <c r="C37" s="111">
        <v>-31.8178775565738</v>
      </c>
      <c r="D37" s="162">
        <v>115.796769193755</v>
      </c>
      <c r="E37" s="43" t="s">
        <v>98</v>
      </c>
      <c r="F37" s="44" t="s">
        <v>1872</v>
      </c>
      <c r="G37" s="45" t="s">
        <v>1873</v>
      </c>
      <c r="H37" s="44"/>
      <c r="I37" s="11" t="b">
        <v>1</v>
      </c>
      <c r="J37" s="159" t="str">
        <f t="shared" si="1"/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IFERROR(__xludf.DUMMYFUNCTION("""COMPUTED_VALUE"""),"CrazyLadyLisa")</f>
        <v>CrazyLadyLisa</v>
      </c>
      <c r="R37" s="49">
        <f>IFERROR(__xludf.DUMMYFUNCTION("""COMPUTED_VALUE"""),14448.0)</f>
        <v>14448</v>
      </c>
      <c r="S37" s="51">
        <v>44040.84529189815</v>
      </c>
    </row>
    <row r="38">
      <c r="A38" s="43">
        <v>5.0</v>
      </c>
      <c r="B38" s="43">
        <v>5.0</v>
      </c>
      <c r="C38" s="111">
        <v>-31.8178775564619</v>
      </c>
      <c r="D38" s="162">
        <v>115.796938342479</v>
      </c>
      <c r="E38" s="43" t="s">
        <v>98</v>
      </c>
      <c r="F38" s="44" t="s">
        <v>1039</v>
      </c>
      <c r="G38" s="45" t="s">
        <v>1874</v>
      </c>
      <c r="H38" s="46"/>
      <c r="I38" s="11" t="b">
        <v>1</v>
      </c>
      <c r="J38" s="159" t="str">
        <f t="shared" si="1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IFERROR(__xludf.DUMMYFUNCTION("""COMPUTED_VALUE"""),"IXE13")</f>
        <v>IXE13</v>
      </c>
      <c r="R38" s="49">
        <f>IFERROR(__xludf.DUMMYFUNCTION("""COMPUTED_VALUE"""),206.0)</f>
        <v>206</v>
      </c>
      <c r="S38" s="51"/>
    </row>
    <row r="39">
      <c r="A39" s="43">
        <v>5.0</v>
      </c>
      <c r="B39" s="43">
        <v>6.0</v>
      </c>
      <c r="C39" s="111">
        <v>-31.8178775563501</v>
      </c>
      <c r="D39" s="162">
        <v>115.797107491203</v>
      </c>
      <c r="E39" s="43" t="s">
        <v>98</v>
      </c>
      <c r="F39" s="44" t="s">
        <v>1022</v>
      </c>
      <c r="G39" s="65" t="s">
        <v>1875</v>
      </c>
      <c r="H39" s="46"/>
      <c r="I39" s="11" t="b">
        <v>1</v>
      </c>
      <c r="J39" s="159" t="str">
        <f t="shared" si="1"/>
        <v/>
      </c>
      <c r="K39" s="49" t="str">
        <f>IFERROR(__xludf.DUMMYFUNCTION("IF(M39=1,IFERROR(IMPORTXML(G39, ""//p[@class='status-date']""),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IFERROR(__xludf.DUMMYFUNCTION("""COMPUTED_VALUE"""),"Laouate")</f>
        <v>Laouate</v>
      </c>
      <c r="R39" s="49">
        <f>IFERROR(__xludf.DUMMYFUNCTION("""COMPUTED_VALUE"""),315.0)</f>
        <v>315</v>
      </c>
      <c r="S39" s="49"/>
    </row>
    <row r="40">
      <c r="A40" s="43">
        <v>5.0</v>
      </c>
      <c r="B40" s="43">
        <v>7.0</v>
      </c>
      <c r="C40" s="111">
        <v>-31.8178775562382</v>
      </c>
      <c r="D40" s="162">
        <v>115.797276639926</v>
      </c>
      <c r="E40" s="43" t="s">
        <v>98</v>
      </c>
      <c r="F40" s="44" t="s">
        <v>141</v>
      </c>
      <c r="G40" s="52" t="s">
        <v>1876</v>
      </c>
      <c r="H40" s="120"/>
      <c r="I40" s="11" t="b">
        <v>1</v>
      </c>
      <c r="J40" s="159" t="str">
        <f t="shared" si="1"/>
        <v/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IFERROR(__xludf.DUMMYFUNCTION("""COMPUTED_VALUE"""),"cbf600")</f>
        <v>cbf600</v>
      </c>
      <c r="R40" s="49">
        <f>IFERROR(__xludf.DUMMYFUNCTION("""COMPUTED_VALUE"""),2246.0)</f>
        <v>2246</v>
      </c>
      <c r="S40" s="49"/>
    </row>
    <row r="41">
      <c r="A41" s="43">
        <v>5.0</v>
      </c>
      <c r="B41" s="43">
        <v>8.0</v>
      </c>
      <c r="C41" s="111">
        <v>-31.8178775561264</v>
      </c>
      <c r="D41" s="162">
        <v>115.79744578865</v>
      </c>
      <c r="E41" s="43" t="s">
        <v>98</v>
      </c>
      <c r="F41" s="44" t="s">
        <v>918</v>
      </c>
      <c r="G41" s="65" t="s">
        <v>1877</v>
      </c>
      <c r="H41" s="46"/>
      <c r="I41" s="11" t="b">
        <v>1</v>
      </c>
      <c r="J41" s="159" t="str">
        <f t="shared" si="1"/>
        <v/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IFERROR(__xludf.DUMMYFUNCTION("""COMPUTED_VALUE"""),"5Star")</f>
        <v>5Star</v>
      </c>
      <c r="R41" s="49">
        <f>IFERROR(__xludf.DUMMYFUNCTION("""COMPUTED_VALUE"""),5595.0)</f>
        <v>5595</v>
      </c>
      <c r="S41" s="49"/>
    </row>
    <row r="42">
      <c r="A42" s="43">
        <v>6.0</v>
      </c>
      <c r="B42" s="43">
        <v>1.0</v>
      </c>
      <c r="C42" s="111">
        <v>-31.8180212873548</v>
      </c>
      <c r="D42" s="162">
        <v>115.796261754427</v>
      </c>
      <c r="E42" s="43" t="s">
        <v>98</v>
      </c>
      <c r="F42" s="44" t="s">
        <v>1094</v>
      </c>
      <c r="G42" s="45" t="s">
        <v>1878</v>
      </c>
      <c r="H42" s="46"/>
      <c r="I42" s="11" t="b">
        <v>1</v>
      </c>
      <c r="J42" s="159" t="str">
        <f t="shared" si="1"/>
        <v/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IFERROR(__xludf.DUMMYFUNCTION("""COMPUTED_VALUE"""),"Questing4")</f>
        <v>Questing4</v>
      </c>
      <c r="R42" s="49">
        <f>IFERROR(__xludf.DUMMYFUNCTION("""COMPUTED_VALUE"""),7153.0)</f>
        <v>7153</v>
      </c>
      <c r="S42" s="49"/>
    </row>
    <row r="43">
      <c r="A43" s="43">
        <v>6.0</v>
      </c>
      <c r="B43" s="43">
        <v>2.0</v>
      </c>
      <c r="C43" s="111">
        <v>-31.818021287243</v>
      </c>
      <c r="D43" s="162">
        <v>115.796430903414</v>
      </c>
      <c r="E43" s="43" t="s">
        <v>98</v>
      </c>
      <c r="F43" s="44" t="s">
        <v>1879</v>
      </c>
      <c r="G43" s="52" t="s">
        <v>1880</v>
      </c>
      <c r="H43" s="120"/>
      <c r="I43" s="11" t="b">
        <v>1</v>
      </c>
      <c r="J43" s="159" t="str">
        <f t="shared" si="1"/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IFERROR(__xludf.DUMMYFUNCTION("""COMPUTED_VALUE"""),"GroteSufferd")</f>
        <v>GroteSufferd</v>
      </c>
      <c r="R43" s="49">
        <f>IFERROR(__xludf.DUMMYFUNCTION("""COMPUTED_VALUE"""),319.0)</f>
        <v>319</v>
      </c>
      <c r="S43" s="49"/>
    </row>
    <row r="44">
      <c r="A44" s="43">
        <v>6.0</v>
      </c>
      <c r="B44" s="43">
        <v>3.0</v>
      </c>
      <c r="C44" s="111">
        <v>-31.8180212871311</v>
      </c>
      <c r="D44" s="162">
        <v>115.796600052401</v>
      </c>
      <c r="E44" s="43" t="s">
        <v>103</v>
      </c>
      <c r="F44" s="44" t="s">
        <v>314</v>
      </c>
      <c r="G44" s="45" t="s">
        <v>1881</v>
      </c>
      <c r="H44" s="46"/>
      <c r="I44" s="11" t="b">
        <v>1</v>
      </c>
      <c r="J44" s="159" t="str">
        <f t="shared" si="1"/>
        <v/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IFERROR(__xludf.DUMMYFUNCTION("""COMPUTED_VALUE"""),"Trappertje")</f>
        <v>Trappertje</v>
      </c>
      <c r="R44" s="49">
        <f>IFERROR(__xludf.DUMMYFUNCTION("""COMPUTED_VALUE"""),4601.0)</f>
        <v>4601</v>
      </c>
      <c r="S44" s="49"/>
    </row>
    <row r="45">
      <c r="A45" s="43">
        <v>6.0</v>
      </c>
      <c r="B45" s="43">
        <v>4.0</v>
      </c>
      <c r="C45" s="111">
        <v>-31.8180212870192</v>
      </c>
      <c r="D45" s="162">
        <v>115.796769201388</v>
      </c>
      <c r="E45" s="43" t="s">
        <v>98</v>
      </c>
      <c r="F45" s="44" t="s">
        <v>149</v>
      </c>
      <c r="G45" s="45" t="s">
        <v>1882</v>
      </c>
      <c r="H45" s="118"/>
      <c r="I45" s="11" t="b">
        <v>1</v>
      </c>
      <c r="J45" s="159" t="str">
        <f t="shared" si="1"/>
        <v/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IFERROR(__xludf.DUMMYFUNCTION("""COMPUTED_VALUE"""),"Bisquick2")</f>
        <v>Bisquick2</v>
      </c>
      <c r="R45" s="49">
        <f>IFERROR(__xludf.DUMMYFUNCTION("""COMPUTED_VALUE"""),4224.0)</f>
        <v>4224</v>
      </c>
      <c r="S45" s="49"/>
    </row>
    <row r="46">
      <c r="A46" s="43">
        <v>6.0</v>
      </c>
      <c r="B46" s="43">
        <v>5.0</v>
      </c>
      <c r="C46" s="111">
        <v>-31.8180212869074</v>
      </c>
      <c r="D46" s="162">
        <v>115.796938350375</v>
      </c>
      <c r="E46" s="43" t="s">
        <v>98</v>
      </c>
      <c r="F46" s="44" t="s">
        <v>1025</v>
      </c>
      <c r="G46" s="45" t="s">
        <v>1883</v>
      </c>
      <c r="H46" s="46"/>
      <c r="I46" s="11" t="b">
        <v>1</v>
      </c>
      <c r="J46" s="159" t="str">
        <f t="shared" si="1"/>
        <v/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IFERROR(__xludf.DUMMYFUNCTION("""COMPUTED_VALUE"""),"upapou")</f>
        <v>upapou</v>
      </c>
      <c r="R46" s="49">
        <f>IFERROR(__xludf.DUMMYFUNCTION("""COMPUTED_VALUE"""),991.0)</f>
        <v>991</v>
      </c>
      <c r="S46" s="49"/>
    </row>
    <row r="47">
      <c r="A47" s="43">
        <v>6.0</v>
      </c>
      <c r="B47" s="43">
        <v>6.0</v>
      </c>
      <c r="C47" s="111">
        <v>-31.8180212867955</v>
      </c>
      <c r="D47" s="162">
        <v>115.797107499362</v>
      </c>
      <c r="E47" s="43" t="s">
        <v>103</v>
      </c>
      <c r="F47" s="44" t="s">
        <v>940</v>
      </c>
      <c r="G47" s="65" t="s">
        <v>1884</v>
      </c>
      <c r="H47" s="46"/>
      <c r="I47" s="11" t="b">
        <v>1</v>
      </c>
      <c r="J47" s="159" t="str">
        <f t="shared" si="1"/>
        <v/>
      </c>
      <c r="K47" s="49" t="str">
        <f>IFERROR(__xludf.DUMMYFUNCTION("IF(M47=1,IFERROR(IMPORTXML(G47, ""//p[@class='status-date']""),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IFERROR(__xludf.DUMMYFUNCTION("""COMPUTED_VALUE"""),"WiseOldWizard")</f>
        <v>WiseOldWizard</v>
      </c>
      <c r="R47" s="49">
        <f>IFERROR(__xludf.DUMMYFUNCTION("""COMPUTED_VALUE"""),3936.0)</f>
        <v>3936</v>
      </c>
      <c r="S47" s="49"/>
    </row>
    <row r="48">
      <c r="A48" s="43">
        <v>6.0</v>
      </c>
      <c r="B48" s="43">
        <v>7.0</v>
      </c>
      <c r="C48" s="111">
        <v>-31.8180212866837</v>
      </c>
      <c r="D48" s="162">
        <v>115.797276648349</v>
      </c>
      <c r="E48" s="43" t="s">
        <v>98</v>
      </c>
      <c r="F48" s="44" t="s">
        <v>145</v>
      </c>
      <c r="G48" s="52" t="s">
        <v>1885</v>
      </c>
      <c r="H48" s="120"/>
      <c r="I48" s="11" t="b">
        <v>1</v>
      </c>
      <c r="J48" s="159" t="str">
        <f t="shared" si="1"/>
        <v/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IFERROR(__xludf.DUMMYFUNCTION("""COMPUTED_VALUE"""),4068.0)</f>
        <v>4068</v>
      </c>
      <c r="S48" s="49"/>
    </row>
    <row r="49">
      <c r="A49" s="43">
        <v>6.0</v>
      </c>
      <c r="B49" s="43">
        <v>8.0</v>
      </c>
      <c r="C49" s="111">
        <v>-31.8180212865718</v>
      </c>
      <c r="D49" s="162">
        <v>115.797445797335</v>
      </c>
      <c r="E49" s="43" t="s">
        <v>98</v>
      </c>
      <c r="F49" s="44" t="s">
        <v>147</v>
      </c>
      <c r="G49" s="52" t="s">
        <v>1886</v>
      </c>
      <c r="H49" s="120"/>
      <c r="I49" s="11" t="b">
        <v>1</v>
      </c>
      <c r="J49" s="159" t="str">
        <f t="shared" si="1"/>
        <v/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IFERROR(__xludf.DUMMYFUNCTION("""COMPUTED_VALUE"""),6714.0)</f>
        <v>6714</v>
      </c>
      <c r="S49" s="49"/>
    </row>
    <row r="50">
      <c r="A50" s="43">
        <v>7.0</v>
      </c>
      <c r="B50" s="43">
        <v>2.0</v>
      </c>
      <c r="C50" s="111">
        <v>-31.8181650176884</v>
      </c>
      <c r="D50" s="162">
        <v>115.796430910523</v>
      </c>
      <c r="E50" s="43" t="s">
        <v>103</v>
      </c>
      <c r="F50" s="44" t="s">
        <v>182</v>
      </c>
      <c r="G50" s="45" t="s">
        <v>1887</v>
      </c>
      <c r="H50" s="44"/>
      <c r="I50" s="11" t="b">
        <v>1</v>
      </c>
      <c r="J50" s="159" t="str">
        <f t="shared" si="1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IFERROR(__xludf.DUMMYFUNCTION("""COMPUTED_VALUE"""),"TheFatCats")</f>
        <v>TheFatCats</v>
      </c>
      <c r="R50" s="49">
        <f>IFERROR(__xludf.DUMMYFUNCTION("""COMPUTED_VALUE"""),3638.0)</f>
        <v>3638</v>
      </c>
      <c r="S50" s="49"/>
    </row>
    <row r="51">
      <c r="A51" s="43">
        <v>7.0</v>
      </c>
      <c r="B51" s="43">
        <v>3.0</v>
      </c>
      <c r="C51" s="111">
        <v>-31.8181650175766</v>
      </c>
      <c r="D51" s="162">
        <v>115.796600059773</v>
      </c>
      <c r="E51" s="43" t="s">
        <v>98</v>
      </c>
      <c r="F51" s="44" t="s">
        <v>956</v>
      </c>
      <c r="G51" s="65" t="s">
        <v>1888</v>
      </c>
      <c r="H51" s="46"/>
      <c r="I51" s="11" t="b">
        <v>1</v>
      </c>
      <c r="J51" s="159" t="str">
        <f t="shared" si="1"/>
        <v/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IFERROR(__xludf.DUMMYFUNCTION("""COMPUTED_VALUE"""),"benotje")</f>
        <v>benotje</v>
      </c>
      <c r="R51" s="49">
        <f>IFERROR(__xludf.DUMMYFUNCTION("""COMPUTED_VALUE"""),1354.0)</f>
        <v>1354</v>
      </c>
      <c r="S51" s="49"/>
    </row>
    <row r="52">
      <c r="A52" s="43">
        <v>7.0</v>
      </c>
      <c r="B52" s="43">
        <v>4.0</v>
      </c>
      <c r="C52" s="111">
        <v>-31.8181650174647</v>
      </c>
      <c r="D52" s="162">
        <v>115.796769209023</v>
      </c>
      <c r="E52" s="43" t="s">
        <v>98</v>
      </c>
      <c r="F52" s="44" t="s">
        <v>1271</v>
      </c>
      <c r="G52" s="45" t="s">
        <v>1889</v>
      </c>
      <c r="H52" s="46"/>
      <c r="I52" s="11" t="b">
        <v>1</v>
      </c>
      <c r="J52" s="159" t="str">
        <f t="shared" si="1"/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IFERROR(__xludf.DUMMYFUNCTION("""COMPUTED_VALUE"""),"LonelyWalker")</f>
        <v>LonelyWalker</v>
      </c>
      <c r="R52" s="49">
        <f>IFERROR(__xludf.DUMMYFUNCTION("""COMPUTED_VALUE"""),466.0)</f>
        <v>466</v>
      </c>
      <c r="S52" s="51">
        <v>44069.684661481486</v>
      </c>
    </row>
    <row r="53">
      <c r="A53" s="43">
        <v>7.0</v>
      </c>
      <c r="B53" s="43">
        <v>5.0</v>
      </c>
      <c r="C53" s="111">
        <v>-31.8181650173528</v>
      </c>
      <c r="D53" s="162">
        <v>115.796938358274</v>
      </c>
      <c r="E53" s="43" t="s">
        <v>98</v>
      </c>
      <c r="F53" s="44" t="s">
        <v>101</v>
      </c>
      <c r="G53" s="45" t="s">
        <v>1890</v>
      </c>
      <c r="H53" s="118"/>
      <c r="I53" s="11" t="b">
        <v>1</v>
      </c>
      <c r="J53" s="159" t="str">
        <f t="shared" si="1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IFERROR(__xludf.DUMMYFUNCTION("""COMPUTED_VALUE"""),"sverlaan")</f>
        <v>sverlaan</v>
      </c>
      <c r="R53" s="49">
        <f>IFERROR(__xludf.DUMMYFUNCTION("""COMPUTED_VALUE"""),4148.0)</f>
        <v>4148</v>
      </c>
      <c r="S53" s="51">
        <v>44043.551752037034</v>
      </c>
    </row>
    <row r="54">
      <c r="A54" s="43">
        <v>7.0</v>
      </c>
      <c r="B54" s="43">
        <v>6.0</v>
      </c>
      <c r="C54" s="111">
        <v>-31.818165017241</v>
      </c>
      <c r="D54" s="162">
        <v>115.797107507524</v>
      </c>
      <c r="E54" s="43" t="s">
        <v>98</v>
      </c>
      <c r="F54" s="44" t="s">
        <v>1119</v>
      </c>
      <c r="G54" s="45" t="s">
        <v>1891</v>
      </c>
      <c r="H54" s="46"/>
      <c r="I54" s="11" t="b">
        <v>1</v>
      </c>
      <c r="J54" s="159" t="str">
        <f t="shared" si="1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IFERROR(__xludf.DUMMYFUNCTION("""COMPUTED_VALUE"""),"PawPatrolThomas")</f>
        <v>PawPatrolThomas</v>
      </c>
      <c r="R54" s="49">
        <f>IFERROR(__xludf.DUMMYFUNCTION("""COMPUTED_VALUE"""),2193.0)</f>
        <v>2193</v>
      </c>
      <c r="S54" s="51">
        <v>44047.92189583334</v>
      </c>
    </row>
    <row r="55">
      <c r="A55" s="43">
        <v>7.0</v>
      </c>
      <c r="B55" s="43">
        <v>7.0</v>
      </c>
      <c r="C55" s="111">
        <v>-31.8181650171291</v>
      </c>
      <c r="D55" s="162">
        <v>115.797276656774</v>
      </c>
      <c r="E55" s="43" t="s">
        <v>98</v>
      </c>
      <c r="F55" s="44" t="s">
        <v>885</v>
      </c>
      <c r="G55" s="45" t="s">
        <v>1892</v>
      </c>
      <c r="H55" s="46"/>
      <c r="I55" s="11" t="b">
        <v>1</v>
      </c>
      <c r="J55" s="159" t="str">
        <f t="shared" si="1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IFERROR(__xludf.DUMMYFUNCTION("""COMPUTED_VALUE"""),"JackSparrow")</f>
        <v>JackSparrow</v>
      </c>
      <c r="R55" s="49">
        <f>IFERROR(__xludf.DUMMYFUNCTION("""COMPUTED_VALUE"""),19354.0)</f>
        <v>19354</v>
      </c>
      <c r="S55" s="49"/>
    </row>
    <row r="56">
      <c r="A56" s="43">
        <v>8.0</v>
      </c>
      <c r="B56" s="43">
        <v>3.0</v>
      </c>
      <c r="C56" s="111">
        <v>-31.818308748022</v>
      </c>
      <c r="D56" s="162">
        <v>115.796600067145</v>
      </c>
      <c r="E56" s="43" t="s">
        <v>98</v>
      </c>
      <c r="F56" s="44" t="s">
        <v>136</v>
      </c>
      <c r="G56" s="45" t="s">
        <v>1893</v>
      </c>
      <c r="H56" s="46"/>
      <c r="I56" s="11" t="b">
        <v>1</v>
      </c>
      <c r="J56" s="159" t="str">
        <f t="shared" si="1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IFERROR(__xludf.DUMMYFUNCTION("""COMPUTED_VALUE"""),"OdinsFiRe")</f>
        <v>OdinsFiRe</v>
      </c>
      <c r="R56" s="49">
        <f>IFERROR(__xludf.DUMMYFUNCTION("""COMPUTED_VALUE"""),1530.0)</f>
        <v>1530</v>
      </c>
      <c r="S56" s="49"/>
    </row>
    <row r="57">
      <c r="A57" s="43">
        <v>8.0</v>
      </c>
      <c r="B57" s="43">
        <v>4.0</v>
      </c>
      <c r="C57" s="111">
        <v>-31.8183087479101</v>
      </c>
      <c r="D57" s="162">
        <v>115.796769216659</v>
      </c>
      <c r="E57" s="43" t="s">
        <v>103</v>
      </c>
      <c r="F57" s="44" t="s">
        <v>1315</v>
      </c>
      <c r="G57" s="45" t="s">
        <v>1894</v>
      </c>
      <c r="H57" s="46"/>
      <c r="I57" s="11" t="b">
        <v>1</v>
      </c>
      <c r="J57" s="159" t="str">
        <f t="shared" si="1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IFERROR(__xludf.DUMMYFUNCTION("""COMPUTED_VALUE"""),"jwg68")</f>
        <v>jwg68</v>
      </c>
      <c r="R57" s="49">
        <f>IFERROR(__xludf.DUMMYFUNCTION("""COMPUTED_VALUE"""),1250.0)</f>
        <v>1250</v>
      </c>
      <c r="S57" s="49"/>
    </row>
    <row r="58">
      <c r="A58" s="43">
        <v>8.0</v>
      </c>
      <c r="B58" s="43">
        <v>5.0</v>
      </c>
      <c r="C58" s="111">
        <v>-31.8183087477983</v>
      </c>
      <c r="D58" s="162">
        <v>115.796938366172</v>
      </c>
      <c r="E58" s="43" t="s">
        <v>103</v>
      </c>
      <c r="F58" s="44" t="s">
        <v>141</v>
      </c>
      <c r="G58" s="52" t="s">
        <v>1895</v>
      </c>
      <c r="H58" s="120"/>
      <c r="I58" s="11" t="b">
        <v>1</v>
      </c>
      <c r="J58" s="159" t="str">
        <f t="shared" si="1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IFERROR(__xludf.DUMMYFUNCTION("""COMPUTED_VALUE"""),"cbf600")</f>
        <v>cbf600</v>
      </c>
      <c r="R58" s="49">
        <f>IFERROR(__xludf.DUMMYFUNCTION("""COMPUTED_VALUE"""),2247.0)</f>
        <v>2247</v>
      </c>
      <c r="S58" s="49"/>
    </row>
    <row r="59">
      <c r="A59" s="43">
        <v>8.0</v>
      </c>
      <c r="B59" s="43">
        <v>6.0</v>
      </c>
      <c r="C59" s="111">
        <v>-31.8183087476864</v>
      </c>
      <c r="D59" s="162">
        <v>115.797107515686</v>
      </c>
      <c r="E59" s="43" t="s">
        <v>98</v>
      </c>
      <c r="F59" s="44" t="s">
        <v>608</v>
      </c>
      <c r="G59" s="65" t="s">
        <v>1896</v>
      </c>
      <c r="H59" s="46"/>
      <c r="I59" s="11" t="b">
        <v>1</v>
      </c>
      <c r="J59" s="159" t="str">
        <f t="shared" si="1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IFERROR(__xludf.DUMMYFUNCTION("""COMPUTED_VALUE"""),"Andrew81")</f>
        <v>Andrew81</v>
      </c>
      <c r="R59" s="49">
        <f>IFERROR(__xludf.DUMMYFUNCTION("""COMPUTED_VALUE"""),1334.0)</f>
        <v>1334</v>
      </c>
      <c r="S59" s="49"/>
    </row>
    <row r="60">
      <c r="C60" s="116"/>
      <c r="D60" s="164"/>
      <c r="J60" s="159"/>
    </row>
    <row r="61" hidden="1">
      <c r="C61" s="116"/>
      <c r="D61" s="164"/>
      <c r="F61" s="47">
        <f t="shared" ref="F61:G61" si="3">COUNTIF(F8:F59,"")</f>
        <v>0</v>
      </c>
      <c r="G61" s="47">
        <f t="shared" si="3"/>
        <v>0</v>
      </c>
      <c r="I61" s="47">
        <f>COUNTIF(I8:I59,TRUE)</f>
        <v>52</v>
      </c>
      <c r="J61" s="159"/>
    </row>
    <row r="62" hidden="1">
      <c r="C62" s="116"/>
      <c r="D62" s="164"/>
      <c r="J62" s="159"/>
    </row>
    <row r="63" hidden="1">
      <c r="C63" s="116"/>
      <c r="D63" s="164"/>
      <c r="J63" s="159"/>
    </row>
    <row r="64" hidden="1">
      <c r="C64" s="116"/>
      <c r="D64" s="164"/>
      <c r="J64" s="159"/>
    </row>
    <row r="65">
      <c r="C65" s="116"/>
      <c r="D65" s="164"/>
      <c r="J65" s="159"/>
    </row>
    <row r="66">
      <c r="C66" s="116"/>
      <c r="D66" s="164"/>
      <c r="J66" s="159"/>
    </row>
    <row r="67">
      <c r="C67" s="116"/>
      <c r="D67" s="164"/>
      <c r="J67" s="159"/>
    </row>
    <row r="68">
      <c r="C68" s="116"/>
      <c r="D68" s="164"/>
      <c r="J68" s="159"/>
    </row>
    <row r="69">
      <c r="C69" s="116"/>
      <c r="D69" s="164"/>
      <c r="J69" s="159"/>
    </row>
    <row r="70">
      <c r="C70" s="116"/>
      <c r="D70" s="164"/>
      <c r="J70" s="159"/>
    </row>
    <row r="71">
      <c r="C71" s="116"/>
      <c r="D71" s="164"/>
      <c r="J71" s="159"/>
    </row>
    <row r="72">
      <c r="C72" s="116"/>
      <c r="D72" s="164"/>
      <c r="J72" s="159"/>
    </row>
    <row r="73">
      <c r="C73" s="116"/>
      <c r="D73" s="164"/>
      <c r="J73" s="159"/>
    </row>
    <row r="74">
      <c r="C74" s="116"/>
      <c r="D74" s="164"/>
      <c r="J74" s="159"/>
    </row>
    <row r="75">
      <c r="C75" s="116"/>
      <c r="D75" s="164"/>
      <c r="J75" s="159"/>
    </row>
    <row r="76">
      <c r="C76" s="116"/>
      <c r="D76" s="164"/>
      <c r="J76" s="159"/>
    </row>
    <row r="77">
      <c r="C77" s="116"/>
      <c r="D77" s="164"/>
      <c r="J77" s="159"/>
    </row>
    <row r="78">
      <c r="C78" s="116"/>
      <c r="D78" s="164"/>
      <c r="J78" s="159"/>
    </row>
    <row r="79">
      <c r="C79" s="116"/>
      <c r="D79" s="164"/>
      <c r="J79" s="159"/>
    </row>
    <row r="80">
      <c r="C80" s="116"/>
      <c r="D80" s="164"/>
      <c r="J80" s="159"/>
    </row>
    <row r="81">
      <c r="C81" s="116"/>
      <c r="D81" s="164"/>
      <c r="J81" s="159"/>
    </row>
    <row r="82">
      <c r="C82" s="116"/>
      <c r="D82" s="164"/>
      <c r="J82" s="159"/>
    </row>
    <row r="83">
      <c r="C83" s="116"/>
      <c r="D83" s="164"/>
      <c r="J83" s="159"/>
    </row>
    <row r="84">
      <c r="C84" s="116"/>
      <c r="D84" s="164"/>
      <c r="J84" s="159"/>
    </row>
    <row r="85">
      <c r="C85" s="116"/>
      <c r="D85" s="164"/>
      <c r="J85" s="159"/>
    </row>
    <row r="86">
      <c r="C86" s="116"/>
      <c r="D86" s="164"/>
      <c r="J86" s="159"/>
    </row>
    <row r="87">
      <c r="C87" s="116"/>
      <c r="D87" s="164"/>
      <c r="J87" s="159"/>
    </row>
    <row r="88">
      <c r="C88" s="116"/>
      <c r="D88" s="164"/>
      <c r="J88" s="159"/>
    </row>
    <row r="89">
      <c r="C89" s="116"/>
      <c r="D89" s="164"/>
      <c r="J89" s="159"/>
    </row>
    <row r="90">
      <c r="C90" s="116"/>
      <c r="D90" s="164"/>
      <c r="J90" s="159"/>
    </row>
    <row r="91">
      <c r="C91" s="116"/>
      <c r="D91" s="164"/>
      <c r="J91" s="159"/>
    </row>
    <row r="92">
      <c r="C92" s="116"/>
      <c r="D92" s="164"/>
      <c r="J92" s="159"/>
    </row>
    <row r="93">
      <c r="C93" s="116"/>
      <c r="D93" s="164"/>
      <c r="J93" s="159"/>
    </row>
  </sheetData>
  <mergeCells count="3">
    <mergeCell ref="B1:C1"/>
    <mergeCell ref="H1:H2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3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/>
  </sheetViews>
  <sheetFormatPr customHeight="1" defaultColWidth="12.63" defaultRowHeight="15.75" outlineLevelCol="1"/>
  <cols>
    <col customWidth="1" min="1" max="1" width="7.25"/>
    <col customWidth="1" min="2" max="2" width="10.0"/>
    <col customWidth="1" min="3" max="3" width="13.88"/>
    <col customWidth="1" min="4" max="4" width="13.75"/>
    <col customWidth="1" min="5" max="5" width="18.13"/>
    <col customWidth="1" min="6" max="6" width="14.25"/>
    <col customWidth="1" min="7" max="7" width="41.38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31</v>
      </c>
      <c r="D1" s="37" t="s">
        <v>32</v>
      </c>
      <c r="E1" s="2" t="s">
        <v>79</v>
      </c>
      <c r="F1" s="66" t="s">
        <v>147</v>
      </c>
      <c r="G1" s="165" t="s">
        <v>1897</v>
      </c>
      <c r="H1" s="2"/>
      <c r="I1" s="97" t="s">
        <v>769</v>
      </c>
      <c r="J1" s="100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1898</v>
      </c>
      <c r="H2" s="2"/>
      <c r="J2" s="100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100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100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102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  <c r="J6" s="83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03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50.3943832416567</v>
      </c>
      <c r="D8" s="43">
        <v>-4.04586996816851</v>
      </c>
      <c r="E8" s="43" t="s">
        <v>98</v>
      </c>
      <c r="F8" s="44" t="s">
        <v>319</v>
      </c>
      <c r="G8" s="45" t="s">
        <v>1899</v>
      </c>
      <c r="H8" s="44"/>
      <c r="I8" s="11" t="b">
        <v>1</v>
      </c>
      <c r="J8" s="83" t="str">
        <f t="shared" ref="J8:J59" si="1">if(I8=true,"",S8)</f>
        <v/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IFERROR(__xludf.DUMMYFUNCTION("""COMPUTED_VALUE"""),3101.0)</f>
        <v>3101</v>
      </c>
      <c r="S8" s="51">
        <v>44042.53080923611</v>
      </c>
    </row>
    <row r="9">
      <c r="A9" s="43">
        <v>1.0</v>
      </c>
      <c r="B9" s="43">
        <v>4.0</v>
      </c>
      <c r="C9" s="43">
        <v>50.3943832414389</v>
      </c>
      <c r="D9" s="43">
        <v>-4.04564450847669</v>
      </c>
      <c r="E9" s="43" t="s">
        <v>98</v>
      </c>
      <c r="F9" s="44" t="s">
        <v>101</v>
      </c>
      <c r="G9" s="45" t="s">
        <v>1900</v>
      </c>
      <c r="H9" s="133"/>
      <c r="I9" s="11" t="b">
        <v>1</v>
      </c>
      <c r="J9" s="83" t="str">
        <f t="shared" si="1"/>
        <v/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IFERROR(__xludf.DUMMYFUNCTION("""COMPUTED_VALUE"""),4202.0)</f>
        <v>4202</v>
      </c>
      <c r="S9" s="51">
        <v>44041.880875613424</v>
      </c>
    </row>
    <row r="10">
      <c r="A10" s="43">
        <v>1.0</v>
      </c>
      <c r="B10" s="43">
        <v>5.0</v>
      </c>
      <c r="C10" s="43">
        <v>50.394383241221</v>
      </c>
      <c r="D10" s="43">
        <v>-4.04541904878487</v>
      </c>
      <c r="E10" s="43" t="s">
        <v>103</v>
      </c>
      <c r="F10" s="44" t="s">
        <v>104</v>
      </c>
      <c r="G10" s="45" t="s">
        <v>1901</v>
      </c>
      <c r="H10" s="133"/>
      <c r="I10" s="11" t="b">
        <v>1</v>
      </c>
      <c r="J10" s="83" t="str">
        <f t="shared" si="1"/>
        <v/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IFERROR(__xludf.DUMMYFUNCTION("""COMPUTED_VALUE"""),2288.0)</f>
        <v>2288</v>
      </c>
      <c r="S10" s="51">
        <v>44041.88093547453</v>
      </c>
    </row>
    <row r="11">
      <c r="A11" s="43">
        <v>1.0</v>
      </c>
      <c r="B11" s="43">
        <v>6.0</v>
      </c>
      <c r="C11" s="43">
        <v>50.3943832410031</v>
      </c>
      <c r="D11" s="43">
        <v>-4.04519358909306</v>
      </c>
      <c r="E11" s="43" t="s">
        <v>103</v>
      </c>
      <c r="F11" s="44" t="s">
        <v>106</v>
      </c>
      <c r="G11" s="45" t="s">
        <v>1902</v>
      </c>
      <c r="H11" s="118">
        <v>44046.0</v>
      </c>
      <c r="I11" s="11" t="b">
        <v>1</v>
      </c>
      <c r="J11" s="83" t="str">
        <f t="shared" si="1"/>
        <v/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IFERROR(__xludf.DUMMYFUNCTION("""COMPUTED_VALUE"""),2989.0)</f>
        <v>2989</v>
      </c>
      <c r="S11" s="51">
        <v>44041.88097938657</v>
      </c>
    </row>
    <row r="12">
      <c r="A12" s="43">
        <v>2.0</v>
      </c>
      <c r="B12" s="43">
        <v>2.0</v>
      </c>
      <c r="C12" s="43">
        <v>50.3942395114291</v>
      </c>
      <c r="D12" s="43">
        <v>-4.0460954463175</v>
      </c>
      <c r="E12" s="43" t="s">
        <v>98</v>
      </c>
      <c r="F12" s="44" t="s">
        <v>116</v>
      </c>
      <c r="G12" s="45" t="s">
        <v>1903</v>
      </c>
      <c r="H12" s="44"/>
      <c r="I12" s="11" t="b">
        <v>1</v>
      </c>
      <c r="J12" s="83" t="str">
        <f t="shared" si="1"/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IFERROR(__xludf.DUMMYFUNCTION("""COMPUTED_VALUE"""),"fsafranek")</f>
        <v>fsafranek</v>
      </c>
      <c r="R12" s="49">
        <f>IFERROR(__xludf.DUMMYFUNCTION("""COMPUTED_VALUE"""),4130.0)</f>
        <v>4130</v>
      </c>
      <c r="S12" s="49"/>
    </row>
    <row r="13">
      <c r="A13" s="43">
        <v>2.0</v>
      </c>
      <c r="B13" s="43">
        <v>3.0</v>
      </c>
      <c r="C13" s="43">
        <v>50.3942395112113</v>
      </c>
      <c r="D13" s="43">
        <v>-4.04586998730928</v>
      </c>
      <c r="E13" s="43" t="s">
        <v>98</v>
      </c>
      <c r="F13" s="44" t="s">
        <v>1904</v>
      </c>
      <c r="G13" s="52" t="s">
        <v>1905</v>
      </c>
      <c r="H13" s="46"/>
      <c r="I13" s="11" t="b">
        <v>1</v>
      </c>
      <c r="J13" s="83" t="str">
        <f t="shared" si="1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IFERROR(__xludf.DUMMYFUNCTION("""COMPUTED_VALUE"""),"MadDogLady")</f>
        <v>MadDogLady</v>
      </c>
      <c r="R13" s="49">
        <f>IFERROR(__xludf.DUMMYFUNCTION("""COMPUTED_VALUE"""),2236.0)</f>
        <v>2236</v>
      </c>
      <c r="S13" s="49"/>
    </row>
    <row r="14">
      <c r="A14" s="43">
        <v>2.0</v>
      </c>
      <c r="B14" s="43">
        <v>4.0</v>
      </c>
      <c r="C14" s="43">
        <v>50.3942395109934</v>
      </c>
      <c r="D14" s="43">
        <v>-4.04564452830106</v>
      </c>
      <c r="E14" s="43" t="s">
        <v>98</v>
      </c>
      <c r="F14" s="44" t="s">
        <v>1906</v>
      </c>
      <c r="G14" s="52" t="s">
        <v>1907</v>
      </c>
      <c r="H14" s="46"/>
      <c r="I14" s="11" t="b">
        <v>1</v>
      </c>
      <c r="J14" s="83" t="str">
        <f t="shared" si="1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IFERROR(__xludf.DUMMYFUNCTION("""COMPUTED_VALUE"""),"Sinister")</f>
        <v>Sinister</v>
      </c>
      <c r="R14" s="49">
        <f>IFERROR(__xludf.DUMMYFUNCTION("""COMPUTED_VALUE"""),2259.0)</f>
        <v>2259</v>
      </c>
      <c r="S14" s="49"/>
    </row>
    <row r="15">
      <c r="A15" s="43">
        <v>2.0</v>
      </c>
      <c r="B15" s="43">
        <v>5.0</v>
      </c>
      <c r="C15" s="43">
        <v>50.3942395107755</v>
      </c>
      <c r="D15" s="43">
        <v>-4.04541906929284</v>
      </c>
      <c r="E15" s="43" t="s">
        <v>103</v>
      </c>
      <c r="F15" s="44" t="s">
        <v>1122</v>
      </c>
      <c r="G15" s="45" t="s">
        <v>1908</v>
      </c>
      <c r="H15" s="46"/>
      <c r="I15" s="11" t="b">
        <v>1</v>
      </c>
      <c r="J15" s="83" t="str">
        <f t="shared" si="1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IFERROR(__xludf.DUMMYFUNCTION("""COMPUTED_VALUE"""),"Drazoria")</f>
        <v>Drazoria</v>
      </c>
      <c r="R15" s="49">
        <f>IFERROR(__xludf.DUMMYFUNCTION("""COMPUTED_VALUE"""),753.0)</f>
        <v>753</v>
      </c>
      <c r="S15" s="51">
        <v>44042.73003861112</v>
      </c>
    </row>
    <row r="16">
      <c r="A16" s="43">
        <v>2.0</v>
      </c>
      <c r="B16" s="43">
        <v>6.0</v>
      </c>
      <c r="C16" s="43">
        <v>50.3942395105576</v>
      </c>
      <c r="D16" s="43">
        <v>-4.04519361028462</v>
      </c>
      <c r="E16" s="43" t="s">
        <v>98</v>
      </c>
      <c r="F16" s="44" t="s">
        <v>1124</v>
      </c>
      <c r="G16" s="45" t="s">
        <v>1909</v>
      </c>
      <c r="H16" s="46"/>
      <c r="I16" s="11" t="b">
        <v>1</v>
      </c>
      <c r="J16" s="83" t="str">
        <f t="shared" si="1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IFERROR(__xludf.DUMMYFUNCTION("""COMPUTED_VALUE"""),"Tinake1309")</f>
        <v>Tinake1309</v>
      </c>
      <c r="R16" s="49">
        <f>IFERROR(__xludf.DUMMYFUNCTION("""COMPUTED_VALUE"""),750.0)</f>
        <v>750</v>
      </c>
      <c r="S16" s="51">
        <v>44042.73007438658</v>
      </c>
    </row>
    <row r="17">
      <c r="A17" s="43">
        <v>2.0</v>
      </c>
      <c r="B17" s="43">
        <v>7.0</v>
      </c>
      <c r="C17" s="43">
        <v>50.3942395103398</v>
      </c>
      <c r="D17" s="43">
        <v>-4.0449681512764</v>
      </c>
      <c r="E17" s="43" t="s">
        <v>98</v>
      </c>
      <c r="F17" s="44" t="s">
        <v>1128</v>
      </c>
      <c r="G17" s="45" t="s">
        <v>1910</v>
      </c>
      <c r="H17" s="46"/>
      <c r="I17" s="11" t="b">
        <v>1</v>
      </c>
      <c r="J17" s="83" t="str">
        <f t="shared" si="1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IFERROR(__xludf.DUMMYFUNCTION("""COMPUTED_VALUE"""),"Berg14")</f>
        <v>Berg14</v>
      </c>
      <c r="R17" s="49">
        <f>IFERROR(__xludf.DUMMYFUNCTION("""COMPUTED_VALUE"""),579.0)</f>
        <v>579</v>
      </c>
      <c r="S17" s="51">
        <v>44042.730108564814</v>
      </c>
    </row>
    <row r="18">
      <c r="A18" s="43">
        <v>3.0</v>
      </c>
      <c r="B18" s="43">
        <v>1.0</v>
      </c>
      <c r="C18" s="43">
        <v>50.3940957812016</v>
      </c>
      <c r="D18" s="43">
        <v>-4.04632092309634</v>
      </c>
      <c r="E18" s="43" t="s">
        <v>98</v>
      </c>
      <c r="F18" s="44" t="s">
        <v>1126</v>
      </c>
      <c r="G18" s="45" t="s">
        <v>1911</v>
      </c>
      <c r="H18" s="46"/>
      <c r="I18" s="11" t="b">
        <v>1</v>
      </c>
      <c r="J18" s="83" t="str">
        <f t="shared" si="1"/>
        <v/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IFERROR(__xludf.DUMMYFUNCTION("""COMPUTED_VALUE"""),"Niks13")</f>
        <v>Niks13</v>
      </c>
      <c r="R18" s="49">
        <f>IFERROR(__xludf.DUMMYFUNCTION("""COMPUTED_VALUE"""),555.0)</f>
        <v>555</v>
      </c>
      <c r="S18" s="51">
        <v>44042.73012891204</v>
      </c>
    </row>
    <row r="19">
      <c r="A19" s="43">
        <v>3.0</v>
      </c>
      <c r="B19" s="43">
        <v>2.0</v>
      </c>
      <c r="C19" s="43">
        <v>50.3940957809837</v>
      </c>
      <c r="D19" s="43">
        <v>-4.04609546477161</v>
      </c>
      <c r="E19" s="43" t="s">
        <v>98</v>
      </c>
      <c r="F19" s="44" t="s">
        <v>950</v>
      </c>
      <c r="G19" s="45" t="s">
        <v>1912</v>
      </c>
      <c r="H19" s="46"/>
      <c r="I19" s="11" t="b">
        <v>1</v>
      </c>
      <c r="J19" s="83" t="str">
        <f t="shared" si="1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IFERROR(__xludf.DUMMYFUNCTION("""COMPUTED_VALUE"""),"babyw")</f>
        <v>babyw</v>
      </c>
      <c r="R19" s="49">
        <f>IFERROR(__xludf.DUMMYFUNCTION("""COMPUTED_VALUE"""),3105.0)</f>
        <v>3105</v>
      </c>
      <c r="S19" s="49"/>
    </row>
    <row r="20">
      <c r="A20" s="43">
        <v>3.0</v>
      </c>
      <c r="B20" s="43">
        <v>3.0</v>
      </c>
      <c r="C20" s="43">
        <v>50.3940957807658</v>
      </c>
      <c r="D20" s="43">
        <v>-4.04587000644687</v>
      </c>
      <c r="E20" s="43" t="s">
        <v>98</v>
      </c>
      <c r="F20" s="44" t="s">
        <v>178</v>
      </c>
      <c r="G20" s="45" t="s">
        <v>1913</v>
      </c>
      <c r="H20" s="46"/>
      <c r="I20" s="11" t="b">
        <v>1</v>
      </c>
      <c r="J20" s="83" t="str">
        <f t="shared" si="1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IFERROR(__xludf.DUMMYFUNCTION("""COMPUTED_VALUE"""),"lison55")</f>
        <v>lison55</v>
      </c>
      <c r="R20" s="49">
        <f>IFERROR(__xludf.DUMMYFUNCTION("""COMPUTED_VALUE"""),5344.0)</f>
        <v>5344</v>
      </c>
      <c r="S20" s="49"/>
    </row>
    <row r="21">
      <c r="A21" s="43">
        <v>3.0</v>
      </c>
      <c r="B21" s="43">
        <v>4.0</v>
      </c>
      <c r="C21" s="43">
        <v>50.394095780548</v>
      </c>
      <c r="D21" s="43">
        <v>-4.04564454812214</v>
      </c>
      <c r="E21" s="43" t="s">
        <v>98</v>
      </c>
      <c r="F21" s="62" t="s">
        <v>114</v>
      </c>
      <c r="G21" s="52" t="s">
        <v>1914</v>
      </c>
      <c r="H21" s="44"/>
      <c r="I21" s="11" t="b">
        <v>1</v>
      </c>
      <c r="J21" s="83" t="str">
        <f t="shared" si="1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IFERROR(__xludf.DUMMYFUNCTION("""COMPUTED_VALUE"""),"J1Huisman")</f>
        <v>J1Huisman</v>
      </c>
      <c r="R21" s="49">
        <f>IFERROR(__xludf.DUMMYFUNCTION("""COMPUTED_VALUE"""),11301.0)</f>
        <v>11301</v>
      </c>
      <c r="S21" s="49"/>
    </row>
    <row r="22">
      <c r="A22" s="43">
        <v>3.0</v>
      </c>
      <c r="B22" s="43">
        <v>5.0</v>
      </c>
      <c r="C22" s="43">
        <v>50.3940957803301</v>
      </c>
      <c r="D22" s="43">
        <v>-4.0454190897974</v>
      </c>
      <c r="E22" s="43" t="s">
        <v>98</v>
      </c>
      <c r="F22" s="62" t="s">
        <v>169</v>
      </c>
      <c r="G22" s="52" t="s">
        <v>1915</v>
      </c>
      <c r="H22" s="44"/>
      <c r="I22" s="11" t="b">
        <v>1</v>
      </c>
      <c r="J22" s="83" t="str">
        <f t="shared" si="1"/>
        <v/>
      </c>
      <c r="K22" s="49" t="str">
        <f>IFERROR(__xludf.DUMMYFUNCTION("IF(M22=1,IFERROR(IMPORTXML(G22, ""//p[@class='status-date']""),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IFERROR(__xludf.DUMMYFUNCTION("""COMPUTED_VALUE"""),"Pinkeltje")</f>
        <v>Pinkeltje</v>
      </c>
      <c r="R22" s="49">
        <f>IFERROR(__xludf.DUMMYFUNCTION("""COMPUTED_VALUE"""),1209.0)</f>
        <v>1209</v>
      </c>
      <c r="S22" s="49"/>
    </row>
    <row r="23">
      <c r="A23" s="43">
        <v>3.0</v>
      </c>
      <c r="B23" s="43">
        <v>6.0</v>
      </c>
      <c r="C23" s="43">
        <v>50.3940957801122</v>
      </c>
      <c r="D23" s="43">
        <v>-4.04519363147267</v>
      </c>
      <c r="E23" s="43" t="s">
        <v>98</v>
      </c>
      <c r="F23" s="44" t="s">
        <v>920</v>
      </c>
      <c r="G23" s="45" t="s">
        <v>1916</v>
      </c>
      <c r="H23" s="46"/>
      <c r="I23" s="11" t="b">
        <v>1</v>
      </c>
      <c r="J23" s="83" t="str">
        <f t="shared" si="1"/>
        <v/>
      </c>
      <c r="K23" s="49" t="str">
        <f>IFERROR(__xludf.DUMMYFUNCTION("IF(M23=1,IFERROR(IMPORTXML(G23, ""//p[@class='status-date']""),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IFERROR(__xludf.DUMMYFUNCTION("""COMPUTED_VALUE"""),"FromTheTardis")</f>
        <v>FromTheTardis</v>
      </c>
      <c r="R23" s="49">
        <f>IFERROR(__xludf.DUMMYFUNCTION("""COMPUTED_VALUE"""),1386.0)</f>
        <v>1386</v>
      </c>
      <c r="S23" s="49"/>
    </row>
    <row r="24">
      <c r="A24" s="43">
        <v>3.0</v>
      </c>
      <c r="B24" s="43">
        <v>7.0</v>
      </c>
      <c r="C24" s="43">
        <v>50.3940957798944</v>
      </c>
      <c r="D24" s="43">
        <v>-4.04496817314793</v>
      </c>
      <c r="E24" s="43" t="s">
        <v>98</v>
      </c>
      <c r="F24" s="44" t="s">
        <v>926</v>
      </c>
      <c r="G24" s="45" t="s">
        <v>1917</v>
      </c>
      <c r="H24" s="46"/>
      <c r="I24" s="11" t="b">
        <v>1</v>
      </c>
      <c r="J24" s="83" t="str">
        <f t="shared" si="1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IFERROR(__xludf.DUMMYFUNCTION("""COMPUTED_VALUE"""),"Lanyasummer")</f>
        <v>Lanyasummer</v>
      </c>
      <c r="R24" s="49">
        <f>IFERROR(__xludf.DUMMYFUNCTION("""COMPUTED_VALUE"""),4385.0)</f>
        <v>4385</v>
      </c>
      <c r="S24" s="49"/>
    </row>
    <row r="25">
      <c r="A25" s="43">
        <v>3.0</v>
      </c>
      <c r="B25" s="43">
        <v>8.0</v>
      </c>
      <c r="C25" s="43">
        <v>50.3940957796765</v>
      </c>
      <c r="D25" s="43">
        <v>-4.0447427148232</v>
      </c>
      <c r="E25" s="43" t="s">
        <v>98</v>
      </c>
      <c r="F25" s="44" t="s">
        <v>120</v>
      </c>
      <c r="G25" s="65" t="s">
        <v>1918</v>
      </c>
      <c r="H25" s="46"/>
      <c r="I25" s="11" t="b">
        <v>1</v>
      </c>
      <c r="J25" s="83" t="str">
        <f t="shared" si="1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IFERROR(__xludf.DUMMYFUNCTION("""COMPUTED_VALUE"""),"xrayneex")</f>
        <v>xrayneex</v>
      </c>
      <c r="R25" s="49">
        <f>IFERROR(__xludf.DUMMYFUNCTION("""COMPUTED_VALUE"""),1414.0)</f>
        <v>1414</v>
      </c>
      <c r="S25" s="49"/>
    </row>
    <row r="26">
      <c r="A26" s="43">
        <v>4.0</v>
      </c>
      <c r="B26" s="43">
        <v>1.0</v>
      </c>
      <c r="C26" s="43">
        <v>50.3939520507561</v>
      </c>
      <c r="D26" s="43">
        <v>-4.04632094086946</v>
      </c>
      <c r="E26" s="43" t="s">
        <v>98</v>
      </c>
      <c r="F26" s="44" t="s">
        <v>885</v>
      </c>
      <c r="G26" s="45" t="s">
        <v>1919</v>
      </c>
      <c r="H26" s="46"/>
      <c r="I26" s="11" t="b">
        <v>1</v>
      </c>
      <c r="J26" s="83" t="str">
        <f t="shared" si="1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IFERROR(__xludf.DUMMYFUNCTION("""COMPUTED_VALUE"""),"JackSparrow")</f>
        <v>JackSparrow</v>
      </c>
      <c r="R26" s="49">
        <f>IFERROR(__xludf.DUMMYFUNCTION("""COMPUTED_VALUE"""),19747.0)</f>
        <v>19747</v>
      </c>
      <c r="S26" s="49"/>
    </row>
    <row r="27">
      <c r="A27" s="43">
        <v>4.0</v>
      </c>
      <c r="B27" s="43">
        <v>2.0</v>
      </c>
      <c r="C27" s="43">
        <v>50.3939520505383</v>
      </c>
      <c r="D27" s="43">
        <v>-4.04609548322832</v>
      </c>
      <c r="E27" s="43" t="s">
        <v>103</v>
      </c>
      <c r="F27" s="44" t="s">
        <v>629</v>
      </c>
      <c r="G27" s="54" t="s">
        <v>1920</v>
      </c>
      <c r="H27" s="46"/>
      <c r="I27" s="11" t="b">
        <v>1</v>
      </c>
      <c r="J27" s="83" t="str">
        <f t="shared" si="1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IFERROR(__xludf.DUMMYFUNCTION("""COMPUTED_VALUE"""),"IggiePiggie")</f>
        <v>IggiePiggie</v>
      </c>
      <c r="R27" s="49">
        <f>IFERROR(__xludf.DUMMYFUNCTION("""COMPUTED_VALUE"""),1858.0)</f>
        <v>1858</v>
      </c>
      <c r="S27" s="49"/>
    </row>
    <row r="28">
      <c r="A28" s="43">
        <v>4.0</v>
      </c>
      <c r="B28" s="43">
        <v>3.0</v>
      </c>
      <c r="C28" s="43">
        <v>50.3939520503204</v>
      </c>
      <c r="D28" s="43">
        <v>-4.04587002558719</v>
      </c>
      <c r="E28" s="43" t="s">
        <v>98</v>
      </c>
      <c r="F28" s="44" t="s">
        <v>1025</v>
      </c>
      <c r="G28" s="45" t="s">
        <v>1921</v>
      </c>
      <c r="H28" s="46"/>
      <c r="I28" s="11" t="b">
        <v>1</v>
      </c>
      <c r="J28" s="83" t="str">
        <f t="shared" si="1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IFERROR(__xludf.DUMMYFUNCTION("""COMPUTED_VALUE"""),"upapou")</f>
        <v>upapou</v>
      </c>
      <c r="R28" s="49">
        <f>IFERROR(__xludf.DUMMYFUNCTION("""COMPUTED_VALUE"""),987.0)</f>
        <v>987</v>
      </c>
      <c r="S28" s="49"/>
    </row>
    <row r="29">
      <c r="A29" s="43">
        <v>4.0</v>
      </c>
      <c r="B29" s="43">
        <v>4.0</v>
      </c>
      <c r="C29" s="43">
        <v>50.3939520501025</v>
      </c>
      <c r="D29" s="43">
        <v>-4.04564456794605</v>
      </c>
      <c r="E29" s="43" t="s">
        <v>98</v>
      </c>
      <c r="F29" s="44" t="s">
        <v>182</v>
      </c>
      <c r="G29" s="45" t="s">
        <v>1922</v>
      </c>
      <c r="H29" s="46"/>
      <c r="I29" s="11" t="b">
        <v>1</v>
      </c>
      <c r="J29" s="83" t="str">
        <f t="shared" si="1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IFERROR(__xludf.DUMMYFUNCTION("""COMPUTED_VALUE"""),"TheFatCats")</f>
        <v>TheFatCats</v>
      </c>
      <c r="R29" s="49">
        <f>IFERROR(__xludf.DUMMYFUNCTION("""COMPUTED_VALUE"""),3562.0)</f>
        <v>3562</v>
      </c>
      <c r="S29" s="49"/>
    </row>
    <row r="30">
      <c r="A30" s="43">
        <v>4.0</v>
      </c>
      <c r="B30" s="43">
        <v>5.0</v>
      </c>
      <c r="C30" s="43">
        <v>50.3939520498846</v>
      </c>
      <c r="D30" s="43">
        <v>-4.04541911030492</v>
      </c>
      <c r="E30" s="43" t="s">
        <v>98</v>
      </c>
      <c r="F30" s="44" t="s">
        <v>147</v>
      </c>
      <c r="G30" s="52" t="s">
        <v>1923</v>
      </c>
      <c r="H30" s="46"/>
      <c r="I30" s="11" t="b">
        <v>1</v>
      </c>
      <c r="J30" s="83" t="str">
        <f t="shared" si="1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IFERROR(__xludf.DUMMYFUNCTION("""COMPUTED_VALUE"""),"123xilef")</f>
        <v>123xilef</v>
      </c>
      <c r="R30" s="49">
        <f>IFERROR(__xludf.DUMMYFUNCTION("""COMPUTED_VALUE"""),6918.0)</f>
        <v>6918</v>
      </c>
      <c r="S30" s="49"/>
    </row>
    <row r="31">
      <c r="A31" s="43">
        <v>4.0</v>
      </c>
      <c r="B31" s="43">
        <v>6.0</v>
      </c>
      <c r="C31" s="43">
        <v>50.3939520496668</v>
      </c>
      <c r="D31" s="43">
        <v>-4.04519365266378</v>
      </c>
      <c r="E31" s="43" t="s">
        <v>103</v>
      </c>
      <c r="F31" s="44" t="s">
        <v>243</v>
      </c>
      <c r="G31" s="65" t="s">
        <v>1924</v>
      </c>
      <c r="H31" s="146">
        <v>43959.0</v>
      </c>
      <c r="I31" s="11" t="b">
        <v>1</v>
      </c>
      <c r="J31" s="83" t="str">
        <f t="shared" si="1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IFERROR(__xludf.DUMMYFUNCTION("""COMPUTED_VALUE"""),"Aniara")</f>
        <v>Aniara</v>
      </c>
      <c r="R31" s="49">
        <f>IFERROR(__xludf.DUMMYFUNCTION("""COMPUTED_VALUE"""),6614.0)</f>
        <v>6614</v>
      </c>
      <c r="S31" s="49"/>
    </row>
    <row r="32">
      <c r="A32" s="43">
        <v>4.0</v>
      </c>
      <c r="B32" s="43">
        <v>7.0</v>
      </c>
      <c r="C32" s="43">
        <v>50.3939520494489</v>
      </c>
      <c r="D32" s="43">
        <v>-4.04496819502264</v>
      </c>
      <c r="E32" s="43" t="s">
        <v>98</v>
      </c>
      <c r="F32" s="44" t="s">
        <v>182</v>
      </c>
      <c r="G32" s="45" t="s">
        <v>1925</v>
      </c>
      <c r="H32" s="46"/>
      <c r="I32" s="11" t="b">
        <v>1</v>
      </c>
      <c r="J32" s="83" t="str">
        <f t="shared" si="1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IFERROR(__xludf.DUMMYFUNCTION("""COMPUTED_VALUE"""),"TheFatCats")</f>
        <v>TheFatCats</v>
      </c>
      <c r="R32" s="49">
        <f>IFERROR(__xludf.DUMMYFUNCTION("""COMPUTED_VALUE"""),3572.0)</f>
        <v>3572</v>
      </c>
      <c r="S32" s="49"/>
    </row>
    <row r="33">
      <c r="A33" s="43">
        <v>4.0</v>
      </c>
      <c r="B33" s="43">
        <v>8.0</v>
      </c>
      <c r="C33" s="43">
        <v>50.393952049231</v>
      </c>
      <c r="D33" s="43">
        <v>-4.04474273738151</v>
      </c>
      <c r="E33" s="43" t="s">
        <v>98</v>
      </c>
      <c r="F33" s="44" t="s">
        <v>879</v>
      </c>
      <c r="G33" s="65" t="s">
        <v>1926</v>
      </c>
      <c r="H33" s="46"/>
      <c r="I33" s="11" t="b">
        <v>1</v>
      </c>
      <c r="J33" s="83" t="str">
        <f t="shared" si="1"/>
        <v/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IFERROR(__xludf.DUMMYFUNCTION("""COMPUTED_VALUE"""),"Franca")</f>
        <v>Franca</v>
      </c>
      <c r="R33" s="49">
        <f>IFERROR(__xludf.DUMMYFUNCTION("""COMPUTED_VALUE"""),545.0)</f>
        <v>545</v>
      </c>
      <c r="S33" s="49"/>
    </row>
    <row r="34">
      <c r="A34" s="43">
        <v>5.0</v>
      </c>
      <c r="B34" s="43">
        <v>1.0</v>
      </c>
      <c r="C34" s="43">
        <v>50.3938083203107</v>
      </c>
      <c r="D34" s="43">
        <v>-4.04632095864053</v>
      </c>
      <c r="E34" s="43" t="s">
        <v>103</v>
      </c>
      <c r="F34" s="44" t="s">
        <v>157</v>
      </c>
      <c r="G34" s="45" t="s">
        <v>1927</v>
      </c>
      <c r="H34" s="46"/>
      <c r="I34" s="11" t="b">
        <v>1</v>
      </c>
      <c r="J34" s="83" t="str">
        <f t="shared" si="1"/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IFERROR(__xludf.DUMMYFUNCTION("""COMPUTED_VALUE"""),"barefootguru")</f>
        <v>barefootguru</v>
      </c>
      <c r="R34" s="49">
        <f>IFERROR(__xludf.DUMMYFUNCTION("""COMPUTED_VALUE"""),3132.0)</f>
        <v>3132</v>
      </c>
      <c r="S34" s="49"/>
    </row>
    <row r="35">
      <c r="A35" s="43">
        <v>5.0</v>
      </c>
      <c r="B35" s="43">
        <v>2.0</v>
      </c>
      <c r="C35" s="43">
        <v>50.3938083200928</v>
      </c>
      <c r="D35" s="43">
        <v>-4.04609550168288</v>
      </c>
      <c r="E35" s="43" t="s">
        <v>98</v>
      </c>
      <c r="F35" s="44" t="s">
        <v>141</v>
      </c>
      <c r="G35" s="54" t="s">
        <v>1928</v>
      </c>
      <c r="H35" s="44"/>
      <c r="I35" s="11" t="b">
        <v>1</v>
      </c>
      <c r="J35" s="83" t="str">
        <f t="shared" si="1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IFERROR(__xludf.DUMMYFUNCTION("""COMPUTED_VALUE"""),2405.0)</f>
        <v>2405</v>
      </c>
      <c r="S35" s="51">
        <v>44042.74920049768</v>
      </c>
    </row>
    <row r="36">
      <c r="A36" s="43">
        <v>5.0</v>
      </c>
      <c r="B36" s="43">
        <v>3.0</v>
      </c>
      <c r="C36" s="43">
        <v>50.393808319875</v>
      </c>
      <c r="D36" s="43">
        <v>-4.04587004472523</v>
      </c>
      <c r="E36" s="43" t="s">
        <v>103</v>
      </c>
      <c r="F36" s="44" t="s">
        <v>110</v>
      </c>
      <c r="G36" s="52" t="s">
        <v>1929</v>
      </c>
      <c r="H36" s="46"/>
      <c r="I36" s="11" t="b">
        <v>1</v>
      </c>
      <c r="J36" s="83" t="str">
        <f t="shared" si="1"/>
        <v/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IFERROR(__xludf.DUMMYFUNCTION("""COMPUTED_VALUE"""),"BrotherWilliam")</f>
        <v>BrotherWilliam</v>
      </c>
      <c r="R36" s="49">
        <f>IFERROR(__xludf.DUMMYFUNCTION("""COMPUTED_VALUE"""),3939.0)</f>
        <v>3939</v>
      </c>
      <c r="S36" s="51">
        <v>44042.530988032406</v>
      </c>
    </row>
    <row r="37">
      <c r="A37" s="43">
        <v>5.0</v>
      </c>
      <c r="B37" s="43">
        <v>4.0</v>
      </c>
      <c r="C37" s="43">
        <v>50.3938083196571</v>
      </c>
      <c r="D37" s="43">
        <v>-4.04564458776758</v>
      </c>
      <c r="E37" s="43" t="s">
        <v>98</v>
      </c>
      <c r="F37" s="44" t="s">
        <v>112</v>
      </c>
      <c r="G37" s="54" t="s">
        <v>1930</v>
      </c>
      <c r="H37" s="46"/>
      <c r="I37" s="11" t="b">
        <v>1</v>
      </c>
      <c r="J37" s="83" t="str">
        <f t="shared" si="1"/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IFERROR(__xludf.DUMMYFUNCTION("""COMPUTED_VALUE"""),"ArtofEco")</f>
        <v>ArtofEco</v>
      </c>
      <c r="R37" s="49">
        <f>IFERROR(__xludf.DUMMYFUNCTION("""COMPUTED_VALUE"""),2959.0)</f>
        <v>2959</v>
      </c>
      <c r="S37" s="51">
        <v>44042.5310250926</v>
      </c>
    </row>
    <row r="38">
      <c r="A38" s="43">
        <v>5.0</v>
      </c>
      <c r="B38" s="43">
        <v>5.0</v>
      </c>
      <c r="C38" s="43">
        <v>50.3938083194392</v>
      </c>
      <c r="D38" s="43">
        <v>-4.04541913080993</v>
      </c>
      <c r="E38" s="43" t="s">
        <v>98</v>
      </c>
      <c r="F38" s="44" t="s">
        <v>1904</v>
      </c>
      <c r="G38" s="52" t="s">
        <v>1931</v>
      </c>
      <c r="H38" s="46"/>
      <c r="I38" s="11" t="b">
        <v>1</v>
      </c>
      <c r="J38" s="83" t="str">
        <f t="shared" si="1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IFERROR(__xludf.DUMMYFUNCTION("""COMPUTED_VALUE"""),"MadDogLady")</f>
        <v>MadDogLady</v>
      </c>
      <c r="R38" s="49">
        <f>IFERROR(__xludf.DUMMYFUNCTION("""COMPUTED_VALUE"""),2222.0)</f>
        <v>2222</v>
      </c>
      <c r="S38" s="49"/>
    </row>
    <row r="39">
      <c r="A39" s="43">
        <v>5.0</v>
      </c>
      <c r="B39" s="43">
        <v>6.0</v>
      </c>
      <c r="C39" s="43">
        <v>50.3938083192213</v>
      </c>
      <c r="D39" s="43">
        <v>-4.04519367385228</v>
      </c>
      <c r="E39" s="43" t="s">
        <v>98</v>
      </c>
      <c r="F39" s="44" t="s">
        <v>1906</v>
      </c>
      <c r="G39" s="52" t="s">
        <v>1932</v>
      </c>
      <c r="H39" s="46"/>
      <c r="I39" s="11" t="b">
        <v>1</v>
      </c>
      <c r="J39" s="83" t="str">
        <f t="shared" si="1"/>
        <v/>
      </c>
      <c r="K39" s="49" t="str">
        <f>IFERROR(__xludf.DUMMYFUNCTION("IF(M39=1,IFERROR(IMPORTXML(G39, ""//p[@class='status-date']""),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IFERROR(__xludf.DUMMYFUNCTION("""COMPUTED_VALUE"""),"Sinister")</f>
        <v>Sinister</v>
      </c>
      <c r="R39" s="49">
        <f>IFERROR(__xludf.DUMMYFUNCTION("""COMPUTED_VALUE"""),2248.0)</f>
        <v>2248</v>
      </c>
      <c r="S39" s="49"/>
    </row>
    <row r="40">
      <c r="A40" s="43">
        <v>5.0</v>
      </c>
      <c r="B40" s="43">
        <v>7.0</v>
      </c>
      <c r="C40" s="43">
        <v>50.3938083190035</v>
      </c>
      <c r="D40" s="43">
        <v>-4.04496821689463</v>
      </c>
      <c r="E40" s="43" t="s">
        <v>98</v>
      </c>
      <c r="F40" s="44" t="s">
        <v>1523</v>
      </c>
      <c r="G40" s="45" t="s">
        <v>1933</v>
      </c>
      <c r="H40" s="46"/>
      <c r="I40" s="11" t="b">
        <v>1</v>
      </c>
      <c r="J40" s="83" t="str">
        <f t="shared" si="1"/>
        <v/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IFERROR(__xludf.DUMMYFUNCTION("""COMPUTED_VALUE"""),"MunziMeg")</f>
        <v>MunziMeg</v>
      </c>
      <c r="R40" s="49">
        <f>IFERROR(__xludf.DUMMYFUNCTION("""COMPUTED_VALUE"""),4452.0)</f>
        <v>4452</v>
      </c>
      <c r="S40" s="51">
        <v>44042.729375254625</v>
      </c>
    </row>
    <row r="41">
      <c r="A41" s="43">
        <v>5.0</v>
      </c>
      <c r="B41" s="43">
        <v>8.0</v>
      </c>
      <c r="C41" s="43">
        <v>50.3938083187856</v>
      </c>
      <c r="D41" s="43">
        <v>-4.04474275993698</v>
      </c>
      <c r="E41" s="43" t="s">
        <v>98</v>
      </c>
      <c r="F41" s="44" t="s">
        <v>1540</v>
      </c>
      <c r="G41" s="45" t="s">
        <v>1934</v>
      </c>
      <c r="H41" s="46"/>
      <c r="I41" s="11" t="b">
        <v>1</v>
      </c>
      <c r="J41" s="83" t="str">
        <f t="shared" si="1"/>
        <v/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IFERROR(__xludf.DUMMYFUNCTION("""COMPUTED_VALUE"""),"artofmunzeeing")</f>
        <v>artofmunzeeing</v>
      </c>
      <c r="R41" s="49">
        <f>IFERROR(__xludf.DUMMYFUNCTION("""COMPUTED_VALUE"""),3820.0)</f>
        <v>3820</v>
      </c>
      <c r="S41" s="49"/>
    </row>
    <row r="42">
      <c r="A42" s="43">
        <v>6.0</v>
      </c>
      <c r="B42" s="43">
        <v>1.0</v>
      </c>
      <c r="C42" s="43">
        <v>50.3936645898652</v>
      </c>
      <c r="D42" s="43">
        <v>-4.04632097641115</v>
      </c>
      <c r="E42" s="43" t="s">
        <v>98</v>
      </c>
      <c r="F42" s="44" t="s">
        <v>1523</v>
      </c>
      <c r="G42" s="45" t="s">
        <v>1935</v>
      </c>
      <c r="H42" s="46"/>
      <c r="I42" s="11" t="b">
        <v>1</v>
      </c>
      <c r="J42" s="83" t="str">
        <f t="shared" si="1"/>
        <v/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IFERROR(__xludf.DUMMYFUNCTION("""COMPUTED_VALUE"""),"MunziMeg")</f>
        <v>MunziMeg</v>
      </c>
      <c r="R42" s="49">
        <f>IFERROR(__xludf.DUMMYFUNCTION("""COMPUTED_VALUE"""),4460.0)</f>
        <v>4460</v>
      </c>
      <c r="S42" s="49"/>
    </row>
    <row r="43">
      <c r="A43" s="43">
        <v>6.0</v>
      </c>
      <c r="B43" s="43">
        <v>2.0</v>
      </c>
      <c r="C43" s="43">
        <v>50.3936645896474</v>
      </c>
      <c r="D43" s="43">
        <v>-4.04609552013698</v>
      </c>
      <c r="E43" s="43" t="s">
        <v>98</v>
      </c>
      <c r="F43" s="44" t="s">
        <v>1540</v>
      </c>
      <c r="G43" s="45" t="s">
        <v>1936</v>
      </c>
      <c r="H43" s="46"/>
      <c r="I43" s="11" t="b">
        <v>1</v>
      </c>
      <c r="J43" s="83" t="str">
        <f t="shared" si="1"/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IFERROR(__xludf.DUMMYFUNCTION("""COMPUTED_VALUE"""),"artofmunzeeing")</f>
        <v>artofmunzeeing</v>
      </c>
      <c r="R43" s="49">
        <f>IFERROR(__xludf.DUMMYFUNCTION("""COMPUTED_VALUE"""),3822.0)</f>
        <v>3822</v>
      </c>
      <c r="S43" s="49"/>
    </row>
    <row r="44">
      <c r="A44" s="43">
        <v>6.0</v>
      </c>
      <c r="B44" s="43">
        <v>3.0</v>
      </c>
      <c r="C44" s="43">
        <v>50.3936645894295</v>
      </c>
      <c r="D44" s="43">
        <v>-4.04587006386282</v>
      </c>
      <c r="E44" s="43" t="s">
        <v>103</v>
      </c>
      <c r="F44" s="44" t="s">
        <v>190</v>
      </c>
      <c r="G44" s="45" t="s">
        <v>1937</v>
      </c>
      <c r="H44" s="46"/>
      <c r="I44" s="11" t="b">
        <v>1</v>
      </c>
      <c r="J44" s="83" t="str">
        <f t="shared" si="1"/>
        <v/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IFERROR(__xludf.DUMMYFUNCTION("""COMPUTED_VALUE"""),"GroteSufferd")</f>
        <v>GroteSufferd</v>
      </c>
      <c r="R44" s="49">
        <f>IFERROR(__xludf.DUMMYFUNCTION("""COMPUTED_VALUE"""),374.0)</f>
        <v>374</v>
      </c>
      <c r="S44" s="49"/>
    </row>
    <row r="45">
      <c r="A45" s="43">
        <v>6.0</v>
      </c>
      <c r="B45" s="43">
        <v>4.0</v>
      </c>
      <c r="C45" s="43">
        <v>50.3936645892116</v>
      </c>
      <c r="D45" s="43">
        <v>-4.04564460758865</v>
      </c>
      <c r="E45" s="43" t="s">
        <v>98</v>
      </c>
      <c r="F45" s="44" t="s">
        <v>1523</v>
      </c>
      <c r="G45" s="45" t="s">
        <v>1938</v>
      </c>
      <c r="H45" s="46"/>
      <c r="I45" s="11" t="b">
        <v>1</v>
      </c>
      <c r="J45" s="83" t="str">
        <f t="shared" si="1"/>
        <v/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IFERROR(__xludf.DUMMYFUNCTION("""COMPUTED_VALUE"""),"MunziMeg")</f>
        <v>MunziMeg</v>
      </c>
      <c r="R45" s="49">
        <f>IFERROR(__xludf.DUMMYFUNCTION("""COMPUTED_VALUE"""),4449.0)</f>
        <v>4449</v>
      </c>
      <c r="S45" s="51">
        <v>44045.59472407408</v>
      </c>
    </row>
    <row r="46">
      <c r="A46" s="43">
        <v>6.0</v>
      </c>
      <c r="B46" s="43">
        <v>5.0</v>
      </c>
      <c r="C46" s="43">
        <v>50.3936645889937</v>
      </c>
      <c r="D46" s="43">
        <v>-4.04541915131449</v>
      </c>
      <c r="E46" s="43" t="s">
        <v>98</v>
      </c>
      <c r="F46" s="166" t="s">
        <v>1540</v>
      </c>
      <c r="G46" s="45" t="s">
        <v>1939</v>
      </c>
      <c r="H46" s="46"/>
      <c r="I46" s="11" t="b">
        <v>1</v>
      </c>
      <c r="J46" s="83" t="str">
        <f t="shared" si="1"/>
        <v/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IFERROR(__xludf.DUMMYFUNCTION("""COMPUTED_VALUE"""),"artofmunzeeing")</f>
        <v>artofmunzeeing</v>
      </c>
      <c r="R46" s="49">
        <f>IFERROR(__xludf.DUMMYFUNCTION("""COMPUTED_VALUE"""),3809.0)</f>
        <v>3809</v>
      </c>
      <c r="S46" s="49"/>
    </row>
    <row r="47">
      <c r="A47" s="43">
        <v>6.0</v>
      </c>
      <c r="B47" s="43">
        <v>6.0</v>
      </c>
      <c r="C47" s="43">
        <v>50.3936645887759</v>
      </c>
      <c r="D47" s="43">
        <v>-4.04519369504032</v>
      </c>
      <c r="E47" s="43" t="s">
        <v>103</v>
      </c>
      <c r="F47" s="44" t="s">
        <v>918</v>
      </c>
      <c r="G47" s="65" t="s">
        <v>1940</v>
      </c>
      <c r="H47" s="46"/>
      <c r="I47" s="11" t="b">
        <v>1</v>
      </c>
      <c r="J47" s="83" t="str">
        <f t="shared" si="1"/>
        <v/>
      </c>
      <c r="K47" s="49" t="str">
        <f>IFERROR(__xludf.DUMMYFUNCTION("IF(M47=1,IFERROR(IMPORTXML(G47, ""//p[@class='status-date']""),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IFERROR(__xludf.DUMMYFUNCTION("""COMPUTED_VALUE"""),"5Star")</f>
        <v>5Star</v>
      </c>
      <c r="R47" s="49">
        <f>IFERROR(__xludf.DUMMYFUNCTION("""COMPUTED_VALUE"""),5761.0)</f>
        <v>5761</v>
      </c>
      <c r="S47" s="51">
        <v>44041.88119017361</v>
      </c>
    </row>
    <row r="48">
      <c r="A48" s="43">
        <v>6.0</v>
      </c>
      <c r="B48" s="43">
        <v>7.0</v>
      </c>
      <c r="C48" s="43">
        <v>50.393664588558</v>
      </c>
      <c r="D48" s="43">
        <v>-4.04496823876616</v>
      </c>
      <c r="E48" s="43" t="s">
        <v>98</v>
      </c>
      <c r="F48" s="44" t="s">
        <v>145</v>
      </c>
      <c r="G48" s="52" t="s">
        <v>1941</v>
      </c>
      <c r="H48" s="46"/>
      <c r="I48" s="11" t="b">
        <v>1</v>
      </c>
      <c r="J48" s="83" t="str">
        <f t="shared" si="1"/>
        <v/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IFERROR(__xludf.DUMMYFUNCTION("""COMPUTED_VALUE"""),4239.0)</f>
        <v>4239</v>
      </c>
      <c r="S48" s="51">
        <v>44041.88151957176</v>
      </c>
    </row>
    <row r="49">
      <c r="A49" s="43">
        <v>6.0</v>
      </c>
      <c r="B49" s="43">
        <v>8.0</v>
      </c>
      <c r="C49" s="43">
        <v>50.3936645883401</v>
      </c>
      <c r="D49" s="43">
        <v>-4.04474278249199</v>
      </c>
      <c r="E49" s="43" t="s">
        <v>98</v>
      </c>
      <c r="F49" s="44" t="s">
        <v>147</v>
      </c>
      <c r="G49" s="45" t="s">
        <v>1942</v>
      </c>
      <c r="H49" s="46"/>
      <c r="I49" s="11" t="b">
        <v>1</v>
      </c>
      <c r="J49" s="83" t="str">
        <f t="shared" si="1"/>
        <v/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IFERROR(__xludf.DUMMYFUNCTION("""COMPUTED_VALUE"""),7061.0)</f>
        <v>7061</v>
      </c>
      <c r="S49" s="51">
        <v>44041.881641921296</v>
      </c>
    </row>
    <row r="50">
      <c r="A50" s="43">
        <v>7.0</v>
      </c>
      <c r="B50" s="43">
        <v>2.0</v>
      </c>
      <c r="C50" s="43">
        <v>50.3935208592019</v>
      </c>
      <c r="D50" s="43">
        <v>-4.04609553859108</v>
      </c>
      <c r="E50" s="43" t="s">
        <v>103</v>
      </c>
      <c r="F50" s="44" t="s">
        <v>182</v>
      </c>
      <c r="G50" s="45" t="s">
        <v>1943</v>
      </c>
      <c r="H50" s="46"/>
      <c r="I50" s="11" t="b">
        <v>1</v>
      </c>
      <c r="J50" s="83" t="str">
        <f t="shared" si="1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IFERROR(__xludf.DUMMYFUNCTION("""COMPUTED_VALUE"""),"TheFatCats")</f>
        <v>TheFatCats</v>
      </c>
      <c r="R50" s="49">
        <f>IFERROR(__xludf.DUMMYFUNCTION("""COMPUTED_VALUE"""),3588.0)</f>
        <v>3588</v>
      </c>
      <c r="S50" s="49"/>
    </row>
    <row r="51">
      <c r="A51" s="43">
        <v>7.0</v>
      </c>
      <c r="B51" s="43">
        <v>3.0</v>
      </c>
      <c r="C51" s="43">
        <v>50.393520858984</v>
      </c>
      <c r="D51" s="43">
        <v>-4.0458700830004</v>
      </c>
      <c r="E51" s="43" t="s">
        <v>98</v>
      </c>
      <c r="F51" s="44" t="s">
        <v>145</v>
      </c>
      <c r="G51" s="52" t="s">
        <v>1944</v>
      </c>
      <c r="H51" s="46"/>
      <c r="I51" s="11" t="b">
        <v>1</v>
      </c>
      <c r="J51" s="83" t="str">
        <f t="shared" si="1"/>
        <v/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IFERROR(__xludf.DUMMYFUNCTION("""COMPUTED_VALUE"""),"TheFrog")</f>
        <v>TheFrog</v>
      </c>
      <c r="R51" s="49">
        <f>IFERROR(__xludf.DUMMYFUNCTION("""COMPUTED_VALUE"""),3436.0)</f>
        <v>3436</v>
      </c>
      <c r="S51" s="49"/>
    </row>
    <row r="52">
      <c r="A52" s="43">
        <v>7.0</v>
      </c>
      <c r="B52" s="43">
        <v>4.0</v>
      </c>
      <c r="C52" s="43">
        <v>50.3935208587662</v>
      </c>
      <c r="D52" s="43">
        <v>-4.04564462740972</v>
      </c>
      <c r="E52" s="43" t="s">
        <v>98</v>
      </c>
      <c r="F52" s="44" t="s">
        <v>138</v>
      </c>
      <c r="G52" s="45" t="s">
        <v>1945</v>
      </c>
      <c r="H52" s="46"/>
      <c r="I52" s="11" t="b">
        <v>1</v>
      </c>
      <c r="J52" s="83" t="str">
        <f t="shared" si="1"/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IFERROR(__xludf.DUMMYFUNCTION("""COMPUTED_VALUE"""),"Anetzet")</f>
        <v>Anetzet</v>
      </c>
      <c r="R52" s="49">
        <f>IFERROR(__xludf.DUMMYFUNCTION("""COMPUTED_VALUE"""),2648.0)</f>
        <v>2648</v>
      </c>
      <c r="S52" s="49"/>
    </row>
    <row r="53">
      <c r="A53" s="43">
        <v>7.0</v>
      </c>
      <c r="B53" s="43">
        <v>5.0</v>
      </c>
      <c r="C53" s="43">
        <v>50.3935208585483</v>
      </c>
      <c r="D53" s="43">
        <v>-4.04541917181904</v>
      </c>
      <c r="E53" s="43" t="s">
        <v>98</v>
      </c>
      <c r="F53" s="44" t="s">
        <v>182</v>
      </c>
      <c r="G53" s="45" t="s">
        <v>1946</v>
      </c>
      <c r="H53" s="46"/>
      <c r="I53" s="11" t="b">
        <v>1</v>
      </c>
      <c r="J53" s="83" t="str">
        <f t="shared" si="1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IFERROR(__xludf.DUMMYFUNCTION("""COMPUTED_VALUE"""),"TheFatCats")</f>
        <v>TheFatCats</v>
      </c>
      <c r="R53" s="49">
        <f>IFERROR(__xludf.DUMMYFUNCTION("""COMPUTED_VALUE"""),3601.0)</f>
        <v>3601</v>
      </c>
      <c r="S53" s="49"/>
    </row>
    <row r="54">
      <c r="A54" s="43">
        <v>7.0</v>
      </c>
      <c r="B54" s="43">
        <v>6.0</v>
      </c>
      <c r="C54" s="43">
        <v>50.3935208583304</v>
      </c>
      <c r="D54" s="43">
        <v>-4.04519371622836</v>
      </c>
      <c r="E54" s="43" t="s">
        <v>98</v>
      </c>
      <c r="F54" s="44" t="s">
        <v>80</v>
      </c>
      <c r="G54" s="45" t="s">
        <v>1947</v>
      </c>
      <c r="H54" s="46"/>
      <c r="I54" s="11" t="b">
        <v>1</v>
      </c>
      <c r="J54" s="83" t="str">
        <f t="shared" si="1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IFERROR(__xludf.DUMMYFUNCTION("""COMPUTED_VALUE"""),"Derlame")</f>
        <v>Derlame</v>
      </c>
      <c r="R54" s="49">
        <f>IFERROR(__xludf.DUMMYFUNCTION("""COMPUTED_VALUE"""),12559.0)</f>
        <v>12559</v>
      </c>
      <c r="S54" s="49"/>
    </row>
    <row r="55">
      <c r="A55" s="43">
        <v>7.0</v>
      </c>
      <c r="B55" s="43">
        <v>7.0</v>
      </c>
      <c r="C55" s="43">
        <v>50.3935208581126</v>
      </c>
      <c r="D55" s="43">
        <v>-4.04496826063768</v>
      </c>
      <c r="E55" s="43" t="s">
        <v>98</v>
      </c>
      <c r="F55" s="44" t="s">
        <v>940</v>
      </c>
      <c r="G55" s="45" t="s">
        <v>1948</v>
      </c>
      <c r="H55" s="46"/>
      <c r="I55" s="11" t="b">
        <v>1</v>
      </c>
      <c r="J55" s="83" t="str">
        <f t="shared" si="1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IFERROR(__xludf.DUMMYFUNCTION("""COMPUTED_VALUE"""),"WiseOldWizard")</f>
        <v>WiseOldWizard</v>
      </c>
      <c r="R55" s="49">
        <f>IFERROR(__xludf.DUMMYFUNCTION("""COMPUTED_VALUE"""),3969.0)</f>
        <v>3969</v>
      </c>
      <c r="S55" s="51">
        <v>44041.88126393518</v>
      </c>
    </row>
    <row r="56">
      <c r="A56" s="43">
        <v>8.0</v>
      </c>
      <c r="B56" s="43">
        <v>3.0</v>
      </c>
      <c r="C56" s="43">
        <v>50.3933771285386</v>
      </c>
      <c r="D56" s="43">
        <v>-4.04587010213799</v>
      </c>
      <c r="E56" s="43" t="s">
        <v>98</v>
      </c>
      <c r="F56" s="44" t="s">
        <v>136</v>
      </c>
      <c r="G56" s="45" t="s">
        <v>1949</v>
      </c>
      <c r="H56" s="145">
        <v>44051.0</v>
      </c>
      <c r="I56" s="11" t="b">
        <v>1</v>
      </c>
      <c r="J56" s="83" t="str">
        <f t="shared" si="1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IFERROR(__xludf.DUMMYFUNCTION("""COMPUTED_VALUE"""),"OdinsFiRe")</f>
        <v>OdinsFiRe</v>
      </c>
      <c r="R56" s="49">
        <f>IFERROR(__xludf.DUMMYFUNCTION("""COMPUTED_VALUE"""),1562.0)</f>
        <v>1562</v>
      </c>
      <c r="S56" s="49"/>
    </row>
    <row r="57">
      <c r="A57" s="43">
        <v>8.0</v>
      </c>
      <c r="B57" s="43">
        <v>4.0</v>
      </c>
      <c r="C57" s="43">
        <v>50.3933771283207</v>
      </c>
      <c r="D57" s="43">
        <v>-4.0456446472308</v>
      </c>
      <c r="E57" s="43" t="s">
        <v>103</v>
      </c>
      <c r="F57" s="44" t="s">
        <v>134</v>
      </c>
      <c r="G57" s="45" t="s">
        <v>1950</v>
      </c>
      <c r="H57" s="46"/>
      <c r="I57" s="11" t="b">
        <v>1</v>
      </c>
      <c r="J57" s="83" t="str">
        <f t="shared" si="1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IFERROR(__xludf.DUMMYFUNCTION("""COMPUTED_VALUE"""),"wangotango")</f>
        <v>wangotango</v>
      </c>
      <c r="R57" s="49">
        <f>IFERROR(__xludf.DUMMYFUNCTION("""COMPUTED_VALUE"""),1256.0)</f>
        <v>1256</v>
      </c>
      <c r="S57" s="49"/>
    </row>
    <row r="58">
      <c r="A58" s="43">
        <v>8.0</v>
      </c>
      <c r="B58" s="43">
        <v>5.0</v>
      </c>
      <c r="C58" s="43">
        <v>50.3933771281029</v>
      </c>
      <c r="D58" s="43">
        <v>-4.0454191923236</v>
      </c>
      <c r="E58" s="43" t="s">
        <v>103</v>
      </c>
      <c r="F58" s="44" t="s">
        <v>1906</v>
      </c>
      <c r="G58" s="52" t="s">
        <v>1951</v>
      </c>
      <c r="H58" s="46"/>
      <c r="I58" s="11" t="b">
        <v>1</v>
      </c>
      <c r="J58" s="83" t="str">
        <f t="shared" si="1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IFERROR(__xludf.DUMMYFUNCTION("""COMPUTED_VALUE"""),"Sinister")</f>
        <v>Sinister</v>
      </c>
      <c r="R58" s="49">
        <f>IFERROR(__xludf.DUMMYFUNCTION("""COMPUTED_VALUE"""),2249.0)</f>
        <v>2249</v>
      </c>
      <c r="S58" s="49"/>
    </row>
    <row r="59">
      <c r="A59" s="43">
        <v>8.0</v>
      </c>
      <c r="B59" s="43">
        <v>6.0</v>
      </c>
      <c r="C59" s="43">
        <v>50.393377127885</v>
      </c>
      <c r="D59" s="43">
        <v>-4.04519373741641</v>
      </c>
      <c r="E59" s="43" t="s">
        <v>98</v>
      </c>
      <c r="F59" s="44" t="s">
        <v>1904</v>
      </c>
      <c r="G59" s="52" t="s">
        <v>1952</v>
      </c>
      <c r="H59" s="46"/>
      <c r="I59" s="11" t="b">
        <v>1</v>
      </c>
      <c r="J59" s="83" t="str">
        <f t="shared" si="1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IFERROR(__xludf.DUMMYFUNCTION("""COMPUTED_VALUE"""),"MadDogLady")</f>
        <v>MadDogLady</v>
      </c>
      <c r="R59" s="49">
        <f>IFERROR(__xludf.DUMMYFUNCTION("""COMPUTED_VALUE"""),2225.0)</f>
        <v>2225</v>
      </c>
      <c r="S59" s="49"/>
    </row>
    <row r="60">
      <c r="J60" s="83"/>
    </row>
    <row r="61" hidden="1">
      <c r="F61" s="47">
        <f t="shared" ref="F61:G61" si="3">COUNTIF(F8:F59,"")</f>
        <v>0</v>
      </c>
      <c r="G61" s="47">
        <f t="shared" si="3"/>
        <v>0</v>
      </c>
      <c r="I61" s="47">
        <f>COUNTIF(I8:I59,TRUE)</f>
        <v>52</v>
      </c>
      <c r="J61" s="83"/>
    </row>
    <row r="62" hidden="1">
      <c r="J62" s="83"/>
    </row>
    <row r="63" hidden="1">
      <c r="J63" s="83"/>
    </row>
    <row r="64" hidden="1">
      <c r="J64" s="83"/>
    </row>
    <row r="65">
      <c r="J65" s="83"/>
    </row>
    <row r="66">
      <c r="J66" s="83"/>
    </row>
    <row r="67">
      <c r="J67" s="83"/>
    </row>
    <row r="68">
      <c r="J68" s="83"/>
    </row>
    <row r="69">
      <c r="J69" s="83"/>
    </row>
    <row r="70">
      <c r="J70" s="83"/>
    </row>
    <row r="71">
      <c r="J71" s="83"/>
    </row>
    <row r="72">
      <c r="J72" s="83"/>
    </row>
    <row r="73">
      <c r="J73" s="83"/>
    </row>
    <row r="74">
      <c r="J74" s="83"/>
    </row>
    <row r="75">
      <c r="J75" s="83"/>
    </row>
    <row r="76">
      <c r="J76" s="83"/>
    </row>
    <row r="77">
      <c r="J77" s="83"/>
    </row>
    <row r="78">
      <c r="J78" s="83"/>
    </row>
    <row r="79">
      <c r="J79" s="83"/>
    </row>
    <row r="80">
      <c r="J80" s="83"/>
    </row>
    <row r="81">
      <c r="J81" s="83"/>
    </row>
    <row r="82">
      <c r="J82" s="83"/>
    </row>
    <row r="83">
      <c r="J83" s="83"/>
    </row>
    <row r="84">
      <c r="J84" s="83"/>
    </row>
    <row r="85">
      <c r="J85" s="83"/>
    </row>
    <row r="86">
      <c r="J86" s="83"/>
    </row>
    <row r="87">
      <c r="J87" s="83"/>
    </row>
    <row r="88">
      <c r="J88" s="83"/>
    </row>
    <row r="89">
      <c r="J89" s="83"/>
    </row>
    <row r="90">
      <c r="J90" s="83"/>
    </row>
    <row r="91">
      <c r="J91" s="83"/>
    </row>
    <row r="92">
      <c r="J92" s="83"/>
    </row>
    <row r="93">
      <c r="J93" s="100"/>
      <c r="K93" s="5"/>
      <c r="L93" s="5"/>
      <c r="M93" s="5"/>
      <c r="N93" s="5"/>
      <c r="O93" s="5"/>
      <c r="P93" s="5"/>
      <c r="Q93" s="5"/>
      <c r="R93" s="5"/>
      <c r="S93" s="5"/>
    </row>
    <row r="94">
      <c r="J94" s="100"/>
      <c r="K94" s="5"/>
      <c r="L94" s="5"/>
      <c r="M94" s="5"/>
      <c r="N94" s="5"/>
      <c r="O94" s="5"/>
      <c r="P94" s="5"/>
      <c r="Q94" s="5"/>
      <c r="R94" s="5"/>
      <c r="S94" s="5"/>
    </row>
    <row r="95">
      <c r="J95" s="100"/>
      <c r="K95" s="5"/>
      <c r="L95" s="5"/>
      <c r="M95" s="5"/>
      <c r="N95" s="5"/>
      <c r="O95" s="5"/>
      <c r="P95" s="5"/>
      <c r="Q95" s="5"/>
      <c r="R95" s="5"/>
      <c r="S95" s="5"/>
    </row>
    <row r="96">
      <c r="J96" s="100"/>
      <c r="K96" s="5"/>
      <c r="L96" s="5"/>
      <c r="M96" s="5"/>
      <c r="N96" s="5"/>
      <c r="O96" s="5"/>
      <c r="P96" s="5"/>
      <c r="Q96" s="5"/>
      <c r="R96" s="5"/>
      <c r="S96" s="5"/>
    </row>
    <row r="97">
      <c r="J97" s="102"/>
      <c r="K97" s="40"/>
      <c r="L97" s="40"/>
      <c r="M97" s="40"/>
      <c r="N97" s="40"/>
      <c r="O97" s="40"/>
      <c r="P97" s="40"/>
      <c r="Q97" s="40"/>
      <c r="R97" s="40"/>
      <c r="S97" s="40"/>
    </row>
    <row r="98">
      <c r="J98" s="83"/>
    </row>
    <row r="99">
      <c r="J99" s="103"/>
      <c r="K99" s="41" t="s">
        <v>94</v>
      </c>
      <c r="L99" s="41" t="s">
        <v>95</v>
      </c>
      <c r="M99" s="41" t="s">
        <v>96</v>
      </c>
      <c r="N99" s="42" t="s">
        <v>97</v>
      </c>
    </row>
    <row r="100">
      <c r="J100" s="83" t="str">
        <f t="shared" ref="J100:J151" si="4">if(I100=true,"",S100)</f>
        <v/>
      </c>
      <c r="K100" s="49" t="str">
        <f>IFERROR(__xludf.DUMMYFUNCTION("IF(M100=1,IFERROR(IMPORTXML(G100, ""//p[@class='status-date']""), ""Not deployed""),"""")"),"")</f>
        <v/>
      </c>
      <c r="L100" s="48"/>
      <c r="M100" s="48">
        <f t="shared" ref="M100:M151" si="5">if(I100=TRUE,2,IF(ISTEXT(G100),1,0))</f>
        <v>0</v>
      </c>
      <c r="N100" s="49" t="str">
        <f>IFERROR(__xludf.DUMMYFUNCTION("split(G100,""/"")"),"#VALUE!")</f>
        <v>#VALUE!</v>
      </c>
      <c r="O100" s="50"/>
      <c r="P100" s="49"/>
      <c r="Q100" s="49"/>
      <c r="R100" s="49"/>
      <c r="S100" s="49"/>
    </row>
    <row r="101">
      <c r="J101" s="83" t="str">
        <f t="shared" si="4"/>
        <v/>
      </c>
      <c r="K101" s="49" t="str">
        <f>IFERROR(__xludf.DUMMYFUNCTION("IF(M101=1,IFERROR(IMPORTXML(G101, ""//p[@class='status-date']""), ""Not deployed""),"""")"),"")</f>
        <v/>
      </c>
      <c r="L101" s="48"/>
      <c r="M101" s="48">
        <f t="shared" si="5"/>
        <v>0</v>
      </c>
      <c r="N101" s="49" t="str">
        <f>IFERROR(__xludf.DUMMYFUNCTION("split(G101,""/"")"),"#VALUE!")</f>
        <v>#VALUE!</v>
      </c>
      <c r="O101" s="50"/>
      <c r="P101" s="49"/>
      <c r="Q101" s="49"/>
      <c r="R101" s="49"/>
      <c r="S101" s="49"/>
    </row>
    <row r="102">
      <c r="J102" s="83" t="str">
        <f t="shared" si="4"/>
        <v/>
      </c>
      <c r="K102" s="49" t="str">
        <f>IFERROR(__xludf.DUMMYFUNCTION("IF(M102=1,IFERROR(IMPORTXML(G102, ""//p[@class='status-date']""), ""Not deployed""),"""")"),"")</f>
        <v/>
      </c>
      <c r="L102" s="48"/>
      <c r="M102" s="48">
        <f t="shared" si="5"/>
        <v>0</v>
      </c>
      <c r="N102" s="49" t="str">
        <f>IFERROR(__xludf.DUMMYFUNCTION("split(G102,""/"")"),"#VALUE!")</f>
        <v>#VALUE!</v>
      </c>
      <c r="O102" s="50"/>
      <c r="P102" s="49"/>
      <c r="Q102" s="49"/>
      <c r="R102" s="49"/>
      <c r="S102" s="49"/>
    </row>
    <row r="103">
      <c r="J103" s="83" t="str">
        <f t="shared" si="4"/>
        <v/>
      </c>
      <c r="K103" s="49" t="str">
        <f>IFERROR(__xludf.DUMMYFUNCTION("IF(M103=1,IFERROR(IMPORTXML(G103, ""//p[@class='status-date']""), ""Not deployed""),"""")"),"")</f>
        <v/>
      </c>
      <c r="L103" s="48"/>
      <c r="M103" s="48">
        <f t="shared" si="5"/>
        <v>0</v>
      </c>
      <c r="N103" s="49" t="str">
        <f>IFERROR(__xludf.DUMMYFUNCTION("split(G103,""/"")"),"#VALUE!")</f>
        <v>#VALUE!</v>
      </c>
      <c r="O103" s="50"/>
      <c r="P103" s="49"/>
      <c r="Q103" s="49"/>
      <c r="R103" s="49"/>
      <c r="S103" s="49"/>
    </row>
    <row r="104">
      <c r="J104" s="83" t="str">
        <f t="shared" si="4"/>
        <v/>
      </c>
      <c r="K104" s="49" t="str">
        <f>IFERROR(__xludf.DUMMYFUNCTION("IF(M104=1,IFERROR(IMPORTXML(G104, ""//p[@class='status-date']""), ""Not deployed""),"""")"),"")</f>
        <v/>
      </c>
      <c r="L104" s="48"/>
      <c r="M104" s="48">
        <f t="shared" si="5"/>
        <v>0</v>
      </c>
      <c r="N104" s="49" t="str">
        <f>IFERROR(__xludf.DUMMYFUNCTION("split(G104,""/"")"),"#VALUE!")</f>
        <v>#VALUE!</v>
      </c>
      <c r="O104" s="50"/>
      <c r="P104" s="49"/>
      <c r="Q104" s="49"/>
      <c r="R104" s="49"/>
      <c r="S104" s="49"/>
    </row>
    <row r="105">
      <c r="J105" s="83" t="str">
        <f t="shared" si="4"/>
        <v/>
      </c>
      <c r="K105" s="49" t="str">
        <f>IFERROR(__xludf.DUMMYFUNCTION("IF(M105=1,IFERROR(IMPORTXML(G105, ""//p[@class='status-date']""), ""Not deployed""),"""")"),"")</f>
        <v/>
      </c>
      <c r="L105" s="48"/>
      <c r="M105" s="48">
        <f t="shared" si="5"/>
        <v>0</v>
      </c>
      <c r="N105" s="49" t="str">
        <f>IFERROR(__xludf.DUMMYFUNCTION("split(G105,""/"")"),"#VALUE!")</f>
        <v>#VALUE!</v>
      </c>
      <c r="O105" s="50"/>
      <c r="P105" s="49"/>
      <c r="Q105" s="49"/>
      <c r="R105" s="49"/>
      <c r="S105" s="49"/>
    </row>
    <row r="106">
      <c r="J106" s="83" t="str">
        <f t="shared" si="4"/>
        <v/>
      </c>
      <c r="K106" s="49" t="str">
        <f>IFERROR(__xludf.DUMMYFUNCTION("IF(M106=1,IFERROR(IMPORTXML(G106, ""//p[@class='status-date']""), ""Not deployed""),"""")"),"")</f>
        <v/>
      </c>
      <c r="L106" s="48"/>
      <c r="M106" s="48">
        <f t="shared" si="5"/>
        <v>0</v>
      </c>
      <c r="N106" s="49" t="str">
        <f>IFERROR(__xludf.DUMMYFUNCTION("split(G106,""/"")"),"#VALUE!")</f>
        <v>#VALUE!</v>
      </c>
      <c r="O106" s="50"/>
      <c r="P106" s="49"/>
      <c r="Q106" s="49"/>
      <c r="R106" s="49"/>
      <c r="S106" s="49"/>
    </row>
    <row r="107">
      <c r="J107" s="83" t="str">
        <f t="shared" si="4"/>
        <v/>
      </c>
      <c r="K107" s="49" t="str">
        <f>IFERROR(__xludf.DUMMYFUNCTION("IF(M107=1,IFERROR(IMPORTXML(G107, ""//p[@class='status-date']""), ""Not deployed""),"""")"),"")</f>
        <v/>
      </c>
      <c r="L107" s="48"/>
      <c r="M107" s="48">
        <f t="shared" si="5"/>
        <v>0</v>
      </c>
      <c r="N107" s="49" t="str">
        <f>IFERROR(__xludf.DUMMYFUNCTION("split(G107,""/"")"),"#VALUE!")</f>
        <v>#VALUE!</v>
      </c>
      <c r="O107" s="50"/>
      <c r="P107" s="49"/>
      <c r="Q107" s="49"/>
      <c r="R107" s="49"/>
      <c r="S107" s="49"/>
    </row>
    <row r="108">
      <c r="J108" s="83" t="str">
        <f t="shared" si="4"/>
        <v/>
      </c>
      <c r="K108" s="49" t="str">
        <f>IFERROR(__xludf.DUMMYFUNCTION("IF(M108=1,IFERROR(IMPORTXML(G108, ""//p[@class='status-date']""), ""Not deployed""),"""")"),"")</f>
        <v/>
      </c>
      <c r="L108" s="48"/>
      <c r="M108" s="48">
        <f t="shared" si="5"/>
        <v>0</v>
      </c>
      <c r="N108" s="49" t="str">
        <f>IFERROR(__xludf.DUMMYFUNCTION("split(G108,""/"")"),"#VALUE!")</f>
        <v>#VALUE!</v>
      </c>
      <c r="O108" s="50"/>
      <c r="P108" s="49"/>
      <c r="Q108" s="49"/>
      <c r="R108" s="49"/>
      <c r="S108" s="49"/>
    </row>
    <row r="109">
      <c r="J109" s="83" t="str">
        <f t="shared" si="4"/>
        <v/>
      </c>
      <c r="K109" s="49" t="str">
        <f>IFERROR(__xludf.DUMMYFUNCTION("IF(M109=1,IFERROR(IMPORTXML(G109, ""//p[@class='status-date']""), ""Not deployed""),"""")"),"")</f>
        <v/>
      </c>
      <c r="L109" s="48"/>
      <c r="M109" s="48">
        <f t="shared" si="5"/>
        <v>0</v>
      </c>
      <c r="N109" s="49" t="str">
        <f>IFERROR(__xludf.DUMMYFUNCTION("split(G109,""/"")"),"#VALUE!")</f>
        <v>#VALUE!</v>
      </c>
      <c r="O109" s="50"/>
      <c r="P109" s="49"/>
      <c r="Q109" s="49"/>
      <c r="R109" s="49"/>
      <c r="S109" s="49"/>
    </row>
    <row r="110">
      <c r="J110" s="83" t="str">
        <f t="shared" si="4"/>
        <v/>
      </c>
      <c r="K110" s="49" t="str">
        <f>IFERROR(__xludf.DUMMYFUNCTION("IF(M110=1,IFERROR(IMPORTXML(G110, ""//p[@class='status-date']""), ""Not deployed""),"""")"),"")</f>
        <v/>
      </c>
      <c r="L110" s="48"/>
      <c r="M110" s="48">
        <f t="shared" si="5"/>
        <v>0</v>
      </c>
      <c r="N110" s="49" t="str">
        <f>IFERROR(__xludf.DUMMYFUNCTION("split(G110,""/"")"),"#VALUE!")</f>
        <v>#VALUE!</v>
      </c>
      <c r="O110" s="50"/>
      <c r="P110" s="49"/>
      <c r="Q110" s="49"/>
      <c r="R110" s="49"/>
      <c r="S110" s="49"/>
    </row>
    <row r="111">
      <c r="J111" s="83" t="str">
        <f t="shared" si="4"/>
        <v/>
      </c>
      <c r="K111" s="49" t="str">
        <f>IFERROR(__xludf.DUMMYFUNCTION("IF(M111=1,IFERROR(IMPORTXML(G111, ""//p[@class='status-date']""), ""Not deployed""),"""")"),"")</f>
        <v/>
      </c>
      <c r="L111" s="48"/>
      <c r="M111" s="48">
        <f t="shared" si="5"/>
        <v>0</v>
      </c>
      <c r="N111" s="49" t="str">
        <f>IFERROR(__xludf.DUMMYFUNCTION("split(G111,""/"")"),"#VALUE!")</f>
        <v>#VALUE!</v>
      </c>
      <c r="O111" s="50"/>
      <c r="P111" s="49"/>
      <c r="Q111" s="49"/>
      <c r="R111" s="49"/>
      <c r="S111" s="49"/>
    </row>
    <row r="112">
      <c r="J112" s="83" t="str">
        <f t="shared" si="4"/>
        <v/>
      </c>
      <c r="K112" s="49" t="str">
        <f>IFERROR(__xludf.DUMMYFUNCTION("IF(M112=1,IFERROR(IMPORTXML(G112, ""//p[@class='status-date']""), ""Not deployed""),"""")"),"")</f>
        <v/>
      </c>
      <c r="L112" s="48"/>
      <c r="M112" s="48">
        <f t="shared" si="5"/>
        <v>0</v>
      </c>
      <c r="N112" s="49" t="str">
        <f>IFERROR(__xludf.DUMMYFUNCTION("split(G112,""/"")"),"#VALUE!")</f>
        <v>#VALUE!</v>
      </c>
      <c r="O112" s="50"/>
      <c r="P112" s="49"/>
      <c r="Q112" s="49"/>
      <c r="R112" s="49"/>
      <c r="S112" s="49"/>
    </row>
    <row r="113">
      <c r="J113" s="83" t="str">
        <f t="shared" si="4"/>
        <v/>
      </c>
      <c r="K113" s="49" t="str">
        <f>IFERROR(__xludf.DUMMYFUNCTION("IF(M113=1,IFERROR(IMPORTXML(G113, ""//p[@class='status-date']""), ""Not deployed""),"""")"),"")</f>
        <v/>
      </c>
      <c r="L113" s="48"/>
      <c r="M113" s="48">
        <f t="shared" si="5"/>
        <v>0</v>
      </c>
      <c r="N113" s="49" t="str">
        <f>IFERROR(__xludf.DUMMYFUNCTION("split(G113,""/"")"),"#VALUE!")</f>
        <v>#VALUE!</v>
      </c>
      <c r="O113" s="50"/>
      <c r="P113" s="49"/>
      <c r="Q113" s="49"/>
      <c r="R113" s="49"/>
      <c r="S113" s="49"/>
    </row>
    <row r="114">
      <c r="J114" s="83" t="str">
        <f t="shared" si="4"/>
        <v/>
      </c>
      <c r="K114" s="49" t="str">
        <f>IFERROR(__xludf.DUMMYFUNCTION("IF(M114=1,IFERROR(IMPORTXML(G114, ""//p[@class='status-date']""), ""Not deployed""),"""")"),"")</f>
        <v/>
      </c>
      <c r="L114" s="48"/>
      <c r="M114" s="48">
        <f t="shared" si="5"/>
        <v>0</v>
      </c>
      <c r="N114" s="49" t="str">
        <f>IFERROR(__xludf.DUMMYFUNCTION("split(G114,""/"")"),"#VALUE!")</f>
        <v>#VALUE!</v>
      </c>
      <c r="O114" s="50"/>
      <c r="P114" s="49"/>
      <c r="Q114" s="49"/>
      <c r="R114" s="49"/>
      <c r="S114" s="49"/>
    </row>
    <row r="115">
      <c r="J115" s="83" t="str">
        <f t="shared" si="4"/>
        <v/>
      </c>
      <c r="K115" s="49" t="str">
        <f>IFERROR(__xludf.DUMMYFUNCTION("IF(M115=1,IFERROR(IMPORTXML(G115, ""//p[@class='status-date']""), ""Not deployed""),"""")"),"")</f>
        <v/>
      </c>
      <c r="L115" s="48"/>
      <c r="M115" s="48">
        <f t="shared" si="5"/>
        <v>0</v>
      </c>
      <c r="N115" s="49" t="str">
        <f>IFERROR(__xludf.DUMMYFUNCTION("split(G115,""/"")"),"#VALUE!")</f>
        <v>#VALUE!</v>
      </c>
      <c r="O115" s="50"/>
      <c r="P115" s="49"/>
      <c r="Q115" s="49"/>
      <c r="R115" s="49"/>
      <c r="S115" s="49"/>
    </row>
    <row r="116">
      <c r="J116" s="83" t="str">
        <f t="shared" si="4"/>
        <v/>
      </c>
      <c r="K116" s="49" t="str">
        <f>IFERROR(__xludf.DUMMYFUNCTION("IF(M116=1,IFERROR(IMPORTXML(G116, ""//p[@class='status-date']""), ""Not deployed""),"""")"),"")</f>
        <v/>
      </c>
      <c r="L116" s="48"/>
      <c r="M116" s="48">
        <f t="shared" si="5"/>
        <v>0</v>
      </c>
      <c r="N116" s="49" t="str">
        <f>IFERROR(__xludf.DUMMYFUNCTION("split(G116,""/"")"),"#VALUE!")</f>
        <v>#VALUE!</v>
      </c>
      <c r="O116" s="50"/>
      <c r="P116" s="49"/>
      <c r="Q116" s="49"/>
      <c r="R116" s="49"/>
      <c r="S116" s="49"/>
    </row>
    <row r="117">
      <c r="J117" s="83" t="str">
        <f t="shared" si="4"/>
        <v/>
      </c>
      <c r="K117" s="49" t="str">
        <f>IFERROR(__xludf.DUMMYFUNCTION("IF(M117=1,IFERROR(IMPORTXML(G117, ""//p[@class='status-date']""), ""Not deployed""),"""")"),"")</f>
        <v/>
      </c>
      <c r="L117" s="48"/>
      <c r="M117" s="48">
        <f t="shared" si="5"/>
        <v>0</v>
      </c>
      <c r="N117" s="49" t="str">
        <f>IFERROR(__xludf.DUMMYFUNCTION("split(G117,""/"")"),"#VALUE!")</f>
        <v>#VALUE!</v>
      </c>
      <c r="O117" s="50"/>
      <c r="P117" s="49"/>
      <c r="Q117" s="49"/>
      <c r="R117" s="49"/>
      <c r="S117" s="49"/>
    </row>
    <row r="118">
      <c r="J118" s="83" t="str">
        <f t="shared" si="4"/>
        <v/>
      </c>
      <c r="K118" s="49" t="str">
        <f>IFERROR(__xludf.DUMMYFUNCTION("IF(M118=1,IFERROR(IMPORTXML(G118, ""//p[@class='status-date']""), ""Not deployed""),"""")"),"")</f>
        <v/>
      </c>
      <c r="L118" s="48"/>
      <c r="M118" s="48">
        <f t="shared" si="5"/>
        <v>0</v>
      </c>
      <c r="N118" s="49" t="str">
        <f>IFERROR(__xludf.DUMMYFUNCTION("split(G118,""/"")"),"#VALUE!")</f>
        <v>#VALUE!</v>
      </c>
      <c r="O118" s="50"/>
      <c r="P118" s="49"/>
      <c r="Q118" s="49"/>
      <c r="R118" s="49"/>
      <c r="S118" s="49"/>
    </row>
    <row r="119">
      <c r="J119" s="83" t="str">
        <f t="shared" si="4"/>
        <v/>
      </c>
      <c r="K119" s="49" t="str">
        <f>IFERROR(__xludf.DUMMYFUNCTION("IF(M119=1,IFERROR(IMPORTXML(G119, ""//p[@class='status-date']""), ""Not deployed""),"""")"),"")</f>
        <v/>
      </c>
      <c r="L119" s="48"/>
      <c r="M119" s="48">
        <f t="shared" si="5"/>
        <v>0</v>
      </c>
      <c r="N119" s="49" t="str">
        <f>IFERROR(__xludf.DUMMYFUNCTION("split(G119,""/"")"),"#VALUE!")</f>
        <v>#VALUE!</v>
      </c>
      <c r="O119" s="50"/>
      <c r="P119" s="49"/>
      <c r="Q119" s="49"/>
      <c r="R119" s="49"/>
      <c r="S119" s="49"/>
    </row>
    <row r="120">
      <c r="J120" s="83" t="str">
        <f t="shared" si="4"/>
        <v/>
      </c>
      <c r="K120" s="49" t="str">
        <f>IFERROR(__xludf.DUMMYFUNCTION("IF(M120=1,IFERROR(IMPORTXML(G120, ""//p[@class='status-date']""), ""Not deployed""),"""")"),"")</f>
        <v/>
      </c>
      <c r="L120" s="48"/>
      <c r="M120" s="48">
        <f t="shared" si="5"/>
        <v>0</v>
      </c>
      <c r="N120" s="49" t="str">
        <f>IFERROR(__xludf.DUMMYFUNCTION("split(G120,""/"")"),"#VALUE!")</f>
        <v>#VALUE!</v>
      </c>
      <c r="O120" s="50"/>
      <c r="P120" s="49"/>
      <c r="Q120" s="49"/>
      <c r="R120" s="49"/>
      <c r="S120" s="49"/>
    </row>
    <row r="121">
      <c r="J121" s="83" t="str">
        <f t="shared" si="4"/>
        <v/>
      </c>
      <c r="K121" s="49" t="str">
        <f>IFERROR(__xludf.DUMMYFUNCTION("IF(M121=1,IFERROR(IMPORTXML(G121, ""//p[@class='status-date']""), ""Not deployed""),"""")"),"")</f>
        <v/>
      </c>
      <c r="L121" s="48"/>
      <c r="M121" s="48">
        <f t="shared" si="5"/>
        <v>0</v>
      </c>
      <c r="N121" s="49" t="str">
        <f>IFERROR(__xludf.DUMMYFUNCTION("split(G121,""/"")"),"#VALUE!")</f>
        <v>#VALUE!</v>
      </c>
      <c r="O121" s="50"/>
      <c r="P121" s="49"/>
      <c r="Q121" s="49"/>
      <c r="R121" s="49"/>
      <c r="S121" s="49"/>
    </row>
    <row r="122">
      <c r="J122" s="83" t="str">
        <f t="shared" si="4"/>
        <v/>
      </c>
      <c r="K122" s="49" t="str">
        <f>IFERROR(__xludf.DUMMYFUNCTION("IF(M122=1,IFERROR(IMPORTXML(G122, ""//p[@class='status-date']""), ""Not deployed""),"""")"),"")</f>
        <v/>
      </c>
      <c r="L122" s="48"/>
      <c r="M122" s="48">
        <f t="shared" si="5"/>
        <v>0</v>
      </c>
      <c r="N122" s="49" t="str">
        <f>IFERROR(__xludf.DUMMYFUNCTION("split(G122,""/"")"),"#VALUE!")</f>
        <v>#VALUE!</v>
      </c>
      <c r="O122" s="50"/>
      <c r="P122" s="49"/>
      <c r="Q122" s="49"/>
      <c r="R122" s="49"/>
      <c r="S122" s="49"/>
    </row>
    <row r="123">
      <c r="J123" s="83" t="str">
        <f t="shared" si="4"/>
        <v/>
      </c>
      <c r="K123" s="49" t="str">
        <f>IFERROR(__xludf.DUMMYFUNCTION("IF(M123=1,IFERROR(IMPORTXML(G123, ""//p[@class='status-date']""), ""Not deployed""),"""")"),"")</f>
        <v/>
      </c>
      <c r="L123" s="48"/>
      <c r="M123" s="48">
        <f t="shared" si="5"/>
        <v>0</v>
      </c>
      <c r="N123" s="49" t="str">
        <f>IFERROR(__xludf.DUMMYFUNCTION("split(G123,""/"")"),"#VALUE!")</f>
        <v>#VALUE!</v>
      </c>
      <c r="O123" s="50"/>
      <c r="P123" s="49"/>
      <c r="Q123" s="49"/>
      <c r="R123" s="49"/>
      <c r="S123" s="49"/>
    </row>
    <row r="124">
      <c r="J124" s="83" t="str">
        <f t="shared" si="4"/>
        <v/>
      </c>
      <c r="K124" s="49" t="str">
        <f>IFERROR(__xludf.DUMMYFUNCTION("IF(M124=1,IFERROR(IMPORTXML(G124, ""//p[@class='status-date']""), ""Not deployed""),"""")"),"")</f>
        <v/>
      </c>
      <c r="L124" s="48"/>
      <c r="M124" s="48">
        <f t="shared" si="5"/>
        <v>0</v>
      </c>
      <c r="N124" s="49" t="str">
        <f>IFERROR(__xludf.DUMMYFUNCTION("split(G124,""/"")"),"#VALUE!")</f>
        <v>#VALUE!</v>
      </c>
      <c r="O124" s="50"/>
      <c r="P124" s="49"/>
      <c r="Q124" s="49"/>
      <c r="R124" s="49"/>
      <c r="S124" s="49"/>
    </row>
    <row r="125">
      <c r="J125" s="83" t="str">
        <f t="shared" si="4"/>
        <v/>
      </c>
      <c r="K125" s="49" t="str">
        <f>IFERROR(__xludf.DUMMYFUNCTION("IF(M125=1,IFERROR(IMPORTXML(G125, ""//p[@class='status-date']""), ""Not deployed""),"""")"),"")</f>
        <v/>
      </c>
      <c r="L125" s="48"/>
      <c r="M125" s="48">
        <f t="shared" si="5"/>
        <v>0</v>
      </c>
      <c r="N125" s="49" t="str">
        <f>IFERROR(__xludf.DUMMYFUNCTION("split(G125,""/"")"),"#VALUE!")</f>
        <v>#VALUE!</v>
      </c>
      <c r="O125" s="50"/>
      <c r="P125" s="49"/>
      <c r="Q125" s="49"/>
      <c r="R125" s="49"/>
      <c r="S125" s="49"/>
    </row>
    <row r="126">
      <c r="J126" s="83" t="str">
        <f t="shared" si="4"/>
        <v/>
      </c>
      <c r="K126" s="49" t="str">
        <f>IFERROR(__xludf.DUMMYFUNCTION("IF(M126=1,IFERROR(IMPORTXML(G126, ""//p[@class='status-date']""), ""Not deployed""),"""")"),"")</f>
        <v/>
      </c>
      <c r="L126" s="48"/>
      <c r="M126" s="48">
        <f t="shared" si="5"/>
        <v>0</v>
      </c>
      <c r="N126" s="49" t="str">
        <f>IFERROR(__xludf.DUMMYFUNCTION("split(G126,""/"")"),"#VALUE!")</f>
        <v>#VALUE!</v>
      </c>
      <c r="O126" s="50"/>
      <c r="P126" s="49"/>
      <c r="Q126" s="49"/>
      <c r="R126" s="49"/>
      <c r="S126" s="49"/>
    </row>
    <row r="127">
      <c r="J127" s="83" t="str">
        <f t="shared" si="4"/>
        <v/>
      </c>
      <c r="K127" s="49" t="str">
        <f>IFERROR(__xludf.DUMMYFUNCTION("IF(M127=1,IFERROR(IMPORTXML(G127, ""//p[@class='status-date']""), ""Not deployed""),"""")"),"")</f>
        <v/>
      </c>
      <c r="L127" s="48"/>
      <c r="M127" s="48">
        <f t="shared" si="5"/>
        <v>0</v>
      </c>
      <c r="N127" s="49" t="str">
        <f>IFERROR(__xludf.DUMMYFUNCTION("split(G127,""/"")"),"#VALUE!")</f>
        <v>#VALUE!</v>
      </c>
      <c r="O127" s="50"/>
      <c r="P127" s="49"/>
      <c r="Q127" s="49"/>
      <c r="R127" s="49"/>
      <c r="S127" s="49"/>
    </row>
    <row r="128">
      <c r="J128" s="83" t="str">
        <f t="shared" si="4"/>
        <v/>
      </c>
      <c r="K128" s="49" t="str">
        <f>IFERROR(__xludf.DUMMYFUNCTION("IF(M128=1,IFERROR(IMPORTXML(G128, ""//p[@class='status-date']""), ""Not deployed""),"""")"),"")</f>
        <v/>
      </c>
      <c r="L128" s="48"/>
      <c r="M128" s="48">
        <f t="shared" si="5"/>
        <v>0</v>
      </c>
      <c r="N128" s="49" t="str">
        <f>IFERROR(__xludf.DUMMYFUNCTION("split(G128,""/"")"),"#VALUE!")</f>
        <v>#VALUE!</v>
      </c>
      <c r="O128" s="50"/>
      <c r="P128" s="49"/>
      <c r="Q128" s="49"/>
      <c r="R128" s="49"/>
      <c r="S128" s="49"/>
    </row>
    <row r="129">
      <c r="J129" s="83" t="str">
        <f t="shared" si="4"/>
        <v/>
      </c>
      <c r="K129" s="49" t="str">
        <f>IFERROR(__xludf.DUMMYFUNCTION("IF(M129=1,IFERROR(IMPORTXML(G129, ""//p[@class='status-date']""), ""Not deployed""),"""")"),"")</f>
        <v/>
      </c>
      <c r="L129" s="48"/>
      <c r="M129" s="48">
        <f t="shared" si="5"/>
        <v>0</v>
      </c>
      <c r="N129" s="49" t="str">
        <f>IFERROR(__xludf.DUMMYFUNCTION("split(G129,""/"")"),"#VALUE!")</f>
        <v>#VALUE!</v>
      </c>
      <c r="O129" s="50"/>
      <c r="P129" s="49"/>
      <c r="Q129" s="49"/>
      <c r="R129" s="49"/>
      <c r="S129" s="49"/>
    </row>
    <row r="130">
      <c r="J130" s="83" t="str">
        <f t="shared" si="4"/>
        <v/>
      </c>
      <c r="K130" s="49" t="str">
        <f>IFERROR(__xludf.DUMMYFUNCTION("IF(M130=1,IFERROR(IMPORTXML(G130, ""//p[@class='status-date']""), ""Not deployed""),"""")"),"")</f>
        <v/>
      </c>
      <c r="L130" s="48"/>
      <c r="M130" s="48">
        <f t="shared" si="5"/>
        <v>0</v>
      </c>
      <c r="N130" s="49" t="str">
        <f>IFERROR(__xludf.DUMMYFUNCTION("split(G130,""/"")"),"#VALUE!")</f>
        <v>#VALUE!</v>
      </c>
      <c r="O130" s="50"/>
      <c r="P130" s="49"/>
      <c r="Q130" s="49"/>
      <c r="R130" s="49"/>
      <c r="S130" s="49"/>
    </row>
    <row r="131">
      <c r="J131" s="83" t="str">
        <f t="shared" si="4"/>
        <v/>
      </c>
      <c r="K131" s="49" t="str">
        <f>IFERROR(__xludf.DUMMYFUNCTION("IF(M131=1,IFERROR(IMPORTXML(G131, ""//p[@class='status-date']""), ""Not deployed""),"""")"),"")</f>
        <v/>
      </c>
      <c r="L131" s="48"/>
      <c r="M131" s="48">
        <f t="shared" si="5"/>
        <v>0</v>
      </c>
      <c r="N131" s="49" t="str">
        <f>IFERROR(__xludf.DUMMYFUNCTION("split(G131,""/"")"),"#VALUE!")</f>
        <v>#VALUE!</v>
      </c>
      <c r="O131" s="50"/>
      <c r="P131" s="49"/>
      <c r="Q131" s="49"/>
      <c r="R131" s="49"/>
      <c r="S131" s="49"/>
    </row>
    <row r="132">
      <c r="J132" s="83" t="str">
        <f t="shared" si="4"/>
        <v/>
      </c>
      <c r="K132" s="49" t="str">
        <f>IFERROR(__xludf.DUMMYFUNCTION("IF(M132=1,IFERROR(IMPORTXML(G132, ""//p[@class='status-date']""), ""Not deployed""),"""")"),"")</f>
        <v/>
      </c>
      <c r="L132" s="48"/>
      <c r="M132" s="48">
        <f t="shared" si="5"/>
        <v>0</v>
      </c>
      <c r="N132" s="49" t="str">
        <f>IFERROR(__xludf.DUMMYFUNCTION("split(G132,""/"")"),"#VALUE!")</f>
        <v>#VALUE!</v>
      </c>
      <c r="O132" s="50"/>
      <c r="P132" s="49"/>
      <c r="Q132" s="49"/>
      <c r="R132" s="49"/>
      <c r="S132" s="49"/>
    </row>
    <row r="133">
      <c r="J133" s="83" t="str">
        <f t="shared" si="4"/>
        <v/>
      </c>
      <c r="K133" s="49" t="str">
        <f>IFERROR(__xludf.DUMMYFUNCTION("IF(M133=1,IFERROR(IMPORTXML(G133, ""//p[@class='status-date']""), ""Not deployed""),"""")"),"")</f>
        <v/>
      </c>
      <c r="L133" s="48"/>
      <c r="M133" s="48">
        <f t="shared" si="5"/>
        <v>0</v>
      </c>
      <c r="N133" s="49" t="str">
        <f>IFERROR(__xludf.DUMMYFUNCTION("split(G133,""/"")"),"#VALUE!")</f>
        <v>#VALUE!</v>
      </c>
      <c r="O133" s="50"/>
      <c r="P133" s="49"/>
      <c r="Q133" s="49"/>
      <c r="R133" s="49"/>
      <c r="S133" s="49"/>
    </row>
    <row r="134">
      <c r="J134" s="83" t="str">
        <f t="shared" si="4"/>
        <v/>
      </c>
      <c r="K134" s="49" t="str">
        <f>IFERROR(__xludf.DUMMYFUNCTION("IF(M134=1,IFERROR(IMPORTXML(G134, ""//p[@class='status-date']""), ""Not deployed""),"""")"),"")</f>
        <v/>
      </c>
      <c r="L134" s="48"/>
      <c r="M134" s="48">
        <f t="shared" si="5"/>
        <v>0</v>
      </c>
      <c r="N134" s="49" t="str">
        <f>IFERROR(__xludf.DUMMYFUNCTION("split(G134,""/"")"),"#VALUE!")</f>
        <v>#VALUE!</v>
      </c>
      <c r="O134" s="50"/>
      <c r="P134" s="49"/>
      <c r="Q134" s="49"/>
      <c r="R134" s="49"/>
      <c r="S134" s="49"/>
    </row>
    <row r="135">
      <c r="J135" s="83" t="str">
        <f t="shared" si="4"/>
        <v/>
      </c>
      <c r="K135" s="49" t="str">
        <f>IFERROR(__xludf.DUMMYFUNCTION("IF(M135=1,IFERROR(IMPORTXML(G135, ""//p[@class='status-date']""), ""Not deployed""),"""")"),"")</f>
        <v/>
      </c>
      <c r="L135" s="48"/>
      <c r="M135" s="48">
        <f t="shared" si="5"/>
        <v>0</v>
      </c>
      <c r="N135" s="49" t="str">
        <f>IFERROR(__xludf.DUMMYFUNCTION("split(G135,""/"")"),"#VALUE!")</f>
        <v>#VALUE!</v>
      </c>
      <c r="O135" s="50"/>
      <c r="P135" s="49"/>
      <c r="Q135" s="49"/>
      <c r="R135" s="49"/>
      <c r="S135" s="49"/>
    </row>
    <row r="136">
      <c r="J136" s="83" t="str">
        <f t="shared" si="4"/>
        <v/>
      </c>
      <c r="K136" s="49" t="str">
        <f>IFERROR(__xludf.DUMMYFUNCTION("IF(M136=1,IFERROR(IMPORTXML(G136, ""//p[@class='status-date']""), ""Not deployed""),"""")"),"")</f>
        <v/>
      </c>
      <c r="L136" s="48"/>
      <c r="M136" s="48">
        <f t="shared" si="5"/>
        <v>0</v>
      </c>
      <c r="N136" s="49" t="str">
        <f>IFERROR(__xludf.DUMMYFUNCTION("split(G136,""/"")"),"#VALUE!")</f>
        <v>#VALUE!</v>
      </c>
      <c r="O136" s="50"/>
      <c r="P136" s="49"/>
      <c r="Q136" s="49"/>
      <c r="R136" s="49"/>
      <c r="S136" s="49"/>
    </row>
    <row r="137">
      <c r="J137" s="83" t="str">
        <f t="shared" si="4"/>
        <v/>
      </c>
      <c r="K137" s="49" t="str">
        <f>IFERROR(__xludf.DUMMYFUNCTION("IF(M137=1,IFERROR(IMPORTXML(G137, ""//p[@class='status-date']""), ""Not deployed""),"""")"),"")</f>
        <v/>
      </c>
      <c r="L137" s="48"/>
      <c r="M137" s="48">
        <f t="shared" si="5"/>
        <v>0</v>
      </c>
      <c r="N137" s="49" t="str">
        <f>IFERROR(__xludf.DUMMYFUNCTION("split(G137,""/"")"),"#VALUE!")</f>
        <v>#VALUE!</v>
      </c>
      <c r="O137" s="50"/>
      <c r="P137" s="49"/>
      <c r="Q137" s="49"/>
      <c r="R137" s="49"/>
      <c r="S137" s="49"/>
    </row>
    <row r="138">
      <c r="J138" s="83" t="str">
        <f t="shared" si="4"/>
        <v/>
      </c>
      <c r="K138" s="49" t="str">
        <f>IFERROR(__xludf.DUMMYFUNCTION("IF(M138=1,IFERROR(IMPORTXML(G138, ""//p[@class='status-date']""), ""Not deployed""),"""")"),"")</f>
        <v/>
      </c>
      <c r="L138" s="48"/>
      <c r="M138" s="48">
        <f t="shared" si="5"/>
        <v>0</v>
      </c>
      <c r="N138" s="49" t="str">
        <f>IFERROR(__xludf.DUMMYFUNCTION("split(G138,""/"")"),"#VALUE!")</f>
        <v>#VALUE!</v>
      </c>
      <c r="O138" s="50"/>
      <c r="P138" s="49"/>
      <c r="Q138" s="49"/>
      <c r="R138" s="49"/>
      <c r="S138" s="49"/>
    </row>
    <row r="139">
      <c r="J139" s="83" t="str">
        <f t="shared" si="4"/>
        <v/>
      </c>
      <c r="K139" s="49" t="str">
        <f>IFERROR(__xludf.DUMMYFUNCTION("IF(M139=1,IFERROR(IMPORTXML(G139, ""//p[@class='status-date']""), ""Not deployed""),"""")"),"")</f>
        <v/>
      </c>
      <c r="L139" s="48"/>
      <c r="M139" s="48">
        <f t="shared" si="5"/>
        <v>0</v>
      </c>
      <c r="N139" s="49" t="str">
        <f>IFERROR(__xludf.DUMMYFUNCTION("split(G139,""/"")"),"#VALUE!")</f>
        <v>#VALUE!</v>
      </c>
      <c r="O139" s="50"/>
      <c r="P139" s="49"/>
      <c r="Q139" s="49"/>
      <c r="R139" s="49"/>
      <c r="S139" s="49"/>
    </row>
    <row r="140">
      <c r="J140" s="83" t="str">
        <f t="shared" si="4"/>
        <v/>
      </c>
      <c r="K140" s="49" t="str">
        <f>IFERROR(__xludf.DUMMYFUNCTION("IF(M140=1,IFERROR(IMPORTXML(G140, ""//p[@class='status-date']""), ""Not deployed""),"""")"),"")</f>
        <v/>
      </c>
      <c r="L140" s="48"/>
      <c r="M140" s="48">
        <f t="shared" si="5"/>
        <v>0</v>
      </c>
      <c r="N140" s="49" t="str">
        <f>IFERROR(__xludf.DUMMYFUNCTION("split(G140,""/"")"),"#VALUE!")</f>
        <v>#VALUE!</v>
      </c>
      <c r="O140" s="50"/>
      <c r="P140" s="49"/>
      <c r="Q140" s="49"/>
      <c r="R140" s="49"/>
      <c r="S140" s="49"/>
    </row>
    <row r="141">
      <c r="J141" s="83" t="str">
        <f t="shared" si="4"/>
        <v/>
      </c>
      <c r="K141" s="49" t="str">
        <f>IFERROR(__xludf.DUMMYFUNCTION("IF(M141=1,IFERROR(IMPORTXML(G141, ""//p[@class='status-date']""), ""Not deployed""),"""")"),"")</f>
        <v/>
      </c>
      <c r="L141" s="48"/>
      <c r="M141" s="48">
        <f t="shared" si="5"/>
        <v>0</v>
      </c>
      <c r="N141" s="49" t="str">
        <f>IFERROR(__xludf.DUMMYFUNCTION("split(G141,""/"")"),"#VALUE!")</f>
        <v>#VALUE!</v>
      </c>
      <c r="O141" s="50"/>
      <c r="P141" s="49"/>
      <c r="Q141" s="49"/>
      <c r="R141" s="49"/>
      <c r="S141" s="49"/>
    </row>
    <row r="142">
      <c r="J142" s="83" t="str">
        <f t="shared" si="4"/>
        <v/>
      </c>
      <c r="K142" s="49" t="str">
        <f>IFERROR(__xludf.DUMMYFUNCTION("IF(M142=1,IFERROR(IMPORTXML(G142, ""//p[@class='status-date']""), ""Not deployed""),"""")"),"")</f>
        <v/>
      </c>
      <c r="L142" s="48"/>
      <c r="M142" s="48">
        <f t="shared" si="5"/>
        <v>0</v>
      </c>
      <c r="N142" s="49" t="str">
        <f>IFERROR(__xludf.DUMMYFUNCTION("split(G142,""/"")"),"#VALUE!")</f>
        <v>#VALUE!</v>
      </c>
      <c r="O142" s="57"/>
      <c r="P142" s="49"/>
      <c r="Q142" s="49"/>
      <c r="R142" s="49"/>
      <c r="S142" s="49"/>
    </row>
    <row r="143">
      <c r="J143" s="83" t="str">
        <f t="shared" si="4"/>
        <v/>
      </c>
      <c r="K143" s="49" t="str">
        <f>IFERROR(__xludf.DUMMYFUNCTION("IF(M143=1,IFERROR(IMPORTXML(G143, ""//p[@class='status-date']""), ""Not deployed""),"""")"),"")</f>
        <v/>
      </c>
      <c r="L143" s="48"/>
      <c r="M143" s="48">
        <f t="shared" si="5"/>
        <v>0</v>
      </c>
      <c r="N143" s="49" t="str">
        <f>IFERROR(__xludf.DUMMYFUNCTION("split(G143,""/"")"),"#VALUE!")</f>
        <v>#VALUE!</v>
      </c>
      <c r="O143" s="50"/>
      <c r="P143" s="49"/>
      <c r="Q143" s="49"/>
      <c r="R143" s="49"/>
      <c r="S143" s="49"/>
    </row>
    <row r="144">
      <c r="J144" s="83" t="str">
        <f t="shared" si="4"/>
        <v/>
      </c>
      <c r="K144" s="49" t="str">
        <f>IFERROR(__xludf.DUMMYFUNCTION("IF(M144=1,IFERROR(IMPORTXML(G144, ""//p[@class='status-date']""), ""Not deployed""),"""")"),"")</f>
        <v/>
      </c>
      <c r="L144" s="48"/>
      <c r="M144" s="48">
        <f t="shared" si="5"/>
        <v>0</v>
      </c>
      <c r="N144" s="49" t="str">
        <f>IFERROR(__xludf.DUMMYFUNCTION("split(G144,""/"")"),"#VALUE!")</f>
        <v>#VALUE!</v>
      </c>
      <c r="O144" s="50"/>
      <c r="P144" s="49"/>
      <c r="Q144" s="49"/>
      <c r="R144" s="49"/>
      <c r="S144" s="49"/>
    </row>
    <row r="145">
      <c r="J145" s="83" t="str">
        <f t="shared" si="4"/>
        <v/>
      </c>
      <c r="K145" s="49" t="str">
        <f>IFERROR(__xludf.DUMMYFUNCTION("IF(M145=1,IFERROR(IMPORTXML(G145, ""//p[@class='status-date']""), ""Not deployed""),"""")"),"")</f>
        <v/>
      </c>
      <c r="L145" s="48"/>
      <c r="M145" s="48">
        <f t="shared" si="5"/>
        <v>0</v>
      </c>
      <c r="N145" s="49" t="str">
        <f>IFERROR(__xludf.DUMMYFUNCTION("split(G145,""/"")"),"#VALUE!")</f>
        <v>#VALUE!</v>
      </c>
      <c r="O145" s="50"/>
      <c r="P145" s="49"/>
      <c r="Q145" s="49"/>
      <c r="R145" s="49"/>
      <c r="S145" s="49"/>
    </row>
    <row r="146">
      <c r="J146" s="83" t="str">
        <f t="shared" si="4"/>
        <v/>
      </c>
      <c r="K146" s="49" t="str">
        <f>IFERROR(__xludf.DUMMYFUNCTION("IF(M146=1,IFERROR(IMPORTXML(G146, ""//p[@class='status-date']""), ""Not deployed""),"""")"),"")</f>
        <v/>
      </c>
      <c r="L146" s="48"/>
      <c r="M146" s="48">
        <f t="shared" si="5"/>
        <v>0</v>
      </c>
      <c r="N146" s="49" t="str">
        <f>IFERROR(__xludf.DUMMYFUNCTION("split(G146,""/"")"),"#VALUE!")</f>
        <v>#VALUE!</v>
      </c>
      <c r="O146" s="50"/>
      <c r="P146" s="49"/>
      <c r="Q146" s="49"/>
      <c r="R146" s="49"/>
      <c r="S146" s="49"/>
    </row>
    <row r="147">
      <c r="J147" s="83" t="str">
        <f t="shared" si="4"/>
        <v/>
      </c>
      <c r="K147" s="49" t="str">
        <f>IFERROR(__xludf.DUMMYFUNCTION("IF(M147=1,IFERROR(IMPORTXML(G147, ""//p[@class='status-date']""), ""Not deployed""),"""")"),"")</f>
        <v/>
      </c>
      <c r="L147" s="48"/>
      <c r="M147" s="48">
        <f t="shared" si="5"/>
        <v>0</v>
      </c>
      <c r="N147" s="49" t="str">
        <f>IFERROR(__xludf.DUMMYFUNCTION("split(G147,""/"")"),"#VALUE!")</f>
        <v>#VALUE!</v>
      </c>
      <c r="O147" s="50"/>
      <c r="P147" s="49"/>
      <c r="Q147" s="49"/>
      <c r="R147" s="49"/>
      <c r="S147" s="49"/>
    </row>
    <row r="148">
      <c r="J148" s="83" t="str">
        <f t="shared" si="4"/>
        <v/>
      </c>
      <c r="K148" s="49" t="str">
        <f>IFERROR(__xludf.DUMMYFUNCTION("IF(M148=1,IFERROR(IMPORTXML(G148, ""//p[@class='status-date']""), ""Not deployed""),"""")"),"")</f>
        <v/>
      </c>
      <c r="L148" s="48"/>
      <c r="M148" s="48">
        <f t="shared" si="5"/>
        <v>0</v>
      </c>
      <c r="N148" s="49" t="str">
        <f>IFERROR(__xludf.DUMMYFUNCTION("split(G148,""/"")"),"#VALUE!")</f>
        <v>#VALUE!</v>
      </c>
      <c r="O148" s="50"/>
      <c r="P148" s="49"/>
      <c r="Q148" s="49"/>
      <c r="R148" s="49"/>
      <c r="S148" s="49"/>
    </row>
    <row r="149">
      <c r="J149" s="83" t="str">
        <f t="shared" si="4"/>
        <v/>
      </c>
      <c r="K149" s="49" t="str">
        <f>IFERROR(__xludf.DUMMYFUNCTION("IF(M149=1,IFERROR(IMPORTXML(G149, ""//p[@class='status-date']""), ""Not deployed""),"""")"),"")</f>
        <v/>
      </c>
      <c r="L149" s="48"/>
      <c r="M149" s="48">
        <f t="shared" si="5"/>
        <v>0</v>
      </c>
      <c r="N149" s="49" t="str">
        <f>IFERROR(__xludf.DUMMYFUNCTION("split(G149,""/"")"),"#VALUE!")</f>
        <v>#VALUE!</v>
      </c>
      <c r="O149" s="50"/>
      <c r="P149" s="49"/>
      <c r="Q149" s="49"/>
      <c r="R149" s="49"/>
      <c r="S149" s="49"/>
    </row>
    <row r="150">
      <c r="J150" s="83" t="str">
        <f t="shared" si="4"/>
        <v/>
      </c>
      <c r="K150" s="49" t="str">
        <f>IFERROR(__xludf.DUMMYFUNCTION("IF(M150=1,IFERROR(IMPORTXML(G150, ""//p[@class='status-date']""), ""Not deployed""),"""")"),"")</f>
        <v/>
      </c>
      <c r="L150" s="48"/>
      <c r="M150" s="48">
        <f t="shared" si="5"/>
        <v>0</v>
      </c>
      <c r="N150" s="49" t="str">
        <f>IFERROR(__xludf.DUMMYFUNCTION("split(G150,""/"")"),"#VALUE!")</f>
        <v>#VALUE!</v>
      </c>
      <c r="O150" s="50"/>
      <c r="P150" s="49"/>
      <c r="Q150" s="49"/>
      <c r="R150" s="49"/>
      <c r="S150" s="49"/>
    </row>
    <row r="151">
      <c r="J151" s="83" t="str">
        <f t="shared" si="4"/>
        <v/>
      </c>
      <c r="K151" s="49" t="str">
        <f>IFERROR(__xludf.DUMMYFUNCTION("IF(M151=1,IFERROR(IMPORTXML(G151, ""//p[@class='status-date']""), ""Not deployed""),"""")"),"")</f>
        <v/>
      </c>
      <c r="L151" s="48"/>
      <c r="M151" s="48">
        <f t="shared" si="5"/>
        <v>0</v>
      </c>
      <c r="N151" s="49" t="str">
        <f>IFERROR(__xludf.DUMMYFUNCTION("split(G151,""/"")"),"#VALUE!")</f>
        <v>#VALUE!</v>
      </c>
      <c r="O151" s="50"/>
      <c r="P151" s="49"/>
      <c r="Q151" s="49"/>
      <c r="R151" s="49"/>
      <c r="S151" s="49"/>
    </row>
    <row r="152">
      <c r="J152" s="83"/>
    </row>
    <row r="153">
      <c r="J153" s="83"/>
    </row>
    <row r="154">
      <c r="J154" s="83"/>
    </row>
    <row r="155">
      <c r="J155" s="83"/>
    </row>
    <row r="156">
      <c r="J156" s="83"/>
    </row>
    <row r="157">
      <c r="J157" s="83"/>
    </row>
    <row r="158">
      <c r="J158" s="83"/>
    </row>
    <row r="159">
      <c r="J159" s="83"/>
    </row>
    <row r="160">
      <c r="J160" s="83"/>
    </row>
    <row r="161">
      <c r="J161" s="83"/>
    </row>
    <row r="162">
      <c r="J162" s="83"/>
    </row>
    <row r="163">
      <c r="J163" s="83"/>
    </row>
    <row r="164">
      <c r="J164" s="83"/>
    </row>
    <row r="165">
      <c r="J165" s="83"/>
    </row>
    <row r="166">
      <c r="J166" s="83"/>
    </row>
    <row r="167">
      <c r="J167" s="83"/>
    </row>
    <row r="168">
      <c r="J168" s="83"/>
    </row>
    <row r="169">
      <c r="J169" s="83"/>
    </row>
    <row r="170">
      <c r="J170" s="83"/>
    </row>
    <row r="171">
      <c r="J171" s="83"/>
    </row>
    <row r="172">
      <c r="J172" s="83"/>
    </row>
    <row r="173">
      <c r="J173" s="83"/>
    </row>
    <row r="174">
      <c r="J174" s="83"/>
    </row>
    <row r="175">
      <c r="J175" s="83"/>
    </row>
    <row r="176">
      <c r="J176" s="83"/>
    </row>
    <row r="177">
      <c r="J177" s="83"/>
    </row>
    <row r="178">
      <c r="J178" s="83"/>
    </row>
    <row r="179">
      <c r="J179" s="83"/>
    </row>
    <row r="180">
      <c r="J180" s="83"/>
    </row>
    <row r="181">
      <c r="J181" s="83"/>
    </row>
    <row r="182">
      <c r="J182" s="83"/>
    </row>
    <row r="183">
      <c r="J183" s="83"/>
    </row>
    <row r="184">
      <c r="J184" s="83"/>
    </row>
    <row r="185">
      <c r="J185" s="100"/>
      <c r="K185" s="5"/>
      <c r="L185" s="5"/>
      <c r="M185" s="5"/>
      <c r="N185" s="5"/>
      <c r="O185" s="5"/>
      <c r="P185" s="5"/>
      <c r="Q185" s="5"/>
      <c r="R185" s="5"/>
      <c r="S185" s="5"/>
    </row>
    <row r="186">
      <c r="J186" s="100"/>
      <c r="K186" s="5"/>
      <c r="L186" s="5"/>
      <c r="M186" s="5"/>
      <c r="N186" s="5"/>
      <c r="O186" s="5"/>
      <c r="P186" s="5"/>
      <c r="Q186" s="5"/>
      <c r="R186" s="5"/>
      <c r="S186" s="5"/>
    </row>
    <row r="187">
      <c r="J187" s="100"/>
      <c r="K187" s="5"/>
      <c r="L187" s="5"/>
      <c r="M187" s="5"/>
      <c r="N187" s="5"/>
      <c r="O187" s="5"/>
      <c r="P187" s="5"/>
      <c r="Q187" s="5"/>
      <c r="R187" s="5"/>
      <c r="S187" s="5"/>
    </row>
    <row r="188">
      <c r="J188" s="100"/>
      <c r="K188" s="5"/>
      <c r="L188" s="5"/>
      <c r="M188" s="5"/>
      <c r="N188" s="5"/>
      <c r="O188" s="5"/>
      <c r="P188" s="5"/>
      <c r="Q188" s="5"/>
      <c r="R188" s="5"/>
      <c r="S188" s="5"/>
    </row>
    <row r="189">
      <c r="J189" s="102"/>
      <c r="K189" s="40"/>
      <c r="L189" s="40"/>
      <c r="M189" s="40"/>
      <c r="N189" s="40"/>
      <c r="O189" s="40"/>
      <c r="P189" s="40"/>
      <c r="Q189" s="40"/>
      <c r="R189" s="40"/>
      <c r="S189" s="40"/>
    </row>
    <row r="190">
      <c r="J190" s="83"/>
    </row>
    <row r="191">
      <c r="J191" s="103"/>
      <c r="K191" s="41" t="s">
        <v>94</v>
      </c>
      <c r="L191" s="41" t="s">
        <v>95</v>
      </c>
      <c r="M191" s="41" t="s">
        <v>96</v>
      </c>
      <c r="N191" s="42" t="s">
        <v>97</v>
      </c>
    </row>
    <row r="192">
      <c r="J192" s="83" t="str">
        <f t="shared" ref="J192:J243" si="6">if(I192=true,"",S192)</f>
        <v/>
      </c>
      <c r="K192" s="49" t="str">
        <f>IFERROR(__xludf.DUMMYFUNCTION("IF(M192=1,IFERROR(IMPORTXML(G192, ""//p[@class='status-date']""), ""Not deployed""),"""")"),"")</f>
        <v/>
      </c>
      <c r="L192" s="48"/>
      <c r="M192" s="48">
        <f t="shared" ref="M192:M243" si="7">if(I192=TRUE,2,IF(ISTEXT(G192),1,0))</f>
        <v>0</v>
      </c>
      <c r="N192" s="49" t="str">
        <f>IFERROR(__xludf.DUMMYFUNCTION("split(G192,""/"")"),"#VALUE!")</f>
        <v>#VALUE!</v>
      </c>
      <c r="O192" s="50"/>
      <c r="P192" s="49"/>
      <c r="Q192" s="49"/>
      <c r="R192" s="49"/>
      <c r="S192" s="49"/>
    </row>
    <row r="193">
      <c r="J193" s="83" t="str">
        <f t="shared" si="6"/>
        <v/>
      </c>
      <c r="K193" s="49" t="str">
        <f>IFERROR(__xludf.DUMMYFUNCTION("IF(M193=1,IFERROR(IMPORTXML(G193, ""//p[@class='status-date']""), ""Not deployed""),"""")"),"")</f>
        <v/>
      </c>
      <c r="L193" s="48"/>
      <c r="M193" s="48">
        <f t="shared" si="7"/>
        <v>0</v>
      </c>
      <c r="N193" s="49" t="str">
        <f>IFERROR(__xludf.DUMMYFUNCTION("split(G193,""/"")"),"#VALUE!")</f>
        <v>#VALUE!</v>
      </c>
      <c r="O193" s="50"/>
      <c r="P193" s="49"/>
      <c r="Q193" s="49"/>
      <c r="R193" s="49"/>
      <c r="S193" s="49"/>
    </row>
    <row r="194">
      <c r="J194" s="83" t="str">
        <f t="shared" si="6"/>
        <v/>
      </c>
      <c r="K194" s="49" t="str">
        <f>IFERROR(__xludf.DUMMYFUNCTION("IF(M194=1,IFERROR(IMPORTXML(G194, ""//p[@class='status-date']""), ""Not deployed""),"""")"),"")</f>
        <v/>
      </c>
      <c r="L194" s="48"/>
      <c r="M194" s="48">
        <f t="shared" si="7"/>
        <v>0</v>
      </c>
      <c r="N194" s="49" t="str">
        <f>IFERROR(__xludf.DUMMYFUNCTION("split(G194,""/"")"),"#VALUE!")</f>
        <v>#VALUE!</v>
      </c>
      <c r="O194" s="50"/>
      <c r="P194" s="49"/>
      <c r="Q194" s="49"/>
      <c r="R194" s="49"/>
      <c r="S194" s="49"/>
    </row>
    <row r="195">
      <c r="J195" s="83" t="str">
        <f t="shared" si="6"/>
        <v/>
      </c>
      <c r="K195" s="49" t="str">
        <f>IFERROR(__xludf.DUMMYFUNCTION("IF(M195=1,IFERROR(IMPORTXML(G195, ""//p[@class='status-date']""), ""Not deployed""),"""")"),"")</f>
        <v/>
      </c>
      <c r="L195" s="48"/>
      <c r="M195" s="48">
        <f t="shared" si="7"/>
        <v>0</v>
      </c>
      <c r="N195" s="49" t="str">
        <f>IFERROR(__xludf.DUMMYFUNCTION("split(G195,""/"")"),"#VALUE!")</f>
        <v>#VALUE!</v>
      </c>
      <c r="O195" s="50"/>
      <c r="P195" s="49"/>
      <c r="Q195" s="49"/>
      <c r="R195" s="49"/>
      <c r="S195" s="49"/>
    </row>
    <row r="196">
      <c r="J196" s="83" t="str">
        <f t="shared" si="6"/>
        <v/>
      </c>
      <c r="K196" s="49" t="str">
        <f>IFERROR(__xludf.DUMMYFUNCTION("IF(M196=1,IFERROR(IMPORTXML(G196, ""//p[@class='status-date']""), ""Not deployed""),"""")"),"")</f>
        <v/>
      </c>
      <c r="L196" s="48"/>
      <c r="M196" s="48">
        <f t="shared" si="7"/>
        <v>0</v>
      </c>
      <c r="N196" s="49" t="str">
        <f>IFERROR(__xludf.DUMMYFUNCTION("split(G196,""/"")"),"#VALUE!")</f>
        <v>#VALUE!</v>
      </c>
      <c r="O196" s="50"/>
      <c r="P196" s="49"/>
      <c r="Q196" s="49"/>
      <c r="R196" s="49"/>
      <c r="S196" s="49"/>
    </row>
    <row r="197">
      <c r="J197" s="83" t="str">
        <f t="shared" si="6"/>
        <v/>
      </c>
      <c r="K197" s="49" t="str">
        <f>IFERROR(__xludf.DUMMYFUNCTION("IF(M197=1,IFERROR(IMPORTXML(G197, ""//p[@class='status-date']""), ""Not deployed""),"""")"),"")</f>
        <v/>
      </c>
      <c r="L197" s="48"/>
      <c r="M197" s="48">
        <f t="shared" si="7"/>
        <v>0</v>
      </c>
      <c r="N197" s="49" t="str">
        <f>IFERROR(__xludf.DUMMYFUNCTION("split(G197,""/"")"),"#VALUE!")</f>
        <v>#VALUE!</v>
      </c>
      <c r="O197" s="50"/>
      <c r="P197" s="49"/>
      <c r="Q197" s="49"/>
      <c r="R197" s="49"/>
      <c r="S197" s="49"/>
    </row>
    <row r="198">
      <c r="J198" s="83" t="str">
        <f t="shared" si="6"/>
        <v/>
      </c>
      <c r="K198" s="49" t="str">
        <f>IFERROR(__xludf.DUMMYFUNCTION("IF(M198=1,IFERROR(IMPORTXML(G198, ""//p[@class='status-date']""), ""Not deployed""),"""")"),"")</f>
        <v/>
      </c>
      <c r="L198" s="48"/>
      <c r="M198" s="48">
        <f t="shared" si="7"/>
        <v>0</v>
      </c>
      <c r="N198" s="49" t="str">
        <f>IFERROR(__xludf.DUMMYFUNCTION("split(G198,""/"")"),"#VALUE!")</f>
        <v>#VALUE!</v>
      </c>
      <c r="O198" s="50"/>
      <c r="P198" s="49"/>
      <c r="Q198" s="49"/>
      <c r="R198" s="49"/>
      <c r="S198" s="49"/>
    </row>
    <row r="199">
      <c r="J199" s="83" t="str">
        <f t="shared" si="6"/>
        <v/>
      </c>
      <c r="K199" s="49" t="str">
        <f>IFERROR(__xludf.DUMMYFUNCTION("IF(M199=1,IFERROR(IMPORTXML(G199, ""//p[@class='status-date']""), ""Not deployed""),"""")"),"")</f>
        <v/>
      </c>
      <c r="L199" s="48"/>
      <c r="M199" s="48">
        <f t="shared" si="7"/>
        <v>0</v>
      </c>
      <c r="N199" s="49" t="str">
        <f>IFERROR(__xludf.DUMMYFUNCTION("split(G199,""/"")"),"#VALUE!")</f>
        <v>#VALUE!</v>
      </c>
      <c r="O199" s="50"/>
      <c r="P199" s="49"/>
      <c r="Q199" s="49"/>
      <c r="R199" s="49"/>
      <c r="S199" s="49"/>
    </row>
    <row r="200">
      <c r="J200" s="83" t="str">
        <f t="shared" si="6"/>
        <v/>
      </c>
      <c r="K200" s="49" t="str">
        <f>IFERROR(__xludf.DUMMYFUNCTION("IF(M200=1,IFERROR(IMPORTXML(G200, ""//p[@class='status-date']""), ""Not deployed""),"""")"),"")</f>
        <v/>
      </c>
      <c r="L200" s="48"/>
      <c r="M200" s="48">
        <f t="shared" si="7"/>
        <v>0</v>
      </c>
      <c r="N200" s="49" t="str">
        <f>IFERROR(__xludf.DUMMYFUNCTION("split(G200,""/"")"),"#VALUE!")</f>
        <v>#VALUE!</v>
      </c>
      <c r="O200" s="50"/>
      <c r="P200" s="49"/>
      <c r="Q200" s="49"/>
      <c r="R200" s="49"/>
      <c r="S200" s="49"/>
    </row>
    <row r="201">
      <c r="J201" s="83" t="str">
        <f t="shared" si="6"/>
        <v/>
      </c>
      <c r="K201" s="49" t="str">
        <f>IFERROR(__xludf.DUMMYFUNCTION("IF(M201=1,IFERROR(IMPORTXML(G201, ""//p[@class='status-date']""), ""Not deployed""),"""")"),"")</f>
        <v/>
      </c>
      <c r="L201" s="48"/>
      <c r="M201" s="48">
        <f t="shared" si="7"/>
        <v>0</v>
      </c>
      <c r="N201" s="49" t="str">
        <f>IFERROR(__xludf.DUMMYFUNCTION("split(G201,""/"")"),"#VALUE!")</f>
        <v>#VALUE!</v>
      </c>
      <c r="O201" s="50"/>
      <c r="P201" s="49"/>
      <c r="Q201" s="49"/>
      <c r="R201" s="49"/>
      <c r="S201" s="49"/>
    </row>
    <row r="202">
      <c r="J202" s="83" t="str">
        <f t="shared" si="6"/>
        <v/>
      </c>
      <c r="K202" s="49" t="str">
        <f>IFERROR(__xludf.DUMMYFUNCTION("IF(M202=1,IFERROR(IMPORTXML(G202, ""//p[@class='status-date']""), ""Not deployed""),"""")"),"")</f>
        <v/>
      </c>
      <c r="L202" s="48"/>
      <c r="M202" s="48">
        <f t="shared" si="7"/>
        <v>0</v>
      </c>
      <c r="N202" s="49" t="str">
        <f>IFERROR(__xludf.DUMMYFUNCTION("split(G202,""/"")"),"#VALUE!")</f>
        <v>#VALUE!</v>
      </c>
      <c r="O202" s="50"/>
      <c r="P202" s="49"/>
      <c r="Q202" s="49"/>
      <c r="R202" s="49"/>
      <c r="S202" s="49"/>
    </row>
    <row r="203">
      <c r="J203" s="83" t="str">
        <f t="shared" si="6"/>
        <v/>
      </c>
      <c r="K203" s="49" t="str">
        <f>IFERROR(__xludf.DUMMYFUNCTION("IF(M203=1,IFERROR(IMPORTXML(G203, ""//p[@class='status-date']""), ""Not deployed""),"""")"),"")</f>
        <v/>
      </c>
      <c r="L203" s="48"/>
      <c r="M203" s="48">
        <f t="shared" si="7"/>
        <v>0</v>
      </c>
      <c r="N203" s="49" t="str">
        <f>IFERROR(__xludf.DUMMYFUNCTION("split(G203,""/"")"),"#VALUE!")</f>
        <v>#VALUE!</v>
      </c>
      <c r="O203" s="50"/>
      <c r="P203" s="49"/>
      <c r="Q203" s="49"/>
      <c r="R203" s="49"/>
      <c r="S203" s="49"/>
    </row>
    <row r="204">
      <c r="J204" s="83" t="str">
        <f t="shared" si="6"/>
        <v/>
      </c>
      <c r="K204" s="49" t="str">
        <f>IFERROR(__xludf.DUMMYFUNCTION("IF(M204=1,IFERROR(IMPORTXML(G204, ""//p[@class='status-date']""), ""Not deployed""),"""")"),"")</f>
        <v/>
      </c>
      <c r="L204" s="48"/>
      <c r="M204" s="48">
        <f t="shared" si="7"/>
        <v>0</v>
      </c>
      <c r="N204" s="49" t="str">
        <f>IFERROR(__xludf.DUMMYFUNCTION("split(G204,""/"")"),"#VALUE!")</f>
        <v>#VALUE!</v>
      </c>
      <c r="O204" s="50"/>
      <c r="P204" s="49"/>
      <c r="Q204" s="49"/>
      <c r="R204" s="49"/>
      <c r="S204" s="49"/>
    </row>
    <row r="205">
      <c r="J205" s="83" t="str">
        <f t="shared" si="6"/>
        <v/>
      </c>
      <c r="K205" s="49" t="str">
        <f>IFERROR(__xludf.DUMMYFUNCTION("IF(M205=1,IFERROR(IMPORTXML(G205, ""//p[@class='status-date']""), ""Not deployed""),"""")"),"")</f>
        <v/>
      </c>
      <c r="L205" s="48"/>
      <c r="M205" s="48">
        <f t="shared" si="7"/>
        <v>0</v>
      </c>
      <c r="N205" s="49" t="str">
        <f>IFERROR(__xludf.DUMMYFUNCTION("split(G205,""/"")"),"#VALUE!")</f>
        <v>#VALUE!</v>
      </c>
      <c r="O205" s="50"/>
      <c r="P205" s="49"/>
      <c r="Q205" s="49"/>
      <c r="R205" s="49"/>
      <c r="S205" s="49"/>
    </row>
    <row r="206">
      <c r="J206" s="83" t="str">
        <f t="shared" si="6"/>
        <v/>
      </c>
      <c r="K206" s="49" t="str">
        <f>IFERROR(__xludf.DUMMYFUNCTION("IF(M206=1,IFERROR(IMPORTXML(G206, ""//p[@class='status-date']""), ""Not deployed""),"""")"),"")</f>
        <v/>
      </c>
      <c r="L206" s="48"/>
      <c r="M206" s="48">
        <f t="shared" si="7"/>
        <v>0</v>
      </c>
      <c r="N206" s="49" t="str">
        <f>IFERROR(__xludf.DUMMYFUNCTION("split(G206,""/"")"),"#VALUE!")</f>
        <v>#VALUE!</v>
      </c>
      <c r="O206" s="50"/>
      <c r="P206" s="49"/>
      <c r="Q206" s="49"/>
      <c r="R206" s="49"/>
      <c r="S206" s="49"/>
    </row>
    <row r="207">
      <c r="J207" s="83" t="str">
        <f t="shared" si="6"/>
        <v/>
      </c>
      <c r="K207" s="49" t="str">
        <f>IFERROR(__xludf.DUMMYFUNCTION("IF(M207=1,IFERROR(IMPORTXML(G207, ""//p[@class='status-date']""), ""Not deployed""),"""")"),"")</f>
        <v/>
      </c>
      <c r="L207" s="48"/>
      <c r="M207" s="48">
        <f t="shared" si="7"/>
        <v>0</v>
      </c>
      <c r="N207" s="49" t="str">
        <f>IFERROR(__xludf.DUMMYFUNCTION("split(G207,""/"")"),"#VALUE!")</f>
        <v>#VALUE!</v>
      </c>
      <c r="O207" s="50"/>
      <c r="P207" s="49"/>
      <c r="Q207" s="49"/>
      <c r="R207" s="49"/>
      <c r="S207" s="49"/>
    </row>
    <row r="208">
      <c r="J208" s="83" t="str">
        <f t="shared" si="6"/>
        <v/>
      </c>
      <c r="K208" s="49" t="str">
        <f>IFERROR(__xludf.DUMMYFUNCTION("IF(M208=1,IFERROR(IMPORTXML(G208, ""//p[@class='status-date']""), ""Not deployed""),"""")"),"")</f>
        <v/>
      </c>
      <c r="L208" s="48"/>
      <c r="M208" s="48">
        <f t="shared" si="7"/>
        <v>0</v>
      </c>
      <c r="N208" s="49" t="str">
        <f>IFERROR(__xludf.DUMMYFUNCTION("split(G208,""/"")"),"#VALUE!")</f>
        <v>#VALUE!</v>
      </c>
      <c r="O208" s="50"/>
      <c r="P208" s="49"/>
      <c r="Q208" s="49"/>
      <c r="R208" s="49"/>
      <c r="S208" s="49"/>
    </row>
    <row r="209">
      <c r="J209" s="83" t="str">
        <f t="shared" si="6"/>
        <v/>
      </c>
      <c r="K209" s="49" t="str">
        <f>IFERROR(__xludf.DUMMYFUNCTION("IF(M209=1,IFERROR(IMPORTXML(G209, ""//p[@class='status-date']""), ""Not deployed""),"""")"),"")</f>
        <v/>
      </c>
      <c r="L209" s="48"/>
      <c r="M209" s="48">
        <f t="shared" si="7"/>
        <v>0</v>
      </c>
      <c r="N209" s="49" t="str">
        <f>IFERROR(__xludf.DUMMYFUNCTION("split(G209,""/"")"),"#VALUE!")</f>
        <v>#VALUE!</v>
      </c>
      <c r="O209" s="50"/>
      <c r="P209" s="49"/>
      <c r="Q209" s="49"/>
      <c r="R209" s="49"/>
      <c r="S209" s="49"/>
    </row>
    <row r="210">
      <c r="J210" s="83" t="str">
        <f t="shared" si="6"/>
        <v/>
      </c>
      <c r="K210" s="49" t="str">
        <f>IFERROR(__xludf.DUMMYFUNCTION("IF(M210=1,IFERROR(IMPORTXML(G210, ""//p[@class='status-date']""), ""Not deployed""),"""")"),"")</f>
        <v/>
      </c>
      <c r="L210" s="48"/>
      <c r="M210" s="48">
        <f t="shared" si="7"/>
        <v>0</v>
      </c>
      <c r="N210" s="49" t="str">
        <f>IFERROR(__xludf.DUMMYFUNCTION("split(G210,""/"")"),"#VALUE!")</f>
        <v>#VALUE!</v>
      </c>
      <c r="O210" s="50"/>
      <c r="P210" s="49"/>
      <c r="Q210" s="49"/>
      <c r="R210" s="49"/>
      <c r="S210" s="49"/>
    </row>
    <row r="211">
      <c r="J211" s="83" t="str">
        <f t="shared" si="6"/>
        <v/>
      </c>
      <c r="K211" s="49" t="str">
        <f>IFERROR(__xludf.DUMMYFUNCTION("IF(M211=1,IFERROR(IMPORTXML(G211, ""//p[@class='status-date']""), ""Not deployed""),"""")"),"")</f>
        <v/>
      </c>
      <c r="L211" s="48"/>
      <c r="M211" s="48">
        <f t="shared" si="7"/>
        <v>0</v>
      </c>
      <c r="N211" s="49" t="str">
        <f>IFERROR(__xludf.DUMMYFUNCTION("split(G211,""/"")"),"#VALUE!")</f>
        <v>#VALUE!</v>
      </c>
      <c r="O211" s="50"/>
      <c r="P211" s="49"/>
      <c r="Q211" s="49"/>
      <c r="R211" s="49"/>
      <c r="S211" s="49"/>
    </row>
    <row r="212">
      <c r="J212" s="83" t="str">
        <f t="shared" si="6"/>
        <v/>
      </c>
      <c r="K212" s="49" t="str">
        <f>IFERROR(__xludf.DUMMYFUNCTION("IF(M212=1,IFERROR(IMPORTXML(G212, ""//p[@class='status-date']""), ""Not deployed""),"""")"),"")</f>
        <v/>
      </c>
      <c r="L212" s="48"/>
      <c r="M212" s="48">
        <f t="shared" si="7"/>
        <v>0</v>
      </c>
      <c r="N212" s="49" t="str">
        <f>IFERROR(__xludf.DUMMYFUNCTION("split(G212,""/"")"),"#VALUE!")</f>
        <v>#VALUE!</v>
      </c>
      <c r="O212" s="50"/>
      <c r="P212" s="49"/>
      <c r="Q212" s="49"/>
      <c r="R212" s="49"/>
      <c r="S212" s="49"/>
    </row>
    <row r="213">
      <c r="J213" s="83" t="str">
        <f t="shared" si="6"/>
        <v/>
      </c>
      <c r="K213" s="49" t="str">
        <f>IFERROR(__xludf.DUMMYFUNCTION("IF(M213=1,IFERROR(IMPORTXML(G213, ""//p[@class='status-date']""), ""Not deployed""),"""")"),"")</f>
        <v/>
      </c>
      <c r="L213" s="48"/>
      <c r="M213" s="48">
        <f t="shared" si="7"/>
        <v>0</v>
      </c>
      <c r="N213" s="49" t="str">
        <f>IFERROR(__xludf.DUMMYFUNCTION("split(G213,""/"")"),"#VALUE!")</f>
        <v>#VALUE!</v>
      </c>
      <c r="O213" s="50"/>
      <c r="P213" s="49"/>
      <c r="Q213" s="49"/>
      <c r="R213" s="49"/>
      <c r="S213" s="49"/>
    </row>
    <row r="214">
      <c r="J214" s="83" t="str">
        <f t="shared" si="6"/>
        <v/>
      </c>
      <c r="K214" s="49" t="str">
        <f>IFERROR(__xludf.DUMMYFUNCTION("IF(M214=1,IFERROR(IMPORTXML(G214, ""//p[@class='status-date']""), ""Not deployed""),"""")"),"")</f>
        <v/>
      </c>
      <c r="L214" s="48"/>
      <c r="M214" s="48">
        <f t="shared" si="7"/>
        <v>0</v>
      </c>
      <c r="N214" s="49" t="str">
        <f>IFERROR(__xludf.DUMMYFUNCTION("split(G214,""/"")"),"#VALUE!")</f>
        <v>#VALUE!</v>
      </c>
      <c r="O214" s="50"/>
      <c r="P214" s="49"/>
      <c r="Q214" s="49"/>
      <c r="R214" s="49"/>
      <c r="S214" s="49"/>
    </row>
    <row r="215">
      <c r="J215" s="83" t="str">
        <f t="shared" si="6"/>
        <v/>
      </c>
      <c r="K215" s="49" t="str">
        <f>IFERROR(__xludf.DUMMYFUNCTION("IF(M215=1,IFERROR(IMPORTXML(G215, ""//p[@class='status-date']""), ""Not deployed""),"""")"),"")</f>
        <v/>
      </c>
      <c r="L215" s="48"/>
      <c r="M215" s="48">
        <f t="shared" si="7"/>
        <v>0</v>
      </c>
      <c r="N215" s="49" t="str">
        <f>IFERROR(__xludf.DUMMYFUNCTION("split(G215,""/"")"),"#VALUE!")</f>
        <v>#VALUE!</v>
      </c>
      <c r="O215" s="50"/>
      <c r="P215" s="49"/>
      <c r="Q215" s="49"/>
      <c r="R215" s="49"/>
      <c r="S215" s="49"/>
    </row>
    <row r="216">
      <c r="J216" s="83" t="str">
        <f t="shared" si="6"/>
        <v/>
      </c>
      <c r="K216" s="49" t="str">
        <f>IFERROR(__xludf.DUMMYFUNCTION("IF(M216=1,IFERROR(IMPORTXML(G216, ""//p[@class='status-date']""), ""Not deployed""),"""")"),"")</f>
        <v/>
      </c>
      <c r="L216" s="48"/>
      <c r="M216" s="48">
        <f t="shared" si="7"/>
        <v>0</v>
      </c>
      <c r="N216" s="49" t="str">
        <f>IFERROR(__xludf.DUMMYFUNCTION("split(G216,""/"")"),"#VALUE!")</f>
        <v>#VALUE!</v>
      </c>
      <c r="O216" s="50"/>
      <c r="P216" s="49"/>
      <c r="Q216" s="49"/>
      <c r="R216" s="49"/>
      <c r="S216" s="49"/>
    </row>
    <row r="217">
      <c r="J217" s="83" t="str">
        <f t="shared" si="6"/>
        <v/>
      </c>
      <c r="K217" s="49" t="str">
        <f>IFERROR(__xludf.DUMMYFUNCTION("IF(M217=1,IFERROR(IMPORTXML(G217, ""//p[@class='status-date']""), ""Not deployed""),"""")"),"")</f>
        <v/>
      </c>
      <c r="L217" s="48"/>
      <c r="M217" s="48">
        <f t="shared" si="7"/>
        <v>0</v>
      </c>
      <c r="N217" s="49" t="str">
        <f>IFERROR(__xludf.DUMMYFUNCTION("split(G217,""/"")"),"#VALUE!")</f>
        <v>#VALUE!</v>
      </c>
      <c r="O217" s="50"/>
      <c r="P217" s="49"/>
      <c r="Q217" s="49"/>
      <c r="R217" s="49"/>
      <c r="S217" s="49"/>
    </row>
    <row r="218">
      <c r="J218" s="83" t="str">
        <f t="shared" si="6"/>
        <v/>
      </c>
      <c r="K218" s="49" t="str">
        <f>IFERROR(__xludf.DUMMYFUNCTION("IF(M218=1,IFERROR(IMPORTXML(G218, ""//p[@class='status-date']""), ""Not deployed""),"""")"),"")</f>
        <v/>
      </c>
      <c r="L218" s="48"/>
      <c r="M218" s="48">
        <f t="shared" si="7"/>
        <v>0</v>
      </c>
      <c r="N218" s="49" t="str">
        <f>IFERROR(__xludf.DUMMYFUNCTION("split(G218,""/"")"),"#VALUE!")</f>
        <v>#VALUE!</v>
      </c>
      <c r="O218" s="50"/>
      <c r="P218" s="49"/>
      <c r="Q218" s="49"/>
      <c r="R218" s="49"/>
      <c r="S218" s="49"/>
    </row>
    <row r="219">
      <c r="J219" s="83" t="str">
        <f t="shared" si="6"/>
        <v/>
      </c>
      <c r="K219" s="49" t="str">
        <f>IFERROR(__xludf.DUMMYFUNCTION("IF(M219=1,IFERROR(IMPORTXML(G219, ""//p[@class='status-date']""), ""Not deployed""),"""")"),"")</f>
        <v/>
      </c>
      <c r="L219" s="48"/>
      <c r="M219" s="48">
        <f t="shared" si="7"/>
        <v>0</v>
      </c>
      <c r="N219" s="49" t="str">
        <f>IFERROR(__xludf.DUMMYFUNCTION("split(G219,""/"")"),"#VALUE!")</f>
        <v>#VALUE!</v>
      </c>
      <c r="O219" s="50"/>
      <c r="P219" s="49"/>
      <c r="Q219" s="49"/>
      <c r="R219" s="49"/>
      <c r="S219" s="49"/>
    </row>
    <row r="220">
      <c r="J220" s="83" t="str">
        <f t="shared" si="6"/>
        <v/>
      </c>
      <c r="K220" s="49" t="str">
        <f>IFERROR(__xludf.DUMMYFUNCTION("IF(M220=1,IFERROR(IMPORTXML(G220, ""//p[@class='status-date']""), ""Not deployed""),"""")"),"")</f>
        <v/>
      </c>
      <c r="L220" s="48"/>
      <c r="M220" s="48">
        <f t="shared" si="7"/>
        <v>0</v>
      </c>
      <c r="N220" s="49" t="str">
        <f>IFERROR(__xludf.DUMMYFUNCTION("split(G220,""/"")"),"#VALUE!")</f>
        <v>#VALUE!</v>
      </c>
      <c r="O220" s="50"/>
      <c r="P220" s="49"/>
      <c r="Q220" s="49"/>
      <c r="R220" s="49"/>
      <c r="S220" s="49"/>
    </row>
    <row r="221">
      <c r="J221" s="83" t="str">
        <f t="shared" si="6"/>
        <v/>
      </c>
      <c r="K221" s="49" t="str">
        <f>IFERROR(__xludf.DUMMYFUNCTION("IF(M221=1,IFERROR(IMPORTXML(G221, ""//p[@class='status-date']""), ""Not deployed""),"""")"),"")</f>
        <v/>
      </c>
      <c r="L221" s="48"/>
      <c r="M221" s="48">
        <f t="shared" si="7"/>
        <v>0</v>
      </c>
      <c r="N221" s="49" t="str">
        <f>IFERROR(__xludf.DUMMYFUNCTION("split(G221,""/"")"),"#VALUE!")</f>
        <v>#VALUE!</v>
      </c>
      <c r="O221" s="50"/>
      <c r="P221" s="49"/>
      <c r="Q221" s="49"/>
      <c r="R221" s="49"/>
      <c r="S221" s="49"/>
    </row>
    <row r="222">
      <c r="J222" s="83" t="str">
        <f t="shared" si="6"/>
        <v/>
      </c>
      <c r="K222" s="49" t="str">
        <f>IFERROR(__xludf.DUMMYFUNCTION("IF(M222=1,IFERROR(IMPORTXML(G222, ""//p[@class='status-date']""), ""Not deployed""),"""")"),"")</f>
        <v/>
      </c>
      <c r="L222" s="48"/>
      <c r="M222" s="48">
        <f t="shared" si="7"/>
        <v>0</v>
      </c>
      <c r="N222" s="49" t="str">
        <f>IFERROR(__xludf.DUMMYFUNCTION("split(G222,""/"")"),"#VALUE!")</f>
        <v>#VALUE!</v>
      </c>
      <c r="O222" s="50"/>
      <c r="P222" s="49"/>
      <c r="Q222" s="49"/>
      <c r="R222" s="49"/>
      <c r="S222" s="49"/>
    </row>
    <row r="223">
      <c r="J223" s="83" t="str">
        <f t="shared" si="6"/>
        <v/>
      </c>
      <c r="K223" s="49" t="str">
        <f>IFERROR(__xludf.DUMMYFUNCTION("IF(M223=1,IFERROR(IMPORTXML(G223, ""//p[@class='status-date']""), ""Not deployed""),"""")"),"")</f>
        <v/>
      </c>
      <c r="L223" s="48"/>
      <c r="M223" s="48">
        <f t="shared" si="7"/>
        <v>0</v>
      </c>
      <c r="N223" s="49" t="str">
        <f>IFERROR(__xludf.DUMMYFUNCTION("split(G223,""/"")"),"#VALUE!")</f>
        <v>#VALUE!</v>
      </c>
      <c r="O223" s="50"/>
      <c r="P223" s="49"/>
      <c r="Q223" s="49"/>
      <c r="R223" s="49"/>
      <c r="S223" s="49"/>
    </row>
    <row r="224">
      <c r="J224" s="83" t="str">
        <f t="shared" si="6"/>
        <v/>
      </c>
      <c r="K224" s="49" t="str">
        <f>IFERROR(__xludf.DUMMYFUNCTION("IF(M224=1,IFERROR(IMPORTXML(G224, ""//p[@class='status-date']""), ""Not deployed""),"""")"),"")</f>
        <v/>
      </c>
      <c r="L224" s="48"/>
      <c r="M224" s="48">
        <f t="shared" si="7"/>
        <v>0</v>
      </c>
      <c r="N224" s="49" t="str">
        <f>IFERROR(__xludf.DUMMYFUNCTION("split(G224,""/"")"),"#VALUE!")</f>
        <v>#VALUE!</v>
      </c>
      <c r="O224" s="50"/>
      <c r="P224" s="49"/>
      <c r="Q224" s="49"/>
      <c r="R224" s="49"/>
      <c r="S224" s="49"/>
    </row>
    <row r="225">
      <c r="J225" s="83" t="str">
        <f t="shared" si="6"/>
        <v/>
      </c>
      <c r="K225" s="49" t="str">
        <f>IFERROR(__xludf.DUMMYFUNCTION("IF(M225=1,IFERROR(IMPORTXML(G225, ""//p[@class='status-date']""), ""Not deployed""),"""")"),"")</f>
        <v/>
      </c>
      <c r="L225" s="48"/>
      <c r="M225" s="48">
        <f t="shared" si="7"/>
        <v>0</v>
      </c>
      <c r="N225" s="49" t="str">
        <f>IFERROR(__xludf.DUMMYFUNCTION("split(G225,""/"")"),"#VALUE!")</f>
        <v>#VALUE!</v>
      </c>
      <c r="O225" s="50"/>
      <c r="P225" s="49"/>
      <c r="Q225" s="49"/>
      <c r="R225" s="49"/>
      <c r="S225" s="49"/>
    </row>
    <row r="226">
      <c r="J226" s="83" t="str">
        <f t="shared" si="6"/>
        <v/>
      </c>
      <c r="K226" s="49" t="str">
        <f>IFERROR(__xludf.DUMMYFUNCTION("IF(M226=1,IFERROR(IMPORTXML(G226, ""//p[@class='status-date']""), ""Not deployed""),"""")"),"")</f>
        <v/>
      </c>
      <c r="L226" s="48"/>
      <c r="M226" s="48">
        <f t="shared" si="7"/>
        <v>0</v>
      </c>
      <c r="N226" s="49" t="str">
        <f>IFERROR(__xludf.DUMMYFUNCTION("split(G226,""/"")"),"#VALUE!")</f>
        <v>#VALUE!</v>
      </c>
      <c r="O226" s="50"/>
      <c r="P226" s="49"/>
      <c r="Q226" s="49"/>
      <c r="R226" s="49"/>
      <c r="S226" s="49"/>
    </row>
    <row r="227">
      <c r="J227" s="83" t="str">
        <f t="shared" si="6"/>
        <v/>
      </c>
      <c r="K227" s="49" t="str">
        <f>IFERROR(__xludf.DUMMYFUNCTION("IF(M227=1,IFERROR(IMPORTXML(G227, ""//p[@class='status-date']""), ""Not deployed""),"""")"),"")</f>
        <v/>
      </c>
      <c r="L227" s="48"/>
      <c r="M227" s="48">
        <f t="shared" si="7"/>
        <v>0</v>
      </c>
      <c r="N227" s="49" t="str">
        <f>IFERROR(__xludf.DUMMYFUNCTION("split(G227,""/"")"),"#VALUE!")</f>
        <v>#VALUE!</v>
      </c>
      <c r="O227" s="50"/>
      <c r="P227" s="49"/>
      <c r="Q227" s="49"/>
      <c r="R227" s="49"/>
      <c r="S227" s="49"/>
    </row>
    <row r="228">
      <c r="J228" s="83" t="str">
        <f t="shared" si="6"/>
        <v/>
      </c>
      <c r="K228" s="49" t="str">
        <f>IFERROR(__xludf.DUMMYFUNCTION("IF(M228=1,IFERROR(IMPORTXML(G228, ""//p[@class='status-date']""), ""Not deployed""),"""")"),"")</f>
        <v/>
      </c>
      <c r="L228" s="48"/>
      <c r="M228" s="48">
        <f t="shared" si="7"/>
        <v>0</v>
      </c>
      <c r="N228" s="49" t="str">
        <f>IFERROR(__xludf.DUMMYFUNCTION("split(G228,""/"")"),"#VALUE!")</f>
        <v>#VALUE!</v>
      </c>
      <c r="O228" s="50"/>
      <c r="P228" s="49"/>
      <c r="Q228" s="49"/>
      <c r="R228" s="49"/>
      <c r="S228" s="49"/>
    </row>
    <row r="229">
      <c r="J229" s="83" t="str">
        <f t="shared" si="6"/>
        <v/>
      </c>
      <c r="K229" s="49" t="str">
        <f>IFERROR(__xludf.DUMMYFUNCTION("IF(M229=1,IFERROR(IMPORTXML(G229, ""//p[@class='status-date']""), ""Not deployed""),"""")"),"")</f>
        <v/>
      </c>
      <c r="L229" s="48"/>
      <c r="M229" s="48">
        <f t="shared" si="7"/>
        <v>0</v>
      </c>
      <c r="N229" s="49" t="str">
        <f>IFERROR(__xludf.DUMMYFUNCTION("split(G229,""/"")"),"#VALUE!")</f>
        <v>#VALUE!</v>
      </c>
      <c r="O229" s="50"/>
      <c r="P229" s="49"/>
      <c r="Q229" s="49"/>
      <c r="R229" s="49"/>
      <c r="S229" s="49"/>
    </row>
    <row r="230">
      <c r="J230" s="83" t="str">
        <f t="shared" si="6"/>
        <v/>
      </c>
      <c r="K230" s="49" t="str">
        <f>IFERROR(__xludf.DUMMYFUNCTION("IF(M230=1,IFERROR(IMPORTXML(G230, ""//p[@class='status-date']""), ""Not deployed""),"""")"),"")</f>
        <v/>
      </c>
      <c r="L230" s="48"/>
      <c r="M230" s="48">
        <f t="shared" si="7"/>
        <v>0</v>
      </c>
      <c r="N230" s="49" t="str">
        <f>IFERROR(__xludf.DUMMYFUNCTION("split(G230,""/"")"),"#VALUE!")</f>
        <v>#VALUE!</v>
      </c>
      <c r="O230" s="50"/>
      <c r="P230" s="49"/>
      <c r="Q230" s="49"/>
      <c r="R230" s="49"/>
      <c r="S230" s="49"/>
    </row>
    <row r="231">
      <c r="J231" s="83" t="str">
        <f t="shared" si="6"/>
        <v/>
      </c>
      <c r="K231" s="49" t="str">
        <f>IFERROR(__xludf.DUMMYFUNCTION("IF(M231=1,IFERROR(IMPORTXML(G231, ""//p[@class='status-date']""), ""Not deployed""),"""")"),"")</f>
        <v/>
      </c>
      <c r="L231" s="48"/>
      <c r="M231" s="48">
        <f t="shared" si="7"/>
        <v>0</v>
      </c>
      <c r="N231" s="49" t="str">
        <f>IFERROR(__xludf.DUMMYFUNCTION("split(G231,""/"")"),"#VALUE!")</f>
        <v>#VALUE!</v>
      </c>
      <c r="O231" s="50"/>
      <c r="P231" s="49"/>
      <c r="Q231" s="49"/>
      <c r="R231" s="49"/>
      <c r="S231" s="49"/>
    </row>
    <row r="232">
      <c r="J232" s="83" t="str">
        <f t="shared" si="6"/>
        <v/>
      </c>
      <c r="K232" s="49" t="str">
        <f>IFERROR(__xludf.DUMMYFUNCTION("IF(M232=1,IFERROR(IMPORTXML(G232, ""//p[@class='status-date']""), ""Not deployed""),"""")"),"")</f>
        <v/>
      </c>
      <c r="L232" s="48"/>
      <c r="M232" s="48">
        <f t="shared" si="7"/>
        <v>0</v>
      </c>
      <c r="N232" s="49" t="str">
        <f>IFERROR(__xludf.DUMMYFUNCTION("split(G232,""/"")"),"#VALUE!")</f>
        <v>#VALUE!</v>
      </c>
      <c r="O232" s="50"/>
      <c r="P232" s="49"/>
      <c r="Q232" s="49"/>
      <c r="R232" s="49"/>
      <c r="S232" s="49"/>
    </row>
    <row r="233">
      <c r="J233" s="83" t="str">
        <f t="shared" si="6"/>
        <v/>
      </c>
      <c r="K233" s="49" t="str">
        <f>IFERROR(__xludf.DUMMYFUNCTION("IF(M233=1,IFERROR(IMPORTXML(G233, ""//p[@class='status-date']""), ""Not deployed""),"""")"),"")</f>
        <v/>
      </c>
      <c r="L233" s="48"/>
      <c r="M233" s="48">
        <f t="shared" si="7"/>
        <v>0</v>
      </c>
      <c r="N233" s="49" t="str">
        <f>IFERROR(__xludf.DUMMYFUNCTION("split(G233,""/"")"),"#VALUE!")</f>
        <v>#VALUE!</v>
      </c>
      <c r="O233" s="50"/>
      <c r="P233" s="49"/>
      <c r="Q233" s="49"/>
      <c r="R233" s="49"/>
      <c r="S233" s="49"/>
    </row>
    <row r="234">
      <c r="J234" s="83" t="str">
        <f t="shared" si="6"/>
        <v/>
      </c>
      <c r="K234" s="49" t="str">
        <f>IFERROR(__xludf.DUMMYFUNCTION("IF(M234=1,IFERROR(IMPORTXML(G234, ""//p[@class='status-date']""), ""Not deployed""),"""")"),"")</f>
        <v/>
      </c>
      <c r="L234" s="48"/>
      <c r="M234" s="48">
        <f t="shared" si="7"/>
        <v>0</v>
      </c>
      <c r="N234" s="49" t="str">
        <f>IFERROR(__xludf.DUMMYFUNCTION("split(G234,""/"")"),"#VALUE!")</f>
        <v>#VALUE!</v>
      </c>
      <c r="O234" s="57"/>
      <c r="P234" s="49"/>
      <c r="Q234" s="49"/>
      <c r="R234" s="49"/>
      <c r="S234" s="49"/>
    </row>
    <row r="235">
      <c r="J235" s="83" t="str">
        <f t="shared" si="6"/>
        <v/>
      </c>
      <c r="K235" s="49" t="str">
        <f>IFERROR(__xludf.DUMMYFUNCTION("IF(M235=1,IFERROR(IMPORTXML(G235, ""//p[@class='status-date']""), ""Not deployed""),"""")"),"")</f>
        <v/>
      </c>
      <c r="L235" s="48"/>
      <c r="M235" s="48">
        <f t="shared" si="7"/>
        <v>0</v>
      </c>
      <c r="N235" s="49" t="str">
        <f>IFERROR(__xludf.DUMMYFUNCTION("split(G235,""/"")"),"#VALUE!")</f>
        <v>#VALUE!</v>
      </c>
      <c r="O235" s="50"/>
      <c r="P235" s="49"/>
      <c r="Q235" s="49"/>
      <c r="R235" s="49"/>
      <c r="S235" s="49"/>
    </row>
    <row r="236">
      <c r="J236" s="83" t="str">
        <f t="shared" si="6"/>
        <v/>
      </c>
      <c r="K236" s="49" t="str">
        <f>IFERROR(__xludf.DUMMYFUNCTION("IF(M236=1,IFERROR(IMPORTXML(G236, ""//p[@class='status-date']""), ""Not deployed""),"""")"),"")</f>
        <v/>
      </c>
      <c r="L236" s="48"/>
      <c r="M236" s="48">
        <f t="shared" si="7"/>
        <v>0</v>
      </c>
      <c r="N236" s="49" t="str">
        <f>IFERROR(__xludf.DUMMYFUNCTION("split(G236,""/"")"),"#VALUE!")</f>
        <v>#VALUE!</v>
      </c>
      <c r="O236" s="50"/>
      <c r="P236" s="49"/>
      <c r="Q236" s="49"/>
      <c r="R236" s="49"/>
      <c r="S236" s="49"/>
    </row>
    <row r="237">
      <c r="J237" s="83" t="str">
        <f t="shared" si="6"/>
        <v/>
      </c>
      <c r="K237" s="49" t="str">
        <f>IFERROR(__xludf.DUMMYFUNCTION("IF(M237=1,IFERROR(IMPORTXML(G237, ""//p[@class='status-date']""), ""Not deployed""),"""")"),"")</f>
        <v/>
      </c>
      <c r="L237" s="48"/>
      <c r="M237" s="48">
        <f t="shared" si="7"/>
        <v>0</v>
      </c>
      <c r="N237" s="49" t="str">
        <f>IFERROR(__xludf.DUMMYFUNCTION("split(G237,""/"")"),"#VALUE!")</f>
        <v>#VALUE!</v>
      </c>
      <c r="O237" s="50"/>
      <c r="P237" s="49"/>
      <c r="Q237" s="49"/>
      <c r="R237" s="49"/>
      <c r="S237" s="49"/>
    </row>
    <row r="238">
      <c r="J238" s="83" t="str">
        <f t="shared" si="6"/>
        <v/>
      </c>
      <c r="K238" s="49" t="str">
        <f>IFERROR(__xludf.DUMMYFUNCTION("IF(M238=1,IFERROR(IMPORTXML(G238, ""//p[@class='status-date']""), ""Not deployed""),"""")"),"")</f>
        <v/>
      </c>
      <c r="L238" s="48"/>
      <c r="M238" s="48">
        <f t="shared" si="7"/>
        <v>0</v>
      </c>
      <c r="N238" s="49" t="str">
        <f>IFERROR(__xludf.DUMMYFUNCTION("split(G238,""/"")"),"#VALUE!")</f>
        <v>#VALUE!</v>
      </c>
      <c r="O238" s="50"/>
      <c r="P238" s="49"/>
      <c r="Q238" s="49"/>
      <c r="R238" s="49"/>
      <c r="S238" s="49"/>
    </row>
    <row r="239">
      <c r="J239" s="83" t="str">
        <f t="shared" si="6"/>
        <v/>
      </c>
      <c r="K239" s="49" t="str">
        <f>IFERROR(__xludf.DUMMYFUNCTION("IF(M239=1,IFERROR(IMPORTXML(G239, ""//p[@class='status-date']""), ""Not deployed""),"""")"),"")</f>
        <v/>
      </c>
      <c r="L239" s="48"/>
      <c r="M239" s="48">
        <f t="shared" si="7"/>
        <v>0</v>
      </c>
      <c r="N239" s="49" t="str">
        <f>IFERROR(__xludf.DUMMYFUNCTION("split(G239,""/"")"),"#VALUE!")</f>
        <v>#VALUE!</v>
      </c>
      <c r="O239" s="50"/>
      <c r="P239" s="49"/>
      <c r="Q239" s="49"/>
      <c r="R239" s="49"/>
      <c r="S239" s="49"/>
    </row>
    <row r="240">
      <c r="J240" s="83" t="str">
        <f t="shared" si="6"/>
        <v/>
      </c>
      <c r="K240" s="49" t="str">
        <f>IFERROR(__xludf.DUMMYFUNCTION("IF(M240=1,IFERROR(IMPORTXML(G240, ""//p[@class='status-date']""), ""Not deployed""),"""")"),"")</f>
        <v/>
      </c>
      <c r="L240" s="48"/>
      <c r="M240" s="48">
        <f t="shared" si="7"/>
        <v>0</v>
      </c>
      <c r="N240" s="49" t="str">
        <f>IFERROR(__xludf.DUMMYFUNCTION("split(G240,""/"")"),"#VALUE!")</f>
        <v>#VALUE!</v>
      </c>
      <c r="O240" s="50"/>
      <c r="P240" s="49"/>
      <c r="Q240" s="49"/>
      <c r="R240" s="49"/>
      <c r="S240" s="49"/>
    </row>
    <row r="241">
      <c r="J241" s="83" t="str">
        <f t="shared" si="6"/>
        <v/>
      </c>
      <c r="K241" s="49" t="str">
        <f>IFERROR(__xludf.DUMMYFUNCTION("IF(M241=1,IFERROR(IMPORTXML(G241, ""//p[@class='status-date']""), ""Not deployed""),"""")"),"")</f>
        <v/>
      </c>
      <c r="L241" s="48"/>
      <c r="M241" s="48">
        <f t="shared" si="7"/>
        <v>0</v>
      </c>
      <c r="N241" s="49" t="str">
        <f>IFERROR(__xludf.DUMMYFUNCTION("split(G241,""/"")"),"#VALUE!")</f>
        <v>#VALUE!</v>
      </c>
      <c r="O241" s="50"/>
      <c r="P241" s="49"/>
      <c r="Q241" s="49"/>
      <c r="R241" s="49"/>
      <c r="S241" s="49"/>
    </row>
    <row r="242">
      <c r="J242" s="83" t="str">
        <f t="shared" si="6"/>
        <v/>
      </c>
      <c r="K242" s="49" t="str">
        <f>IFERROR(__xludf.DUMMYFUNCTION("IF(M242=1,IFERROR(IMPORTXML(G242, ""//p[@class='status-date']""), ""Not deployed""),"""")"),"")</f>
        <v/>
      </c>
      <c r="L242" s="48"/>
      <c r="M242" s="48">
        <f t="shared" si="7"/>
        <v>0</v>
      </c>
      <c r="N242" s="49" t="str">
        <f>IFERROR(__xludf.DUMMYFUNCTION("split(G242,""/"")"),"#VALUE!")</f>
        <v>#VALUE!</v>
      </c>
      <c r="O242" s="50"/>
      <c r="P242" s="49"/>
      <c r="Q242" s="49"/>
      <c r="R242" s="49"/>
      <c r="S242" s="49"/>
    </row>
    <row r="243">
      <c r="J243" s="83" t="str">
        <f t="shared" si="6"/>
        <v/>
      </c>
      <c r="K243" s="49" t="str">
        <f>IFERROR(__xludf.DUMMYFUNCTION("IF(M243=1,IFERROR(IMPORTXML(G243, ""//p[@class='status-date']""), ""Not deployed""),"""")"),"")</f>
        <v/>
      </c>
      <c r="L243" s="48"/>
      <c r="M243" s="48">
        <f t="shared" si="7"/>
        <v>0</v>
      </c>
      <c r="N243" s="49" t="str">
        <f>IFERROR(__xludf.DUMMYFUNCTION("split(G243,""/"")"),"#VALUE!")</f>
        <v>#VALUE!</v>
      </c>
      <c r="O243" s="50"/>
      <c r="P243" s="49"/>
      <c r="Q243" s="49"/>
      <c r="R243" s="49"/>
      <c r="S243" s="49"/>
    </row>
    <row r="244">
      <c r="J244" s="83"/>
    </row>
    <row r="245">
      <c r="J245" s="83"/>
    </row>
    <row r="246">
      <c r="J246" s="83"/>
    </row>
    <row r="247">
      <c r="J247" s="83"/>
    </row>
    <row r="248">
      <c r="J248" s="83"/>
    </row>
    <row r="249">
      <c r="J249" s="83"/>
    </row>
    <row r="250">
      <c r="J250" s="83"/>
    </row>
    <row r="251">
      <c r="J251" s="83"/>
    </row>
    <row r="252">
      <c r="J252" s="83"/>
    </row>
    <row r="253">
      <c r="J253" s="83"/>
    </row>
    <row r="254">
      <c r="J254" s="83"/>
    </row>
    <row r="255">
      <c r="J255" s="83"/>
    </row>
    <row r="256">
      <c r="J256" s="83"/>
    </row>
    <row r="257">
      <c r="J257" s="83"/>
    </row>
    <row r="258">
      <c r="J258" s="83"/>
    </row>
    <row r="259">
      <c r="J259" s="83"/>
    </row>
    <row r="260">
      <c r="J260" s="83"/>
    </row>
    <row r="261">
      <c r="J261" s="83"/>
    </row>
    <row r="262">
      <c r="J262" s="83"/>
    </row>
    <row r="263">
      <c r="J263" s="83"/>
    </row>
    <row r="264">
      <c r="J264" s="83"/>
    </row>
    <row r="265">
      <c r="J265" s="83"/>
    </row>
    <row r="266">
      <c r="J266" s="83"/>
    </row>
    <row r="267">
      <c r="J267" s="83"/>
    </row>
    <row r="268">
      <c r="J268" s="83"/>
    </row>
    <row r="269">
      <c r="J269" s="83"/>
    </row>
    <row r="270">
      <c r="J270" s="83"/>
    </row>
    <row r="271">
      <c r="J271" s="83"/>
    </row>
    <row r="272">
      <c r="J272" s="83"/>
    </row>
    <row r="273">
      <c r="J273" s="83"/>
    </row>
    <row r="274">
      <c r="J274" s="83"/>
    </row>
    <row r="275">
      <c r="J275" s="83"/>
    </row>
    <row r="276">
      <c r="J276" s="83"/>
    </row>
    <row r="277">
      <c r="J277" s="100"/>
      <c r="K277" s="5"/>
      <c r="L277" s="5"/>
      <c r="M277" s="5"/>
      <c r="N277" s="5"/>
      <c r="O277" s="5"/>
      <c r="P277" s="5"/>
      <c r="Q277" s="5"/>
      <c r="R277" s="5"/>
      <c r="S277" s="5"/>
    </row>
    <row r="278">
      <c r="J278" s="100"/>
      <c r="K278" s="5"/>
      <c r="L278" s="5"/>
      <c r="M278" s="5"/>
      <c r="N278" s="5"/>
      <c r="O278" s="5"/>
      <c r="P278" s="5"/>
      <c r="Q278" s="5"/>
      <c r="R278" s="5"/>
      <c r="S278" s="5"/>
    </row>
    <row r="279">
      <c r="J279" s="100"/>
      <c r="K279" s="5"/>
      <c r="L279" s="5"/>
      <c r="M279" s="5"/>
      <c r="N279" s="5"/>
      <c r="O279" s="5"/>
      <c r="P279" s="5"/>
      <c r="Q279" s="5"/>
      <c r="R279" s="5"/>
      <c r="S279" s="5"/>
    </row>
    <row r="280">
      <c r="J280" s="100"/>
      <c r="K280" s="5"/>
      <c r="L280" s="5"/>
      <c r="M280" s="5"/>
      <c r="N280" s="5"/>
      <c r="O280" s="5"/>
      <c r="P280" s="5"/>
      <c r="Q280" s="5"/>
      <c r="R280" s="5"/>
      <c r="S280" s="5"/>
    </row>
    <row r="281">
      <c r="J281" s="102"/>
      <c r="K281" s="40"/>
      <c r="L281" s="40"/>
      <c r="M281" s="40"/>
      <c r="N281" s="40"/>
      <c r="O281" s="40"/>
      <c r="P281" s="40"/>
      <c r="Q281" s="40"/>
      <c r="R281" s="40"/>
      <c r="S281" s="40"/>
    </row>
    <row r="282">
      <c r="J282" s="83"/>
    </row>
    <row r="283">
      <c r="J283" s="103"/>
      <c r="K283" s="41" t="s">
        <v>94</v>
      </c>
      <c r="L283" s="41" t="s">
        <v>95</v>
      </c>
      <c r="M283" s="41" t="s">
        <v>96</v>
      </c>
      <c r="N283" s="42" t="s">
        <v>97</v>
      </c>
    </row>
    <row r="284">
      <c r="J284" s="83" t="str">
        <f t="shared" ref="J284:J335" si="8">if(I284=true,"",S284)</f>
        <v/>
      </c>
      <c r="K284" s="49" t="str">
        <f>IFERROR(__xludf.DUMMYFUNCTION("IF(M284=1,IFERROR(IMPORTXML(G284, ""//p[@class='status-date']""), ""Not deployed""),"""")"),"")</f>
        <v/>
      </c>
      <c r="L284" s="48"/>
      <c r="M284" s="48">
        <f t="shared" ref="M284:M335" si="9">if(I284=TRUE,2,IF(ISTEXT(G284),1,0))</f>
        <v>0</v>
      </c>
      <c r="N284" s="49" t="str">
        <f>IFERROR(__xludf.DUMMYFUNCTION("split(G284,""/"")"),"#VALUE!")</f>
        <v>#VALUE!</v>
      </c>
      <c r="O284" s="50"/>
      <c r="P284" s="49"/>
      <c r="Q284" s="49"/>
      <c r="R284" s="49"/>
      <c r="S284" s="49"/>
    </row>
    <row r="285">
      <c r="J285" s="83" t="str">
        <f t="shared" si="8"/>
        <v/>
      </c>
      <c r="K285" s="49" t="str">
        <f>IFERROR(__xludf.DUMMYFUNCTION("IF(M285=1,IFERROR(IMPORTXML(G285, ""//p[@class='status-date']""), ""Not deployed""),"""")"),"")</f>
        <v/>
      </c>
      <c r="L285" s="48"/>
      <c r="M285" s="48">
        <f t="shared" si="9"/>
        <v>0</v>
      </c>
      <c r="N285" s="49" t="str">
        <f>IFERROR(__xludf.DUMMYFUNCTION("split(G285,""/"")"),"#VALUE!")</f>
        <v>#VALUE!</v>
      </c>
      <c r="O285" s="50"/>
      <c r="P285" s="49"/>
      <c r="Q285" s="49"/>
      <c r="R285" s="49"/>
      <c r="S285" s="49"/>
    </row>
    <row r="286">
      <c r="J286" s="83" t="str">
        <f t="shared" si="8"/>
        <v/>
      </c>
      <c r="K286" s="49" t="str">
        <f>IFERROR(__xludf.DUMMYFUNCTION("IF(M286=1,IFERROR(IMPORTXML(G286, ""//p[@class='status-date']""), ""Not deployed""),"""")"),"")</f>
        <v/>
      </c>
      <c r="L286" s="48"/>
      <c r="M286" s="48">
        <f t="shared" si="9"/>
        <v>0</v>
      </c>
      <c r="N286" s="49" t="str">
        <f>IFERROR(__xludf.DUMMYFUNCTION("split(G286,""/"")"),"#VALUE!")</f>
        <v>#VALUE!</v>
      </c>
      <c r="O286" s="50"/>
      <c r="P286" s="49"/>
      <c r="Q286" s="49"/>
      <c r="R286" s="49"/>
      <c r="S286" s="49"/>
    </row>
    <row r="287">
      <c r="J287" s="83" t="str">
        <f t="shared" si="8"/>
        <v/>
      </c>
      <c r="K287" s="49" t="str">
        <f>IFERROR(__xludf.DUMMYFUNCTION("IF(M287=1,IFERROR(IMPORTXML(G287, ""//p[@class='status-date']""), ""Not deployed""),"""")"),"")</f>
        <v/>
      </c>
      <c r="L287" s="48"/>
      <c r="M287" s="48">
        <f t="shared" si="9"/>
        <v>0</v>
      </c>
      <c r="N287" s="49" t="str">
        <f>IFERROR(__xludf.DUMMYFUNCTION("split(G287,""/"")"),"#VALUE!")</f>
        <v>#VALUE!</v>
      </c>
      <c r="O287" s="50"/>
      <c r="P287" s="49"/>
      <c r="Q287" s="49"/>
      <c r="R287" s="49"/>
      <c r="S287" s="49"/>
    </row>
    <row r="288">
      <c r="J288" s="83" t="str">
        <f t="shared" si="8"/>
        <v/>
      </c>
      <c r="K288" s="49" t="str">
        <f>IFERROR(__xludf.DUMMYFUNCTION("IF(M288=1,IFERROR(IMPORTXML(G288, ""//p[@class='status-date']""), ""Not deployed""),"""")"),"")</f>
        <v/>
      </c>
      <c r="L288" s="48"/>
      <c r="M288" s="48">
        <f t="shared" si="9"/>
        <v>0</v>
      </c>
      <c r="N288" s="49" t="str">
        <f>IFERROR(__xludf.DUMMYFUNCTION("split(G288,""/"")"),"#VALUE!")</f>
        <v>#VALUE!</v>
      </c>
      <c r="O288" s="50"/>
      <c r="P288" s="49"/>
      <c r="Q288" s="49"/>
      <c r="R288" s="49"/>
      <c r="S288" s="49"/>
    </row>
    <row r="289">
      <c r="J289" s="83" t="str">
        <f t="shared" si="8"/>
        <v/>
      </c>
      <c r="K289" s="49" t="str">
        <f>IFERROR(__xludf.DUMMYFUNCTION("IF(M289=1,IFERROR(IMPORTXML(G289, ""//p[@class='status-date']""), ""Not deployed""),"""")"),"")</f>
        <v/>
      </c>
      <c r="L289" s="48"/>
      <c r="M289" s="48">
        <f t="shared" si="9"/>
        <v>0</v>
      </c>
      <c r="N289" s="49" t="str">
        <f>IFERROR(__xludf.DUMMYFUNCTION("split(G289,""/"")"),"#VALUE!")</f>
        <v>#VALUE!</v>
      </c>
      <c r="O289" s="50"/>
      <c r="P289" s="49"/>
      <c r="Q289" s="49"/>
      <c r="R289" s="49"/>
      <c r="S289" s="49"/>
    </row>
    <row r="290">
      <c r="J290" s="83" t="str">
        <f t="shared" si="8"/>
        <v/>
      </c>
      <c r="K290" s="49" t="str">
        <f>IFERROR(__xludf.DUMMYFUNCTION("IF(M290=1,IFERROR(IMPORTXML(G290, ""//p[@class='status-date']""), ""Not deployed""),"""")"),"")</f>
        <v/>
      </c>
      <c r="L290" s="48"/>
      <c r="M290" s="48">
        <f t="shared" si="9"/>
        <v>0</v>
      </c>
      <c r="N290" s="49" t="str">
        <f>IFERROR(__xludf.DUMMYFUNCTION("split(G290,""/"")"),"#VALUE!")</f>
        <v>#VALUE!</v>
      </c>
      <c r="O290" s="50"/>
      <c r="P290" s="49"/>
      <c r="Q290" s="49"/>
      <c r="R290" s="49"/>
      <c r="S290" s="49"/>
    </row>
    <row r="291">
      <c r="J291" s="83" t="str">
        <f t="shared" si="8"/>
        <v/>
      </c>
      <c r="K291" s="49" t="str">
        <f>IFERROR(__xludf.DUMMYFUNCTION("IF(M291=1,IFERROR(IMPORTXML(G291, ""//p[@class='status-date']""), ""Not deployed""),"""")"),"")</f>
        <v/>
      </c>
      <c r="L291" s="48"/>
      <c r="M291" s="48">
        <f t="shared" si="9"/>
        <v>0</v>
      </c>
      <c r="N291" s="49" t="str">
        <f>IFERROR(__xludf.DUMMYFUNCTION("split(G291,""/"")"),"#VALUE!")</f>
        <v>#VALUE!</v>
      </c>
      <c r="O291" s="50"/>
      <c r="P291" s="49"/>
      <c r="Q291" s="49"/>
      <c r="R291" s="49"/>
      <c r="S291" s="49"/>
    </row>
    <row r="292">
      <c r="J292" s="83" t="str">
        <f t="shared" si="8"/>
        <v/>
      </c>
      <c r="K292" s="49" t="str">
        <f>IFERROR(__xludf.DUMMYFUNCTION("IF(M292=1,IFERROR(IMPORTXML(G292, ""//p[@class='status-date']""), ""Not deployed""),"""")"),"")</f>
        <v/>
      </c>
      <c r="L292" s="48"/>
      <c r="M292" s="48">
        <f t="shared" si="9"/>
        <v>0</v>
      </c>
      <c r="N292" s="49" t="str">
        <f>IFERROR(__xludf.DUMMYFUNCTION("split(G292,""/"")"),"#VALUE!")</f>
        <v>#VALUE!</v>
      </c>
      <c r="O292" s="50"/>
      <c r="P292" s="49"/>
      <c r="Q292" s="49"/>
      <c r="R292" s="49"/>
      <c r="S292" s="49"/>
    </row>
    <row r="293">
      <c r="J293" s="83" t="str">
        <f t="shared" si="8"/>
        <v/>
      </c>
      <c r="K293" s="49" t="str">
        <f>IFERROR(__xludf.DUMMYFUNCTION("IF(M293=1,IFERROR(IMPORTXML(G293, ""//p[@class='status-date']""), ""Not deployed""),"""")"),"")</f>
        <v/>
      </c>
      <c r="L293" s="48"/>
      <c r="M293" s="48">
        <f t="shared" si="9"/>
        <v>0</v>
      </c>
      <c r="N293" s="49" t="str">
        <f>IFERROR(__xludf.DUMMYFUNCTION("split(G293,""/"")"),"#VALUE!")</f>
        <v>#VALUE!</v>
      </c>
      <c r="O293" s="50"/>
      <c r="P293" s="49"/>
      <c r="Q293" s="49"/>
      <c r="R293" s="49"/>
      <c r="S293" s="49"/>
    </row>
    <row r="294">
      <c r="J294" s="83" t="str">
        <f t="shared" si="8"/>
        <v/>
      </c>
      <c r="K294" s="49" t="str">
        <f>IFERROR(__xludf.DUMMYFUNCTION("IF(M294=1,IFERROR(IMPORTXML(G294, ""//p[@class='status-date']""), ""Not deployed""),"""")"),"")</f>
        <v/>
      </c>
      <c r="L294" s="48"/>
      <c r="M294" s="48">
        <f t="shared" si="9"/>
        <v>0</v>
      </c>
      <c r="N294" s="49" t="str">
        <f>IFERROR(__xludf.DUMMYFUNCTION("split(G294,""/"")"),"#VALUE!")</f>
        <v>#VALUE!</v>
      </c>
      <c r="O294" s="50"/>
      <c r="P294" s="49"/>
      <c r="Q294" s="49"/>
      <c r="R294" s="49"/>
      <c r="S294" s="49"/>
    </row>
    <row r="295">
      <c r="J295" s="83" t="str">
        <f t="shared" si="8"/>
        <v/>
      </c>
      <c r="K295" s="49" t="str">
        <f>IFERROR(__xludf.DUMMYFUNCTION("IF(M295=1,IFERROR(IMPORTXML(G295, ""//p[@class='status-date']""), ""Not deployed""),"""")"),"")</f>
        <v/>
      </c>
      <c r="L295" s="48"/>
      <c r="M295" s="48">
        <f t="shared" si="9"/>
        <v>0</v>
      </c>
      <c r="N295" s="49" t="str">
        <f>IFERROR(__xludf.DUMMYFUNCTION("split(G295,""/"")"),"#VALUE!")</f>
        <v>#VALUE!</v>
      </c>
      <c r="O295" s="50"/>
      <c r="P295" s="49"/>
      <c r="Q295" s="49"/>
      <c r="R295" s="49"/>
      <c r="S295" s="49"/>
    </row>
    <row r="296">
      <c r="J296" s="83" t="str">
        <f t="shared" si="8"/>
        <v/>
      </c>
      <c r="K296" s="49" t="str">
        <f>IFERROR(__xludf.DUMMYFUNCTION("IF(M296=1,IFERROR(IMPORTXML(G296, ""//p[@class='status-date']""), ""Not deployed""),"""")"),"")</f>
        <v/>
      </c>
      <c r="L296" s="48"/>
      <c r="M296" s="48">
        <f t="shared" si="9"/>
        <v>0</v>
      </c>
      <c r="N296" s="49" t="str">
        <f>IFERROR(__xludf.DUMMYFUNCTION("split(G296,""/"")"),"#VALUE!")</f>
        <v>#VALUE!</v>
      </c>
      <c r="O296" s="50"/>
      <c r="P296" s="49"/>
      <c r="Q296" s="49"/>
      <c r="R296" s="49"/>
      <c r="S296" s="49"/>
    </row>
    <row r="297">
      <c r="J297" s="83" t="str">
        <f t="shared" si="8"/>
        <v/>
      </c>
      <c r="K297" s="49" t="str">
        <f>IFERROR(__xludf.DUMMYFUNCTION("IF(M297=1,IFERROR(IMPORTXML(G297, ""//p[@class='status-date']""), ""Not deployed""),"""")"),"")</f>
        <v/>
      </c>
      <c r="L297" s="48"/>
      <c r="M297" s="48">
        <f t="shared" si="9"/>
        <v>0</v>
      </c>
      <c r="N297" s="49" t="str">
        <f>IFERROR(__xludf.DUMMYFUNCTION("split(G297,""/"")"),"#VALUE!")</f>
        <v>#VALUE!</v>
      </c>
      <c r="O297" s="50"/>
      <c r="P297" s="49"/>
      <c r="Q297" s="49"/>
      <c r="R297" s="49"/>
      <c r="S297" s="49"/>
    </row>
    <row r="298">
      <c r="J298" s="83" t="str">
        <f t="shared" si="8"/>
        <v/>
      </c>
      <c r="K298" s="49" t="str">
        <f>IFERROR(__xludf.DUMMYFUNCTION("IF(M298=1,IFERROR(IMPORTXML(G298, ""//p[@class='status-date']""), ""Not deployed""),"""")"),"")</f>
        <v/>
      </c>
      <c r="L298" s="48"/>
      <c r="M298" s="48">
        <f t="shared" si="9"/>
        <v>0</v>
      </c>
      <c r="N298" s="49" t="str">
        <f>IFERROR(__xludf.DUMMYFUNCTION("split(G298,""/"")"),"#VALUE!")</f>
        <v>#VALUE!</v>
      </c>
      <c r="O298" s="50"/>
      <c r="P298" s="49"/>
      <c r="Q298" s="49"/>
      <c r="R298" s="49"/>
      <c r="S298" s="49"/>
    </row>
    <row r="299">
      <c r="J299" s="83" t="str">
        <f t="shared" si="8"/>
        <v/>
      </c>
      <c r="K299" s="49" t="str">
        <f>IFERROR(__xludf.DUMMYFUNCTION("IF(M299=1,IFERROR(IMPORTXML(G299, ""//p[@class='status-date']""), ""Not deployed""),"""")"),"")</f>
        <v/>
      </c>
      <c r="L299" s="48"/>
      <c r="M299" s="48">
        <f t="shared" si="9"/>
        <v>0</v>
      </c>
      <c r="N299" s="49" t="str">
        <f>IFERROR(__xludf.DUMMYFUNCTION("split(G299,""/"")"),"#VALUE!")</f>
        <v>#VALUE!</v>
      </c>
      <c r="O299" s="50"/>
      <c r="P299" s="49"/>
      <c r="Q299" s="49"/>
      <c r="R299" s="49"/>
      <c r="S299" s="49"/>
    </row>
    <row r="300">
      <c r="J300" s="83" t="str">
        <f t="shared" si="8"/>
        <v/>
      </c>
      <c r="K300" s="49" t="str">
        <f>IFERROR(__xludf.DUMMYFUNCTION("IF(M300=1,IFERROR(IMPORTXML(G300, ""//p[@class='status-date']""), ""Not deployed""),"""")"),"")</f>
        <v/>
      </c>
      <c r="L300" s="48"/>
      <c r="M300" s="48">
        <f t="shared" si="9"/>
        <v>0</v>
      </c>
      <c r="N300" s="49" t="str">
        <f>IFERROR(__xludf.DUMMYFUNCTION("split(G300,""/"")"),"#VALUE!")</f>
        <v>#VALUE!</v>
      </c>
      <c r="O300" s="50"/>
      <c r="P300" s="49"/>
      <c r="Q300" s="49"/>
      <c r="R300" s="49"/>
      <c r="S300" s="49"/>
    </row>
    <row r="301">
      <c r="J301" s="83" t="str">
        <f t="shared" si="8"/>
        <v/>
      </c>
      <c r="K301" s="49" t="str">
        <f>IFERROR(__xludf.DUMMYFUNCTION("IF(M301=1,IFERROR(IMPORTXML(G301, ""//p[@class='status-date']""), ""Not deployed""),"""")"),"")</f>
        <v/>
      </c>
      <c r="L301" s="48"/>
      <c r="M301" s="48">
        <f t="shared" si="9"/>
        <v>0</v>
      </c>
      <c r="N301" s="49" t="str">
        <f>IFERROR(__xludf.DUMMYFUNCTION("split(G301,""/"")"),"#VALUE!")</f>
        <v>#VALUE!</v>
      </c>
      <c r="O301" s="50"/>
      <c r="P301" s="49"/>
      <c r="Q301" s="49"/>
      <c r="R301" s="49"/>
      <c r="S301" s="49"/>
    </row>
    <row r="302">
      <c r="J302" s="83" t="str">
        <f t="shared" si="8"/>
        <v/>
      </c>
      <c r="K302" s="49" t="str">
        <f>IFERROR(__xludf.DUMMYFUNCTION("IF(M302=1,IFERROR(IMPORTXML(G302, ""//p[@class='status-date']""), ""Not deployed""),"""")"),"")</f>
        <v/>
      </c>
      <c r="L302" s="48"/>
      <c r="M302" s="48">
        <f t="shared" si="9"/>
        <v>0</v>
      </c>
      <c r="N302" s="49" t="str">
        <f>IFERROR(__xludf.DUMMYFUNCTION("split(G302,""/"")"),"#VALUE!")</f>
        <v>#VALUE!</v>
      </c>
      <c r="O302" s="50"/>
      <c r="P302" s="49"/>
      <c r="Q302" s="49"/>
      <c r="R302" s="49"/>
      <c r="S302" s="49"/>
    </row>
    <row r="303">
      <c r="J303" s="83" t="str">
        <f t="shared" si="8"/>
        <v/>
      </c>
      <c r="K303" s="49" t="str">
        <f>IFERROR(__xludf.DUMMYFUNCTION("IF(M303=1,IFERROR(IMPORTXML(G303, ""//p[@class='status-date']""), ""Not deployed""),"""")"),"")</f>
        <v/>
      </c>
      <c r="L303" s="48"/>
      <c r="M303" s="48">
        <f t="shared" si="9"/>
        <v>0</v>
      </c>
      <c r="N303" s="49" t="str">
        <f>IFERROR(__xludf.DUMMYFUNCTION("split(G303,""/"")"),"#VALUE!")</f>
        <v>#VALUE!</v>
      </c>
      <c r="O303" s="50"/>
      <c r="P303" s="49"/>
      <c r="Q303" s="49"/>
      <c r="R303" s="49"/>
      <c r="S303" s="49"/>
    </row>
    <row r="304">
      <c r="J304" s="83" t="str">
        <f t="shared" si="8"/>
        <v/>
      </c>
      <c r="K304" s="49" t="str">
        <f>IFERROR(__xludf.DUMMYFUNCTION("IF(M304=1,IFERROR(IMPORTXML(G304, ""//p[@class='status-date']""), ""Not deployed""),"""")"),"")</f>
        <v/>
      </c>
      <c r="L304" s="48"/>
      <c r="M304" s="48">
        <f t="shared" si="9"/>
        <v>0</v>
      </c>
      <c r="N304" s="49" t="str">
        <f>IFERROR(__xludf.DUMMYFUNCTION("split(G304,""/"")"),"#VALUE!")</f>
        <v>#VALUE!</v>
      </c>
      <c r="O304" s="50"/>
      <c r="P304" s="49"/>
      <c r="Q304" s="49"/>
      <c r="R304" s="49"/>
      <c r="S304" s="49"/>
    </row>
    <row r="305">
      <c r="J305" s="83" t="str">
        <f t="shared" si="8"/>
        <v/>
      </c>
      <c r="K305" s="49" t="str">
        <f>IFERROR(__xludf.DUMMYFUNCTION("IF(M305=1,IFERROR(IMPORTXML(G305, ""//p[@class='status-date']""), ""Not deployed""),"""")"),"")</f>
        <v/>
      </c>
      <c r="L305" s="48"/>
      <c r="M305" s="48">
        <f t="shared" si="9"/>
        <v>0</v>
      </c>
      <c r="N305" s="49" t="str">
        <f>IFERROR(__xludf.DUMMYFUNCTION("split(G305,""/"")"),"#VALUE!")</f>
        <v>#VALUE!</v>
      </c>
      <c r="O305" s="50"/>
      <c r="P305" s="49"/>
      <c r="Q305" s="49"/>
      <c r="R305" s="49"/>
      <c r="S305" s="49"/>
    </row>
    <row r="306">
      <c r="J306" s="83" t="str">
        <f t="shared" si="8"/>
        <v/>
      </c>
      <c r="K306" s="49" t="str">
        <f>IFERROR(__xludf.DUMMYFUNCTION("IF(M306=1,IFERROR(IMPORTXML(G306, ""//p[@class='status-date']""), ""Not deployed""),"""")"),"")</f>
        <v/>
      </c>
      <c r="L306" s="48"/>
      <c r="M306" s="48">
        <f t="shared" si="9"/>
        <v>0</v>
      </c>
      <c r="N306" s="49" t="str">
        <f>IFERROR(__xludf.DUMMYFUNCTION("split(G306,""/"")"),"#VALUE!")</f>
        <v>#VALUE!</v>
      </c>
      <c r="O306" s="50"/>
      <c r="P306" s="49"/>
      <c r="Q306" s="49"/>
      <c r="R306" s="49"/>
      <c r="S306" s="49"/>
    </row>
    <row r="307">
      <c r="J307" s="83" t="str">
        <f t="shared" si="8"/>
        <v/>
      </c>
      <c r="K307" s="49" t="str">
        <f>IFERROR(__xludf.DUMMYFUNCTION("IF(M307=1,IFERROR(IMPORTXML(G307, ""//p[@class='status-date']""), ""Not deployed""),"""")"),"")</f>
        <v/>
      </c>
      <c r="L307" s="48"/>
      <c r="M307" s="48">
        <f t="shared" si="9"/>
        <v>0</v>
      </c>
      <c r="N307" s="49" t="str">
        <f>IFERROR(__xludf.DUMMYFUNCTION("split(G307,""/"")"),"#VALUE!")</f>
        <v>#VALUE!</v>
      </c>
      <c r="O307" s="50"/>
      <c r="P307" s="49"/>
      <c r="Q307" s="49"/>
      <c r="R307" s="49"/>
      <c r="S307" s="49"/>
    </row>
    <row r="308">
      <c r="J308" s="83" t="str">
        <f t="shared" si="8"/>
        <v/>
      </c>
      <c r="K308" s="49" t="str">
        <f>IFERROR(__xludf.DUMMYFUNCTION("IF(M308=1,IFERROR(IMPORTXML(G308, ""//p[@class='status-date']""), ""Not deployed""),"""")"),"")</f>
        <v/>
      </c>
      <c r="L308" s="48"/>
      <c r="M308" s="48">
        <f t="shared" si="9"/>
        <v>0</v>
      </c>
      <c r="N308" s="49" t="str">
        <f>IFERROR(__xludf.DUMMYFUNCTION("split(G308,""/"")"),"#VALUE!")</f>
        <v>#VALUE!</v>
      </c>
      <c r="O308" s="50"/>
      <c r="P308" s="49"/>
      <c r="Q308" s="49"/>
      <c r="R308" s="49"/>
      <c r="S308" s="49"/>
    </row>
    <row r="309">
      <c r="J309" s="83" t="str">
        <f t="shared" si="8"/>
        <v/>
      </c>
      <c r="K309" s="49" t="str">
        <f>IFERROR(__xludf.DUMMYFUNCTION("IF(M309=1,IFERROR(IMPORTXML(G309, ""//p[@class='status-date']""), ""Not deployed""),"""")"),"")</f>
        <v/>
      </c>
      <c r="L309" s="48"/>
      <c r="M309" s="48">
        <f t="shared" si="9"/>
        <v>0</v>
      </c>
      <c r="N309" s="49" t="str">
        <f>IFERROR(__xludf.DUMMYFUNCTION("split(G309,""/"")"),"#VALUE!")</f>
        <v>#VALUE!</v>
      </c>
      <c r="O309" s="50"/>
      <c r="P309" s="49"/>
      <c r="Q309" s="49"/>
      <c r="R309" s="49"/>
      <c r="S309" s="49"/>
    </row>
    <row r="310">
      <c r="J310" s="83" t="str">
        <f t="shared" si="8"/>
        <v/>
      </c>
      <c r="K310" s="49" t="str">
        <f>IFERROR(__xludf.DUMMYFUNCTION("IF(M310=1,IFERROR(IMPORTXML(G310, ""//p[@class='status-date']""), ""Not deployed""),"""")"),"")</f>
        <v/>
      </c>
      <c r="L310" s="48"/>
      <c r="M310" s="48">
        <f t="shared" si="9"/>
        <v>0</v>
      </c>
      <c r="N310" s="49" t="str">
        <f>IFERROR(__xludf.DUMMYFUNCTION("split(G310,""/"")"),"#VALUE!")</f>
        <v>#VALUE!</v>
      </c>
      <c r="O310" s="50"/>
      <c r="P310" s="49"/>
      <c r="Q310" s="49"/>
      <c r="R310" s="49"/>
      <c r="S310" s="49"/>
    </row>
    <row r="311">
      <c r="J311" s="83" t="str">
        <f t="shared" si="8"/>
        <v/>
      </c>
      <c r="K311" s="49" t="str">
        <f>IFERROR(__xludf.DUMMYFUNCTION("IF(M311=1,IFERROR(IMPORTXML(G311, ""//p[@class='status-date']""), ""Not deployed""),"""")"),"")</f>
        <v/>
      </c>
      <c r="L311" s="48"/>
      <c r="M311" s="48">
        <f t="shared" si="9"/>
        <v>0</v>
      </c>
      <c r="N311" s="49" t="str">
        <f>IFERROR(__xludf.DUMMYFUNCTION("split(G311,""/"")"),"#VALUE!")</f>
        <v>#VALUE!</v>
      </c>
      <c r="O311" s="50"/>
      <c r="P311" s="49"/>
      <c r="Q311" s="49"/>
      <c r="R311" s="49"/>
      <c r="S311" s="49"/>
    </row>
    <row r="312">
      <c r="J312" s="83" t="str">
        <f t="shared" si="8"/>
        <v/>
      </c>
      <c r="K312" s="49" t="str">
        <f>IFERROR(__xludf.DUMMYFUNCTION("IF(M312=1,IFERROR(IMPORTXML(G312, ""//p[@class='status-date']""), ""Not deployed""),"""")"),"")</f>
        <v/>
      </c>
      <c r="L312" s="48"/>
      <c r="M312" s="48">
        <f t="shared" si="9"/>
        <v>0</v>
      </c>
      <c r="N312" s="49" t="str">
        <f>IFERROR(__xludf.DUMMYFUNCTION("split(G312,""/"")"),"#VALUE!")</f>
        <v>#VALUE!</v>
      </c>
      <c r="O312" s="50"/>
      <c r="P312" s="49"/>
      <c r="Q312" s="49"/>
      <c r="R312" s="49"/>
      <c r="S312" s="49"/>
    </row>
    <row r="313">
      <c r="J313" s="83" t="str">
        <f t="shared" si="8"/>
        <v/>
      </c>
      <c r="K313" s="49" t="str">
        <f>IFERROR(__xludf.DUMMYFUNCTION("IF(M313=1,IFERROR(IMPORTXML(G313, ""//p[@class='status-date']""), ""Not deployed""),"""")"),"")</f>
        <v/>
      </c>
      <c r="L313" s="48"/>
      <c r="M313" s="48">
        <f t="shared" si="9"/>
        <v>0</v>
      </c>
      <c r="N313" s="49" t="str">
        <f>IFERROR(__xludf.DUMMYFUNCTION("split(G313,""/"")"),"#VALUE!")</f>
        <v>#VALUE!</v>
      </c>
      <c r="O313" s="50"/>
      <c r="P313" s="49"/>
      <c r="Q313" s="49"/>
      <c r="R313" s="49"/>
      <c r="S313" s="49"/>
    </row>
    <row r="314">
      <c r="J314" s="83" t="str">
        <f t="shared" si="8"/>
        <v/>
      </c>
      <c r="K314" s="49" t="str">
        <f>IFERROR(__xludf.DUMMYFUNCTION("IF(M314=1,IFERROR(IMPORTXML(G314, ""//p[@class='status-date']""), ""Not deployed""),"""")"),"")</f>
        <v/>
      </c>
      <c r="L314" s="48"/>
      <c r="M314" s="48">
        <f t="shared" si="9"/>
        <v>0</v>
      </c>
      <c r="N314" s="49" t="str">
        <f>IFERROR(__xludf.DUMMYFUNCTION("split(G314,""/"")"),"#VALUE!")</f>
        <v>#VALUE!</v>
      </c>
      <c r="O314" s="50"/>
      <c r="P314" s="49"/>
      <c r="Q314" s="49"/>
      <c r="R314" s="49"/>
      <c r="S314" s="49"/>
    </row>
    <row r="315">
      <c r="J315" s="83" t="str">
        <f t="shared" si="8"/>
        <v/>
      </c>
      <c r="K315" s="49" t="str">
        <f>IFERROR(__xludf.DUMMYFUNCTION("IF(M315=1,IFERROR(IMPORTXML(G315, ""//p[@class='status-date']""), ""Not deployed""),"""")"),"")</f>
        <v/>
      </c>
      <c r="L315" s="48"/>
      <c r="M315" s="48">
        <f t="shared" si="9"/>
        <v>0</v>
      </c>
      <c r="N315" s="49" t="str">
        <f>IFERROR(__xludf.DUMMYFUNCTION("split(G315,""/"")"),"#VALUE!")</f>
        <v>#VALUE!</v>
      </c>
      <c r="O315" s="50"/>
      <c r="P315" s="49"/>
      <c r="Q315" s="49"/>
      <c r="R315" s="49"/>
      <c r="S315" s="49"/>
    </row>
    <row r="316">
      <c r="J316" s="83" t="str">
        <f t="shared" si="8"/>
        <v/>
      </c>
      <c r="K316" s="49" t="str">
        <f>IFERROR(__xludf.DUMMYFUNCTION("IF(M316=1,IFERROR(IMPORTXML(G316, ""//p[@class='status-date']""), ""Not deployed""),"""")"),"")</f>
        <v/>
      </c>
      <c r="L316" s="48"/>
      <c r="M316" s="48">
        <f t="shared" si="9"/>
        <v>0</v>
      </c>
      <c r="N316" s="49" t="str">
        <f>IFERROR(__xludf.DUMMYFUNCTION("split(G316,""/"")"),"#VALUE!")</f>
        <v>#VALUE!</v>
      </c>
      <c r="O316" s="50"/>
      <c r="P316" s="49"/>
      <c r="Q316" s="49"/>
      <c r="R316" s="49"/>
      <c r="S316" s="49"/>
    </row>
    <row r="317">
      <c r="J317" s="83" t="str">
        <f t="shared" si="8"/>
        <v/>
      </c>
      <c r="K317" s="49" t="str">
        <f>IFERROR(__xludf.DUMMYFUNCTION("IF(M317=1,IFERROR(IMPORTXML(G317, ""//p[@class='status-date']""), ""Not deployed""),"""")"),"")</f>
        <v/>
      </c>
      <c r="L317" s="48"/>
      <c r="M317" s="48">
        <f t="shared" si="9"/>
        <v>0</v>
      </c>
      <c r="N317" s="49" t="str">
        <f>IFERROR(__xludf.DUMMYFUNCTION("split(G317,""/"")"),"#VALUE!")</f>
        <v>#VALUE!</v>
      </c>
      <c r="O317" s="50"/>
      <c r="P317" s="49"/>
      <c r="Q317" s="49"/>
      <c r="R317" s="49"/>
      <c r="S317" s="49"/>
    </row>
    <row r="318">
      <c r="J318" s="83" t="str">
        <f t="shared" si="8"/>
        <v/>
      </c>
      <c r="K318" s="49" t="str">
        <f>IFERROR(__xludf.DUMMYFUNCTION("IF(M318=1,IFERROR(IMPORTXML(G318, ""//p[@class='status-date']""), ""Not deployed""),"""")"),"")</f>
        <v/>
      </c>
      <c r="L318" s="48"/>
      <c r="M318" s="48">
        <f t="shared" si="9"/>
        <v>0</v>
      </c>
      <c r="N318" s="49" t="str">
        <f>IFERROR(__xludf.DUMMYFUNCTION("split(G318,""/"")"),"#VALUE!")</f>
        <v>#VALUE!</v>
      </c>
      <c r="O318" s="50"/>
      <c r="P318" s="49"/>
      <c r="Q318" s="49"/>
      <c r="R318" s="49"/>
      <c r="S318" s="49"/>
    </row>
    <row r="319">
      <c r="J319" s="83" t="str">
        <f t="shared" si="8"/>
        <v/>
      </c>
      <c r="K319" s="49" t="str">
        <f>IFERROR(__xludf.DUMMYFUNCTION("IF(M319=1,IFERROR(IMPORTXML(G319, ""//p[@class='status-date']""), ""Not deployed""),"""")"),"")</f>
        <v/>
      </c>
      <c r="L319" s="48"/>
      <c r="M319" s="48">
        <f t="shared" si="9"/>
        <v>0</v>
      </c>
      <c r="N319" s="49" t="str">
        <f>IFERROR(__xludf.DUMMYFUNCTION("split(G319,""/"")"),"#VALUE!")</f>
        <v>#VALUE!</v>
      </c>
      <c r="O319" s="50"/>
      <c r="P319" s="49"/>
      <c r="Q319" s="49"/>
      <c r="R319" s="49"/>
      <c r="S319" s="49"/>
    </row>
    <row r="320">
      <c r="J320" s="83" t="str">
        <f t="shared" si="8"/>
        <v/>
      </c>
      <c r="K320" s="49" t="str">
        <f>IFERROR(__xludf.DUMMYFUNCTION("IF(M320=1,IFERROR(IMPORTXML(G320, ""//p[@class='status-date']""), ""Not deployed""),"""")"),"")</f>
        <v/>
      </c>
      <c r="L320" s="48"/>
      <c r="M320" s="48">
        <f t="shared" si="9"/>
        <v>0</v>
      </c>
      <c r="N320" s="49" t="str">
        <f>IFERROR(__xludf.DUMMYFUNCTION("split(G320,""/"")"),"#VALUE!")</f>
        <v>#VALUE!</v>
      </c>
      <c r="O320" s="50"/>
      <c r="P320" s="49"/>
      <c r="Q320" s="49"/>
      <c r="R320" s="49"/>
      <c r="S320" s="49"/>
    </row>
    <row r="321">
      <c r="J321" s="83" t="str">
        <f t="shared" si="8"/>
        <v/>
      </c>
      <c r="K321" s="49" t="str">
        <f>IFERROR(__xludf.DUMMYFUNCTION("IF(M321=1,IFERROR(IMPORTXML(G321, ""//p[@class='status-date']""), ""Not deployed""),"""")"),"")</f>
        <v/>
      </c>
      <c r="L321" s="48"/>
      <c r="M321" s="48">
        <f t="shared" si="9"/>
        <v>0</v>
      </c>
      <c r="N321" s="49" t="str">
        <f>IFERROR(__xludf.DUMMYFUNCTION("split(G321,""/"")"),"#VALUE!")</f>
        <v>#VALUE!</v>
      </c>
      <c r="O321" s="50"/>
      <c r="P321" s="49"/>
      <c r="Q321" s="49"/>
      <c r="R321" s="49"/>
      <c r="S321" s="49"/>
    </row>
    <row r="322">
      <c r="J322" s="83" t="str">
        <f t="shared" si="8"/>
        <v/>
      </c>
      <c r="K322" s="49" t="str">
        <f>IFERROR(__xludf.DUMMYFUNCTION("IF(M322=1,IFERROR(IMPORTXML(G322, ""//p[@class='status-date']""), ""Not deployed""),"""")"),"")</f>
        <v/>
      </c>
      <c r="L322" s="48"/>
      <c r="M322" s="48">
        <f t="shared" si="9"/>
        <v>0</v>
      </c>
      <c r="N322" s="49" t="str">
        <f>IFERROR(__xludf.DUMMYFUNCTION("split(G322,""/"")"),"#VALUE!")</f>
        <v>#VALUE!</v>
      </c>
      <c r="O322" s="50"/>
      <c r="P322" s="49"/>
      <c r="Q322" s="49"/>
      <c r="R322" s="49"/>
      <c r="S322" s="49"/>
    </row>
    <row r="323">
      <c r="J323" s="83" t="str">
        <f t="shared" si="8"/>
        <v/>
      </c>
      <c r="K323" s="49" t="str">
        <f>IFERROR(__xludf.DUMMYFUNCTION("IF(M323=1,IFERROR(IMPORTXML(G323, ""//p[@class='status-date']""), ""Not deployed""),"""")"),"")</f>
        <v/>
      </c>
      <c r="L323" s="48"/>
      <c r="M323" s="48">
        <f t="shared" si="9"/>
        <v>0</v>
      </c>
      <c r="N323" s="49" t="str">
        <f>IFERROR(__xludf.DUMMYFUNCTION("split(G323,""/"")"),"#VALUE!")</f>
        <v>#VALUE!</v>
      </c>
      <c r="O323" s="50"/>
      <c r="P323" s="49"/>
      <c r="Q323" s="49"/>
      <c r="R323" s="49"/>
      <c r="S323" s="49"/>
    </row>
    <row r="324">
      <c r="J324" s="83" t="str">
        <f t="shared" si="8"/>
        <v/>
      </c>
      <c r="K324" s="49" t="str">
        <f>IFERROR(__xludf.DUMMYFUNCTION("IF(M324=1,IFERROR(IMPORTXML(G324, ""//p[@class='status-date']""), ""Not deployed""),"""")"),"")</f>
        <v/>
      </c>
      <c r="L324" s="48"/>
      <c r="M324" s="48">
        <f t="shared" si="9"/>
        <v>0</v>
      </c>
      <c r="N324" s="49" t="str">
        <f>IFERROR(__xludf.DUMMYFUNCTION("split(G324,""/"")"),"#VALUE!")</f>
        <v>#VALUE!</v>
      </c>
      <c r="O324" s="50"/>
      <c r="P324" s="49"/>
      <c r="Q324" s="49"/>
      <c r="R324" s="49"/>
      <c r="S324" s="49"/>
    </row>
    <row r="325">
      <c r="J325" s="83" t="str">
        <f t="shared" si="8"/>
        <v/>
      </c>
      <c r="K325" s="49" t="str">
        <f>IFERROR(__xludf.DUMMYFUNCTION("IF(M325=1,IFERROR(IMPORTXML(G325, ""//p[@class='status-date']""), ""Not deployed""),"""")"),"")</f>
        <v/>
      </c>
      <c r="L325" s="48"/>
      <c r="M325" s="48">
        <f t="shared" si="9"/>
        <v>0</v>
      </c>
      <c r="N325" s="49" t="str">
        <f>IFERROR(__xludf.DUMMYFUNCTION("split(G325,""/"")"),"#VALUE!")</f>
        <v>#VALUE!</v>
      </c>
      <c r="O325" s="50"/>
      <c r="P325" s="49"/>
      <c r="Q325" s="49"/>
      <c r="R325" s="49"/>
      <c r="S325" s="49"/>
    </row>
    <row r="326">
      <c r="J326" s="83" t="str">
        <f t="shared" si="8"/>
        <v/>
      </c>
      <c r="K326" s="49" t="str">
        <f>IFERROR(__xludf.DUMMYFUNCTION("IF(M326=1,IFERROR(IMPORTXML(G326, ""//p[@class='status-date']""), ""Not deployed""),"""")"),"")</f>
        <v/>
      </c>
      <c r="L326" s="48"/>
      <c r="M326" s="48">
        <f t="shared" si="9"/>
        <v>0</v>
      </c>
      <c r="N326" s="49" t="str">
        <f>IFERROR(__xludf.DUMMYFUNCTION("split(G326,""/"")"),"#VALUE!")</f>
        <v>#VALUE!</v>
      </c>
      <c r="O326" s="57"/>
      <c r="P326" s="49"/>
      <c r="Q326" s="49"/>
      <c r="R326" s="49"/>
      <c r="S326" s="49"/>
    </row>
    <row r="327">
      <c r="J327" s="83" t="str">
        <f t="shared" si="8"/>
        <v/>
      </c>
      <c r="K327" s="49" t="str">
        <f>IFERROR(__xludf.DUMMYFUNCTION("IF(M327=1,IFERROR(IMPORTXML(G327, ""//p[@class='status-date']""), ""Not deployed""),"""")"),"")</f>
        <v/>
      </c>
      <c r="L327" s="48"/>
      <c r="M327" s="48">
        <f t="shared" si="9"/>
        <v>0</v>
      </c>
      <c r="N327" s="49" t="str">
        <f>IFERROR(__xludf.DUMMYFUNCTION("split(G327,""/"")"),"#VALUE!")</f>
        <v>#VALUE!</v>
      </c>
      <c r="O327" s="50"/>
      <c r="P327" s="49"/>
      <c r="Q327" s="49"/>
      <c r="R327" s="49"/>
      <c r="S327" s="49"/>
    </row>
    <row r="328">
      <c r="J328" s="83" t="str">
        <f t="shared" si="8"/>
        <v/>
      </c>
      <c r="K328" s="49" t="str">
        <f>IFERROR(__xludf.DUMMYFUNCTION("IF(M328=1,IFERROR(IMPORTXML(G328, ""//p[@class='status-date']""), ""Not deployed""),"""")"),"")</f>
        <v/>
      </c>
      <c r="L328" s="48"/>
      <c r="M328" s="48">
        <f t="shared" si="9"/>
        <v>0</v>
      </c>
      <c r="N328" s="49" t="str">
        <f>IFERROR(__xludf.DUMMYFUNCTION("split(G328,""/"")"),"#VALUE!")</f>
        <v>#VALUE!</v>
      </c>
      <c r="O328" s="50"/>
      <c r="P328" s="49"/>
      <c r="Q328" s="49"/>
      <c r="R328" s="49"/>
      <c r="S328" s="49"/>
    </row>
    <row r="329">
      <c r="J329" s="83" t="str">
        <f t="shared" si="8"/>
        <v/>
      </c>
      <c r="K329" s="49" t="str">
        <f>IFERROR(__xludf.DUMMYFUNCTION("IF(M329=1,IFERROR(IMPORTXML(G329, ""//p[@class='status-date']""), ""Not deployed""),"""")"),"")</f>
        <v/>
      </c>
      <c r="L329" s="48"/>
      <c r="M329" s="48">
        <f t="shared" si="9"/>
        <v>0</v>
      </c>
      <c r="N329" s="49" t="str">
        <f>IFERROR(__xludf.DUMMYFUNCTION("split(G329,""/"")"),"#VALUE!")</f>
        <v>#VALUE!</v>
      </c>
      <c r="O329" s="50"/>
      <c r="P329" s="49"/>
      <c r="Q329" s="49"/>
      <c r="R329" s="49"/>
      <c r="S329" s="49"/>
    </row>
    <row r="330">
      <c r="J330" s="83" t="str">
        <f t="shared" si="8"/>
        <v/>
      </c>
      <c r="K330" s="49" t="str">
        <f>IFERROR(__xludf.DUMMYFUNCTION("IF(M330=1,IFERROR(IMPORTXML(G330, ""//p[@class='status-date']""), ""Not deployed""),"""")"),"")</f>
        <v/>
      </c>
      <c r="L330" s="48"/>
      <c r="M330" s="48">
        <f t="shared" si="9"/>
        <v>0</v>
      </c>
      <c r="N330" s="49" t="str">
        <f>IFERROR(__xludf.DUMMYFUNCTION("split(G330,""/"")"),"#VALUE!")</f>
        <v>#VALUE!</v>
      </c>
      <c r="O330" s="50"/>
      <c r="P330" s="49"/>
      <c r="Q330" s="49"/>
      <c r="R330" s="49"/>
      <c r="S330" s="49"/>
    </row>
    <row r="331">
      <c r="J331" s="83" t="str">
        <f t="shared" si="8"/>
        <v/>
      </c>
      <c r="K331" s="49" t="str">
        <f>IFERROR(__xludf.DUMMYFUNCTION("IF(M331=1,IFERROR(IMPORTXML(G331, ""//p[@class='status-date']""), ""Not deployed""),"""")"),"")</f>
        <v/>
      </c>
      <c r="L331" s="48"/>
      <c r="M331" s="48">
        <f t="shared" si="9"/>
        <v>0</v>
      </c>
      <c r="N331" s="49" t="str">
        <f>IFERROR(__xludf.DUMMYFUNCTION("split(G331,""/"")"),"#VALUE!")</f>
        <v>#VALUE!</v>
      </c>
      <c r="O331" s="50"/>
      <c r="P331" s="49"/>
      <c r="Q331" s="49"/>
      <c r="R331" s="49"/>
      <c r="S331" s="49"/>
    </row>
    <row r="332">
      <c r="J332" s="83" t="str">
        <f t="shared" si="8"/>
        <v/>
      </c>
      <c r="K332" s="49" t="str">
        <f>IFERROR(__xludf.DUMMYFUNCTION("IF(M332=1,IFERROR(IMPORTXML(G332, ""//p[@class='status-date']""), ""Not deployed""),"""")"),"")</f>
        <v/>
      </c>
      <c r="L332" s="48"/>
      <c r="M332" s="48">
        <f t="shared" si="9"/>
        <v>0</v>
      </c>
      <c r="N332" s="49" t="str">
        <f>IFERROR(__xludf.DUMMYFUNCTION("split(G332,""/"")"),"#VALUE!")</f>
        <v>#VALUE!</v>
      </c>
      <c r="O332" s="50"/>
      <c r="P332" s="49"/>
      <c r="Q332" s="49"/>
      <c r="R332" s="49"/>
      <c r="S332" s="49"/>
    </row>
    <row r="333">
      <c r="J333" s="83" t="str">
        <f t="shared" si="8"/>
        <v/>
      </c>
      <c r="K333" s="49" t="str">
        <f>IFERROR(__xludf.DUMMYFUNCTION("IF(M333=1,IFERROR(IMPORTXML(G333, ""//p[@class='status-date']""), ""Not deployed""),"""")"),"")</f>
        <v/>
      </c>
      <c r="L333" s="48"/>
      <c r="M333" s="48">
        <f t="shared" si="9"/>
        <v>0</v>
      </c>
      <c r="N333" s="49" t="str">
        <f>IFERROR(__xludf.DUMMYFUNCTION("split(G333,""/"")"),"#VALUE!")</f>
        <v>#VALUE!</v>
      </c>
      <c r="O333" s="50"/>
      <c r="P333" s="49"/>
      <c r="Q333" s="49"/>
      <c r="R333" s="49"/>
      <c r="S333" s="49"/>
    </row>
    <row r="334">
      <c r="J334" s="83" t="str">
        <f t="shared" si="8"/>
        <v/>
      </c>
      <c r="K334" s="49" t="str">
        <f>IFERROR(__xludf.DUMMYFUNCTION("IF(M334=1,IFERROR(IMPORTXML(G334, ""//p[@class='status-date']""), ""Not deployed""),"""")"),"")</f>
        <v/>
      </c>
      <c r="L334" s="48"/>
      <c r="M334" s="48">
        <f t="shared" si="9"/>
        <v>0</v>
      </c>
      <c r="N334" s="49" t="str">
        <f>IFERROR(__xludf.DUMMYFUNCTION("split(G334,""/"")"),"#VALUE!")</f>
        <v>#VALUE!</v>
      </c>
      <c r="O334" s="50"/>
      <c r="P334" s="49"/>
      <c r="Q334" s="49"/>
      <c r="R334" s="49"/>
      <c r="S334" s="49"/>
    </row>
    <row r="335">
      <c r="J335" s="83" t="str">
        <f t="shared" si="8"/>
        <v/>
      </c>
      <c r="K335" s="49" t="str">
        <f>IFERROR(__xludf.DUMMYFUNCTION("IF(M335=1,IFERROR(IMPORTXML(G335, ""//p[@class='status-date']""), ""Not deployed""),"""")"),"")</f>
        <v/>
      </c>
      <c r="L335" s="48"/>
      <c r="M335" s="48">
        <f t="shared" si="9"/>
        <v>0</v>
      </c>
      <c r="N335" s="49" t="str">
        <f>IFERROR(__xludf.DUMMYFUNCTION("split(G335,""/"")"),"#VALUE!")</f>
        <v>#VALUE!</v>
      </c>
      <c r="O335" s="50"/>
      <c r="P335" s="49"/>
      <c r="Q335" s="49"/>
      <c r="R335" s="49"/>
      <c r="S335" s="49"/>
    </row>
    <row r="336">
      <c r="J336" s="83"/>
    </row>
    <row r="337">
      <c r="J337" s="83"/>
    </row>
    <row r="338">
      <c r="J338" s="83"/>
    </row>
    <row r="339">
      <c r="J339" s="83"/>
    </row>
    <row r="340">
      <c r="J340" s="83"/>
    </row>
    <row r="341">
      <c r="J341" s="83"/>
    </row>
    <row r="342">
      <c r="J342" s="83"/>
    </row>
    <row r="343">
      <c r="J343" s="83"/>
    </row>
    <row r="344">
      <c r="J344" s="83"/>
    </row>
    <row r="345">
      <c r="J345" s="83"/>
    </row>
    <row r="346">
      <c r="J346" s="83"/>
    </row>
    <row r="347">
      <c r="J347" s="83"/>
    </row>
    <row r="348">
      <c r="J348" s="83"/>
    </row>
    <row r="349">
      <c r="J349" s="83"/>
    </row>
    <row r="350">
      <c r="J350" s="83"/>
    </row>
    <row r="351">
      <c r="J351" s="83"/>
    </row>
    <row r="352">
      <c r="J352" s="83"/>
    </row>
    <row r="353">
      <c r="J353" s="83"/>
    </row>
    <row r="354">
      <c r="J354" s="83"/>
    </row>
    <row r="355">
      <c r="J355" s="83"/>
    </row>
    <row r="356">
      <c r="J356" s="83"/>
    </row>
    <row r="357">
      <c r="J357" s="83"/>
    </row>
    <row r="358">
      <c r="J358" s="83"/>
    </row>
    <row r="359">
      <c r="J359" s="83"/>
    </row>
    <row r="360">
      <c r="J360" s="83"/>
    </row>
    <row r="361">
      <c r="J361" s="83"/>
    </row>
    <row r="362">
      <c r="J362" s="83"/>
    </row>
    <row r="363">
      <c r="J363" s="83"/>
    </row>
    <row r="364">
      <c r="J364" s="83"/>
    </row>
    <row r="365">
      <c r="J365" s="83"/>
    </row>
    <row r="366">
      <c r="J366" s="83"/>
    </row>
    <row r="367">
      <c r="J367" s="83"/>
    </row>
    <row r="368">
      <c r="J368" s="83"/>
    </row>
    <row r="369">
      <c r="J369" s="100"/>
      <c r="K369" s="5"/>
      <c r="L369" s="5"/>
      <c r="M369" s="5"/>
      <c r="N369" s="5"/>
      <c r="O369" s="5"/>
      <c r="P369" s="5"/>
      <c r="Q369" s="5"/>
      <c r="R369" s="5"/>
      <c r="S369" s="5"/>
    </row>
    <row r="370">
      <c r="J370" s="100"/>
      <c r="K370" s="5"/>
      <c r="L370" s="5"/>
      <c r="M370" s="5"/>
      <c r="N370" s="5"/>
      <c r="O370" s="5"/>
      <c r="P370" s="5"/>
      <c r="Q370" s="5"/>
      <c r="R370" s="5"/>
      <c r="S370" s="5"/>
    </row>
    <row r="371">
      <c r="J371" s="100"/>
      <c r="K371" s="5"/>
      <c r="L371" s="5"/>
      <c r="M371" s="5"/>
      <c r="N371" s="5"/>
      <c r="O371" s="5"/>
      <c r="P371" s="5"/>
      <c r="Q371" s="5"/>
      <c r="R371" s="5"/>
      <c r="S371" s="5"/>
    </row>
    <row r="372">
      <c r="J372" s="100"/>
      <c r="K372" s="5"/>
      <c r="L372" s="5"/>
      <c r="M372" s="5"/>
      <c r="N372" s="5"/>
      <c r="O372" s="5"/>
      <c r="P372" s="5"/>
      <c r="Q372" s="5"/>
      <c r="R372" s="5"/>
      <c r="S372" s="5"/>
    </row>
    <row r="373">
      <c r="J373" s="102"/>
      <c r="K373" s="40"/>
      <c r="L373" s="40"/>
      <c r="M373" s="40"/>
      <c r="N373" s="40"/>
      <c r="O373" s="40"/>
      <c r="P373" s="40"/>
      <c r="Q373" s="40"/>
      <c r="R373" s="40"/>
      <c r="S373" s="40"/>
    </row>
    <row r="374">
      <c r="J374" s="83"/>
    </row>
    <row r="375">
      <c r="J375" s="103"/>
      <c r="K375" s="41" t="s">
        <v>94</v>
      </c>
      <c r="L375" s="41" t="s">
        <v>95</v>
      </c>
      <c r="M375" s="41" t="s">
        <v>96</v>
      </c>
      <c r="N375" s="42" t="s">
        <v>97</v>
      </c>
    </row>
    <row r="376">
      <c r="J376" s="83" t="str">
        <f t="shared" ref="J376:J427" si="10">if(I376=true,"",S376)</f>
        <v/>
      </c>
      <c r="K376" s="49" t="str">
        <f>IFERROR(__xludf.DUMMYFUNCTION("IF(M376=1,IFERROR(IMPORTXML(G376, ""//p[@class='status-date']""), ""Not deployed""),"""")"),"")</f>
        <v/>
      </c>
      <c r="L376" s="48"/>
      <c r="M376" s="48">
        <f t="shared" ref="M376:M427" si="11">if(I376=TRUE,2,IF(ISTEXT(G376),1,0))</f>
        <v>0</v>
      </c>
      <c r="N376" s="49" t="str">
        <f>IFERROR(__xludf.DUMMYFUNCTION("split(G376,""/"")"),"#VALUE!")</f>
        <v>#VALUE!</v>
      </c>
      <c r="O376" s="50"/>
      <c r="P376" s="49"/>
      <c r="Q376" s="49"/>
      <c r="R376" s="49"/>
      <c r="S376" s="49"/>
    </row>
    <row r="377">
      <c r="J377" s="83" t="str">
        <f t="shared" si="10"/>
        <v/>
      </c>
      <c r="K377" s="49" t="str">
        <f>IFERROR(__xludf.DUMMYFUNCTION("IF(M377=1,IFERROR(IMPORTXML(G377, ""//p[@class='status-date']""), ""Not deployed""),"""")"),"")</f>
        <v/>
      </c>
      <c r="L377" s="48"/>
      <c r="M377" s="48">
        <f t="shared" si="11"/>
        <v>0</v>
      </c>
      <c r="N377" s="49" t="str">
        <f>IFERROR(__xludf.DUMMYFUNCTION("split(G377,""/"")"),"#VALUE!")</f>
        <v>#VALUE!</v>
      </c>
      <c r="O377" s="50"/>
      <c r="P377" s="49"/>
      <c r="Q377" s="49"/>
      <c r="R377" s="49"/>
      <c r="S377" s="49"/>
    </row>
    <row r="378">
      <c r="J378" s="83" t="str">
        <f t="shared" si="10"/>
        <v/>
      </c>
      <c r="K378" s="49" t="str">
        <f>IFERROR(__xludf.DUMMYFUNCTION("IF(M378=1,IFERROR(IMPORTXML(G378, ""//p[@class='status-date']""), ""Not deployed""),"""")"),"")</f>
        <v/>
      </c>
      <c r="L378" s="48"/>
      <c r="M378" s="48">
        <f t="shared" si="11"/>
        <v>0</v>
      </c>
      <c r="N378" s="49" t="str">
        <f>IFERROR(__xludf.DUMMYFUNCTION("split(G378,""/"")"),"#VALUE!")</f>
        <v>#VALUE!</v>
      </c>
      <c r="O378" s="50"/>
      <c r="P378" s="49"/>
      <c r="Q378" s="49"/>
      <c r="R378" s="49"/>
      <c r="S378" s="49"/>
    </row>
    <row r="379">
      <c r="J379" s="83" t="str">
        <f t="shared" si="10"/>
        <v/>
      </c>
      <c r="K379" s="49" t="str">
        <f>IFERROR(__xludf.DUMMYFUNCTION("IF(M379=1,IFERROR(IMPORTXML(G379, ""//p[@class='status-date']""), ""Not deployed""),"""")"),"")</f>
        <v/>
      </c>
      <c r="L379" s="48"/>
      <c r="M379" s="48">
        <f t="shared" si="11"/>
        <v>0</v>
      </c>
      <c r="N379" s="49" t="str">
        <f>IFERROR(__xludf.DUMMYFUNCTION("split(G379,""/"")"),"#VALUE!")</f>
        <v>#VALUE!</v>
      </c>
      <c r="O379" s="50"/>
      <c r="P379" s="49"/>
      <c r="Q379" s="49"/>
      <c r="R379" s="49"/>
      <c r="S379" s="49"/>
    </row>
    <row r="380">
      <c r="J380" s="83" t="str">
        <f t="shared" si="10"/>
        <v/>
      </c>
      <c r="K380" s="49" t="str">
        <f>IFERROR(__xludf.DUMMYFUNCTION("IF(M380=1,IFERROR(IMPORTXML(G380, ""//p[@class='status-date']""), ""Not deployed""),"""")"),"")</f>
        <v/>
      </c>
      <c r="L380" s="48"/>
      <c r="M380" s="48">
        <f t="shared" si="11"/>
        <v>0</v>
      </c>
      <c r="N380" s="49" t="str">
        <f>IFERROR(__xludf.DUMMYFUNCTION("split(G380,""/"")"),"#VALUE!")</f>
        <v>#VALUE!</v>
      </c>
      <c r="O380" s="50"/>
      <c r="P380" s="49"/>
      <c r="Q380" s="49"/>
      <c r="R380" s="49"/>
      <c r="S380" s="49"/>
    </row>
    <row r="381">
      <c r="J381" s="83" t="str">
        <f t="shared" si="10"/>
        <v/>
      </c>
      <c r="K381" s="49" t="str">
        <f>IFERROR(__xludf.DUMMYFUNCTION("IF(M381=1,IFERROR(IMPORTXML(G381, ""//p[@class='status-date']""), ""Not deployed""),"""")"),"")</f>
        <v/>
      </c>
      <c r="L381" s="48"/>
      <c r="M381" s="48">
        <f t="shared" si="11"/>
        <v>0</v>
      </c>
      <c r="N381" s="49" t="str">
        <f>IFERROR(__xludf.DUMMYFUNCTION("split(G381,""/"")"),"#VALUE!")</f>
        <v>#VALUE!</v>
      </c>
      <c r="O381" s="50"/>
      <c r="P381" s="49"/>
      <c r="Q381" s="49"/>
      <c r="R381" s="49"/>
      <c r="S381" s="49"/>
    </row>
    <row r="382">
      <c r="J382" s="83" t="str">
        <f t="shared" si="10"/>
        <v/>
      </c>
      <c r="K382" s="49" t="str">
        <f>IFERROR(__xludf.DUMMYFUNCTION("IF(M382=1,IFERROR(IMPORTXML(G382, ""//p[@class='status-date']""), ""Not deployed""),"""")"),"")</f>
        <v/>
      </c>
      <c r="L382" s="48"/>
      <c r="M382" s="48">
        <f t="shared" si="11"/>
        <v>0</v>
      </c>
      <c r="N382" s="49" t="str">
        <f>IFERROR(__xludf.DUMMYFUNCTION("split(G382,""/"")"),"#VALUE!")</f>
        <v>#VALUE!</v>
      </c>
      <c r="O382" s="50"/>
      <c r="P382" s="49"/>
      <c r="Q382" s="49"/>
      <c r="R382" s="49"/>
      <c r="S382" s="49"/>
    </row>
    <row r="383">
      <c r="J383" s="83" t="str">
        <f t="shared" si="10"/>
        <v/>
      </c>
      <c r="K383" s="49" t="str">
        <f>IFERROR(__xludf.DUMMYFUNCTION("IF(M383=1,IFERROR(IMPORTXML(G383, ""//p[@class='status-date']""), ""Not deployed""),"""")"),"")</f>
        <v/>
      </c>
      <c r="L383" s="48"/>
      <c r="M383" s="48">
        <f t="shared" si="11"/>
        <v>0</v>
      </c>
      <c r="N383" s="49" t="str">
        <f>IFERROR(__xludf.DUMMYFUNCTION("split(G383,""/"")"),"#VALUE!")</f>
        <v>#VALUE!</v>
      </c>
      <c r="O383" s="50"/>
      <c r="P383" s="49"/>
      <c r="Q383" s="49"/>
      <c r="R383" s="49"/>
      <c r="S383" s="49"/>
    </row>
    <row r="384">
      <c r="J384" s="83" t="str">
        <f t="shared" si="10"/>
        <v/>
      </c>
      <c r="K384" s="49" t="str">
        <f>IFERROR(__xludf.DUMMYFUNCTION("IF(M384=1,IFERROR(IMPORTXML(G384, ""//p[@class='status-date']""), ""Not deployed""),"""")"),"")</f>
        <v/>
      </c>
      <c r="L384" s="48"/>
      <c r="M384" s="48">
        <f t="shared" si="11"/>
        <v>0</v>
      </c>
      <c r="N384" s="49" t="str">
        <f>IFERROR(__xludf.DUMMYFUNCTION("split(G384,""/"")"),"#VALUE!")</f>
        <v>#VALUE!</v>
      </c>
      <c r="O384" s="50"/>
      <c r="P384" s="49"/>
      <c r="Q384" s="49"/>
      <c r="R384" s="49"/>
      <c r="S384" s="49"/>
    </row>
    <row r="385">
      <c r="J385" s="83" t="str">
        <f t="shared" si="10"/>
        <v/>
      </c>
      <c r="K385" s="49" t="str">
        <f>IFERROR(__xludf.DUMMYFUNCTION("IF(M385=1,IFERROR(IMPORTXML(G385, ""//p[@class='status-date']""), ""Not deployed""),"""")"),"")</f>
        <v/>
      </c>
      <c r="L385" s="48"/>
      <c r="M385" s="48">
        <f t="shared" si="11"/>
        <v>0</v>
      </c>
      <c r="N385" s="49" t="str">
        <f>IFERROR(__xludf.DUMMYFUNCTION("split(G385,""/"")"),"#VALUE!")</f>
        <v>#VALUE!</v>
      </c>
      <c r="O385" s="50"/>
      <c r="P385" s="49"/>
      <c r="Q385" s="49"/>
      <c r="R385" s="49"/>
      <c r="S385" s="49"/>
    </row>
    <row r="386">
      <c r="J386" s="83" t="str">
        <f t="shared" si="10"/>
        <v/>
      </c>
      <c r="K386" s="49" t="str">
        <f>IFERROR(__xludf.DUMMYFUNCTION("IF(M386=1,IFERROR(IMPORTXML(G386, ""//p[@class='status-date']""), ""Not deployed""),"""")"),"")</f>
        <v/>
      </c>
      <c r="L386" s="48"/>
      <c r="M386" s="48">
        <f t="shared" si="11"/>
        <v>0</v>
      </c>
      <c r="N386" s="49" t="str">
        <f>IFERROR(__xludf.DUMMYFUNCTION("split(G386,""/"")"),"#VALUE!")</f>
        <v>#VALUE!</v>
      </c>
      <c r="O386" s="50"/>
      <c r="P386" s="49"/>
      <c r="Q386" s="49"/>
      <c r="R386" s="49"/>
      <c r="S386" s="49"/>
    </row>
    <row r="387">
      <c r="J387" s="83" t="str">
        <f t="shared" si="10"/>
        <v/>
      </c>
      <c r="K387" s="49" t="str">
        <f>IFERROR(__xludf.DUMMYFUNCTION("IF(M387=1,IFERROR(IMPORTXML(G387, ""//p[@class='status-date']""), ""Not deployed""),"""")"),"")</f>
        <v/>
      </c>
      <c r="L387" s="48"/>
      <c r="M387" s="48">
        <f t="shared" si="11"/>
        <v>0</v>
      </c>
      <c r="N387" s="49" t="str">
        <f>IFERROR(__xludf.DUMMYFUNCTION("split(G387,""/"")"),"#VALUE!")</f>
        <v>#VALUE!</v>
      </c>
      <c r="O387" s="50"/>
      <c r="P387" s="49"/>
      <c r="Q387" s="49"/>
      <c r="R387" s="49"/>
      <c r="S387" s="49"/>
    </row>
    <row r="388">
      <c r="J388" s="83" t="str">
        <f t="shared" si="10"/>
        <v/>
      </c>
      <c r="K388" s="49" t="str">
        <f>IFERROR(__xludf.DUMMYFUNCTION("IF(M388=1,IFERROR(IMPORTXML(G388, ""//p[@class='status-date']""), ""Not deployed""),"""")"),"")</f>
        <v/>
      </c>
      <c r="L388" s="48"/>
      <c r="M388" s="48">
        <f t="shared" si="11"/>
        <v>0</v>
      </c>
      <c r="N388" s="49" t="str">
        <f>IFERROR(__xludf.DUMMYFUNCTION("split(G388,""/"")"),"#VALUE!")</f>
        <v>#VALUE!</v>
      </c>
      <c r="O388" s="50"/>
      <c r="P388" s="49"/>
      <c r="Q388" s="49"/>
      <c r="R388" s="49"/>
      <c r="S388" s="49"/>
    </row>
    <row r="389">
      <c r="J389" s="83" t="str">
        <f t="shared" si="10"/>
        <v/>
      </c>
      <c r="K389" s="49" t="str">
        <f>IFERROR(__xludf.DUMMYFUNCTION("IF(M389=1,IFERROR(IMPORTXML(G389, ""//p[@class='status-date']""), ""Not deployed""),"""")"),"")</f>
        <v/>
      </c>
      <c r="L389" s="48"/>
      <c r="M389" s="48">
        <f t="shared" si="11"/>
        <v>0</v>
      </c>
      <c r="N389" s="49" t="str">
        <f>IFERROR(__xludf.DUMMYFUNCTION("split(G389,""/"")"),"#VALUE!")</f>
        <v>#VALUE!</v>
      </c>
      <c r="O389" s="50"/>
      <c r="P389" s="49"/>
      <c r="Q389" s="49"/>
      <c r="R389" s="49"/>
      <c r="S389" s="49"/>
    </row>
    <row r="390">
      <c r="J390" s="83" t="str">
        <f t="shared" si="10"/>
        <v/>
      </c>
      <c r="K390" s="49" t="str">
        <f>IFERROR(__xludf.DUMMYFUNCTION("IF(M390=1,IFERROR(IMPORTXML(G390, ""//p[@class='status-date']""), ""Not deployed""),"""")"),"")</f>
        <v/>
      </c>
      <c r="L390" s="48"/>
      <c r="M390" s="48">
        <f t="shared" si="11"/>
        <v>0</v>
      </c>
      <c r="N390" s="49" t="str">
        <f>IFERROR(__xludf.DUMMYFUNCTION("split(G390,""/"")"),"#VALUE!")</f>
        <v>#VALUE!</v>
      </c>
      <c r="O390" s="50"/>
      <c r="P390" s="49"/>
      <c r="Q390" s="49"/>
      <c r="R390" s="49"/>
      <c r="S390" s="49"/>
    </row>
    <row r="391">
      <c r="J391" s="83" t="str">
        <f t="shared" si="10"/>
        <v/>
      </c>
      <c r="K391" s="49" t="str">
        <f>IFERROR(__xludf.DUMMYFUNCTION("IF(M391=1,IFERROR(IMPORTXML(G391, ""//p[@class='status-date']""), ""Not deployed""),"""")"),"")</f>
        <v/>
      </c>
      <c r="L391" s="48"/>
      <c r="M391" s="48">
        <f t="shared" si="11"/>
        <v>0</v>
      </c>
      <c r="N391" s="49" t="str">
        <f>IFERROR(__xludf.DUMMYFUNCTION("split(G391,""/"")"),"#VALUE!")</f>
        <v>#VALUE!</v>
      </c>
      <c r="O391" s="50"/>
      <c r="P391" s="49"/>
      <c r="Q391" s="49"/>
      <c r="R391" s="49"/>
      <c r="S391" s="49"/>
    </row>
    <row r="392">
      <c r="J392" s="83" t="str">
        <f t="shared" si="10"/>
        <v/>
      </c>
      <c r="K392" s="49" t="str">
        <f>IFERROR(__xludf.DUMMYFUNCTION("IF(M392=1,IFERROR(IMPORTXML(G392, ""//p[@class='status-date']""), ""Not deployed""),"""")"),"")</f>
        <v/>
      </c>
      <c r="L392" s="48"/>
      <c r="M392" s="48">
        <f t="shared" si="11"/>
        <v>0</v>
      </c>
      <c r="N392" s="49" t="str">
        <f>IFERROR(__xludf.DUMMYFUNCTION("split(G392,""/"")"),"#VALUE!")</f>
        <v>#VALUE!</v>
      </c>
      <c r="O392" s="50"/>
      <c r="P392" s="49"/>
      <c r="Q392" s="49"/>
      <c r="R392" s="49"/>
      <c r="S392" s="49"/>
    </row>
    <row r="393">
      <c r="J393" s="83" t="str">
        <f t="shared" si="10"/>
        <v/>
      </c>
      <c r="K393" s="49" t="str">
        <f>IFERROR(__xludf.DUMMYFUNCTION("IF(M393=1,IFERROR(IMPORTXML(G393, ""//p[@class='status-date']""), ""Not deployed""),"""")"),"")</f>
        <v/>
      </c>
      <c r="L393" s="48"/>
      <c r="M393" s="48">
        <f t="shared" si="11"/>
        <v>0</v>
      </c>
      <c r="N393" s="49" t="str">
        <f>IFERROR(__xludf.DUMMYFUNCTION("split(G393,""/"")"),"#VALUE!")</f>
        <v>#VALUE!</v>
      </c>
      <c r="O393" s="50"/>
      <c r="P393" s="49"/>
      <c r="Q393" s="49"/>
      <c r="R393" s="49"/>
      <c r="S393" s="49"/>
    </row>
    <row r="394">
      <c r="J394" s="83" t="str">
        <f t="shared" si="10"/>
        <v/>
      </c>
      <c r="K394" s="49" t="str">
        <f>IFERROR(__xludf.DUMMYFUNCTION("IF(M394=1,IFERROR(IMPORTXML(G394, ""//p[@class='status-date']""), ""Not deployed""),"""")"),"")</f>
        <v/>
      </c>
      <c r="L394" s="48"/>
      <c r="M394" s="48">
        <f t="shared" si="11"/>
        <v>0</v>
      </c>
      <c r="N394" s="49" t="str">
        <f>IFERROR(__xludf.DUMMYFUNCTION("split(G394,""/"")"),"#VALUE!")</f>
        <v>#VALUE!</v>
      </c>
      <c r="O394" s="50"/>
      <c r="P394" s="49"/>
      <c r="Q394" s="49"/>
      <c r="R394" s="49"/>
      <c r="S394" s="49"/>
    </row>
    <row r="395">
      <c r="J395" s="83" t="str">
        <f t="shared" si="10"/>
        <v/>
      </c>
      <c r="K395" s="49" t="str">
        <f>IFERROR(__xludf.DUMMYFUNCTION("IF(M395=1,IFERROR(IMPORTXML(G395, ""//p[@class='status-date']""), ""Not deployed""),"""")"),"")</f>
        <v/>
      </c>
      <c r="L395" s="48"/>
      <c r="M395" s="48">
        <f t="shared" si="11"/>
        <v>0</v>
      </c>
      <c r="N395" s="49" t="str">
        <f>IFERROR(__xludf.DUMMYFUNCTION("split(G395,""/"")"),"#VALUE!")</f>
        <v>#VALUE!</v>
      </c>
      <c r="O395" s="50"/>
      <c r="P395" s="49"/>
      <c r="Q395" s="49"/>
      <c r="R395" s="49"/>
      <c r="S395" s="49"/>
    </row>
    <row r="396">
      <c r="J396" s="83" t="str">
        <f t="shared" si="10"/>
        <v/>
      </c>
      <c r="K396" s="49" t="str">
        <f>IFERROR(__xludf.DUMMYFUNCTION("IF(M396=1,IFERROR(IMPORTXML(G396, ""//p[@class='status-date']""), ""Not deployed""),"""")"),"")</f>
        <v/>
      </c>
      <c r="L396" s="48"/>
      <c r="M396" s="48">
        <f t="shared" si="11"/>
        <v>0</v>
      </c>
      <c r="N396" s="49" t="str">
        <f>IFERROR(__xludf.DUMMYFUNCTION("split(G396,""/"")"),"#VALUE!")</f>
        <v>#VALUE!</v>
      </c>
      <c r="O396" s="50"/>
      <c r="P396" s="49"/>
      <c r="Q396" s="49"/>
      <c r="R396" s="49"/>
      <c r="S396" s="49"/>
    </row>
    <row r="397">
      <c r="J397" s="83" t="str">
        <f t="shared" si="10"/>
        <v/>
      </c>
      <c r="K397" s="49" t="str">
        <f>IFERROR(__xludf.DUMMYFUNCTION("IF(M397=1,IFERROR(IMPORTXML(G397, ""//p[@class='status-date']""), ""Not deployed""),"""")"),"")</f>
        <v/>
      </c>
      <c r="L397" s="48"/>
      <c r="M397" s="48">
        <f t="shared" si="11"/>
        <v>0</v>
      </c>
      <c r="N397" s="49" t="str">
        <f>IFERROR(__xludf.DUMMYFUNCTION("split(G397,""/"")"),"#VALUE!")</f>
        <v>#VALUE!</v>
      </c>
      <c r="O397" s="50"/>
      <c r="P397" s="49"/>
      <c r="Q397" s="49"/>
      <c r="R397" s="49"/>
      <c r="S397" s="49"/>
    </row>
    <row r="398">
      <c r="J398" s="83" t="str">
        <f t="shared" si="10"/>
        <v/>
      </c>
      <c r="K398" s="49" t="str">
        <f>IFERROR(__xludf.DUMMYFUNCTION("IF(M398=1,IFERROR(IMPORTXML(G398, ""//p[@class='status-date']""), ""Not deployed""),"""")"),"")</f>
        <v/>
      </c>
      <c r="L398" s="48"/>
      <c r="M398" s="48">
        <f t="shared" si="11"/>
        <v>0</v>
      </c>
      <c r="N398" s="49" t="str">
        <f>IFERROR(__xludf.DUMMYFUNCTION("split(G398,""/"")"),"#VALUE!")</f>
        <v>#VALUE!</v>
      </c>
      <c r="O398" s="50"/>
      <c r="P398" s="49"/>
      <c r="Q398" s="49"/>
      <c r="R398" s="49"/>
      <c r="S398" s="49"/>
    </row>
    <row r="399">
      <c r="J399" s="83" t="str">
        <f t="shared" si="10"/>
        <v/>
      </c>
      <c r="K399" s="49" t="str">
        <f>IFERROR(__xludf.DUMMYFUNCTION("IF(M399=1,IFERROR(IMPORTXML(G399, ""//p[@class='status-date']""), ""Not deployed""),"""")"),"")</f>
        <v/>
      </c>
      <c r="L399" s="48"/>
      <c r="M399" s="48">
        <f t="shared" si="11"/>
        <v>0</v>
      </c>
      <c r="N399" s="49" t="str">
        <f>IFERROR(__xludf.DUMMYFUNCTION("split(G399,""/"")"),"#VALUE!")</f>
        <v>#VALUE!</v>
      </c>
      <c r="O399" s="50"/>
      <c r="P399" s="49"/>
      <c r="Q399" s="49"/>
      <c r="R399" s="49"/>
      <c r="S399" s="49"/>
    </row>
    <row r="400">
      <c r="J400" s="83" t="str">
        <f t="shared" si="10"/>
        <v/>
      </c>
      <c r="K400" s="49" t="str">
        <f>IFERROR(__xludf.DUMMYFUNCTION("IF(M400=1,IFERROR(IMPORTXML(G400, ""//p[@class='status-date']""), ""Not deployed""),"""")"),"")</f>
        <v/>
      </c>
      <c r="L400" s="48"/>
      <c r="M400" s="48">
        <f t="shared" si="11"/>
        <v>0</v>
      </c>
      <c r="N400" s="49" t="str">
        <f>IFERROR(__xludf.DUMMYFUNCTION("split(G400,""/"")"),"#VALUE!")</f>
        <v>#VALUE!</v>
      </c>
      <c r="O400" s="50"/>
      <c r="P400" s="49"/>
      <c r="Q400" s="49"/>
      <c r="R400" s="49"/>
      <c r="S400" s="49"/>
    </row>
    <row r="401">
      <c r="J401" s="83" t="str">
        <f t="shared" si="10"/>
        <v/>
      </c>
      <c r="K401" s="49" t="str">
        <f>IFERROR(__xludf.DUMMYFUNCTION("IF(M401=1,IFERROR(IMPORTXML(G401, ""//p[@class='status-date']""), ""Not deployed""),"""")"),"")</f>
        <v/>
      </c>
      <c r="L401" s="48"/>
      <c r="M401" s="48">
        <f t="shared" si="11"/>
        <v>0</v>
      </c>
      <c r="N401" s="49" t="str">
        <f>IFERROR(__xludf.DUMMYFUNCTION("split(G401,""/"")"),"#VALUE!")</f>
        <v>#VALUE!</v>
      </c>
      <c r="O401" s="50"/>
      <c r="P401" s="49"/>
      <c r="Q401" s="49"/>
      <c r="R401" s="49"/>
      <c r="S401" s="49"/>
    </row>
    <row r="402">
      <c r="J402" s="83" t="str">
        <f t="shared" si="10"/>
        <v/>
      </c>
      <c r="K402" s="49" t="str">
        <f>IFERROR(__xludf.DUMMYFUNCTION("IF(M402=1,IFERROR(IMPORTXML(G402, ""//p[@class='status-date']""), ""Not deployed""),"""")"),"")</f>
        <v/>
      </c>
      <c r="L402" s="48"/>
      <c r="M402" s="48">
        <f t="shared" si="11"/>
        <v>0</v>
      </c>
      <c r="N402" s="49" t="str">
        <f>IFERROR(__xludf.DUMMYFUNCTION("split(G402,""/"")"),"#VALUE!")</f>
        <v>#VALUE!</v>
      </c>
      <c r="O402" s="50"/>
      <c r="P402" s="49"/>
      <c r="Q402" s="49"/>
      <c r="R402" s="49"/>
      <c r="S402" s="49"/>
    </row>
    <row r="403">
      <c r="J403" s="83" t="str">
        <f t="shared" si="10"/>
        <v/>
      </c>
      <c r="K403" s="49" t="str">
        <f>IFERROR(__xludf.DUMMYFUNCTION("IF(M403=1,IFERROR(IMPORTXML(G403, ""//p[@class='status-date']""), ""Not deployed""),"""")"),"")</f>
        <v/>
      </c>
      <c r="L403" s="48"/>
      <c r="M403" s="48">
        <f t="shared" si="11"/>
        <v>0</v>
      </c>
      <c r="N403" s="49" t="str">
        <f>IFERROR(__xludf.DUMMYFUNCTION("split(G403,""/"")"),"#VALUE!")</f>
        <v>#VALUE!</v>
      </c>
      <c r="O403" s="50"/>
      <c r="P403" s="49"/>
      <c r="Q403" s="49"/>
      <c r="R403" s="49"/>
      <c r="S403" s="49"/>
    </row>
    <row r="404">
      <c r="J404" s="83" t="str">
        <f t="shared" si="10"/>
        <v/>
      </c>
      <c r="K404" s="49" t="str">
        <f>IFERROR(__xludf.DUMMYFUNCTION("IF(M404=1,IFERROR(IMPORTXML(G404, ""//p[@class='status-date']""), ""Not deployed""),"""")"),"")</f>
        <v/>
      </c>
      <c r="L404" s="48"/>
      <c r="M404" s="48">
        <f t="shared" si="11"/>
        <v>0</v>
      </c>
      <c r="N404" s="49" t="str">
        <f>IFERROR(__xludf.DUMMYFUNCTION("split(G404,""/"")"),"#VALUE!")</f>
        <v>#VALUE!</v>
      </c>
      <c r="O404" s="50"/>
      <c r="P404" s="49"/>
      <c r="Q404" s="49"/>
      <c r="R404" s="49"/>
      <c r="S404" s="49"/>
    </row>
    <row r="405">
      <c r="J405" s="83" t="str">
        <f t="shared" si="10"/>
        <v/>
      </c>
      <c r="K405" s="49" t="str">
        <f>IFERROR(__xludf.DUMMYFUNCTION("IF(M405=1,IFERROR(IMPORTXML(G405, ""//p[@class='status-date']""), ""Not deployed""),"""")"),"")</f>
        <v/>
      </c>
      <c r="L405" s="48"/>
      <c r="M405" s="48">
        <f t="shared" si="11"/>
        <v>0</v>
      </c>
      <c r="N405" s="49" t="str">
        <f>IFERROR(__xludf.DUMMYFUNCTION("split(G405,""/"")"),"#VALUE!")</f>
        <v>#VALUE!</v>
      </c>
      <c r="O405" s="50"/>
      <c r="P405" s="49"/>
      <c r="Q405" s="49"/>
      <c r="R405" s="49"/>
      <c r="S405" s="49"/>
    </row>
    <row r="406">
      <c r="J406" s="83" t="str">
        <f t="shared" si="10"/>
        <v/>
      </c>
      <c r="K406" s="49" t="str">
        <f>IFERROR(__xludf.DUMMYFUNCTION("IF(M406=1,IFERROR(IMPORTXML(G406, ""//p[@class='status-date']""), ""Not deployed""),"""")"),"")</f>
        <v/>
      </c>
      <c r="L406" s="48"/>
      <c r="M406" s="48">
        <f t="shared" si="11"/>
        <v>0</v>
      </c>
      <c r="N406" s="49" t="str">
        <f>IFERROR(__xludf.DUMMYFUNCTION("split(G406,""/"")"),"#VALUE!")</f>
        <v>#VALUE!</v>
      </c>
      <c r="O406" s="50"/>
      <c r="P406" s="49"/>
      <c r="Q406" s="49"/>
      <c r="R406" s="49"/>
      <c r="S406" s="49"/>
    </row>
    <row r="407">
      <c r="J407" s="83" t="str">
        <f t="shared" si="10"/>
        <v/>
      </c>
      <c r="K407" s="49" t="str">
        <f>IFERROR(__xludf.DUMMYFUNCTION("IF(M407=1,IFERROR(IMPORTXML(G407, ""//p[@class='status-date']""), ""Not deployed""),"""")"),"")</f>
        <v/>
      </c>
      <c r="L407" s="48"/>
      <c r="M407" s="48">
        <f t="shared" si="11"/>
        <v>0</v>
      </c>
      <c r="N407" s="49" t="str">
        <f>IFERROR(__xludf.DUMMYFUNCTION("split(G407,""/"")"),"#VALUE!")</f>
        <v>#VALUE!</v>
      </c>
      <c r="O407" s="50"/>
      <c r="P407" s="49"/>
      <c r="Q407" s="49"/>
      <c r="R407" s="49"/>
      <c r="S407" s="49"/>
    </row>
    <row r="408">
      <c r="J408" s="83" t="str">
        <f t="shared" si="10"/>
        <v/>
      </c>
      <c r="K408" s="49" t="str">
        <f>IFERROR(__xludf.DUMMYFUNCTION("IF(M408=1,IFERROR(IMPORTXML(G408, ""//p[@class='status-date']""), ""Not deployed""),"""")"),"")</f>
        <v/>
      </c>
      <c r="L408" s="48"/>
      <c r="M408" s="48">
        <f t="shared" si="11"/>
        <v>0</v>
      </c>
      <c r="N408" s="49" t="str">
        <f>IFERROR(__xludf.DUMMYFUNCTION("split(G408,""/"")"),"#VALUE!")</f>
        <v>#VALUE!</v>
      </c>
      <c r="O408" s="50"/>
      <c r="P408" s="49"/>
      <c r="Q408" s="49"/>
      <c r="R408" s="49"/>
      <c r="S408" s="49"/>
    </row>
    <row r="409">
      <c r="J409" s="83" t="str">
        <f t="shared" si="10"/>
        <v/>
      </c>
      <c r="K409" s="49" t="str">
        <f>IFERROR(__xludf.DUMMYFUNCTION("IF(M409=1,IFERROR(IMPORTXML(G409, ""//p[@class='status-date']""), ""Not deployed""),"""")"),"")</f>
        <v/>
      </c>
      <c r="L409" s="48"/>
      <c r="M409" s="48">
        <f t="shared" si="11"/>
        <v>0</v>
      </c>
      <c r="N409" s="49" t="str">
        <f>IFERROR(__xludf.DUMMYFUNCTION("split(G409,""/"")"),"#VALUE!")</f>
        <v>#VALUE!</v>
      </c>
      <c r="O409" s="50"/>
      <c r="P409" s="49"/>
      <c r="Q409" s="49"/>
      <c r="R409" s="49"/>
      <c r="S409" s="49"/>
    </row>
    <row r="410">
      <c r="J410" s="83" t="str">
        <f t="shared" si="10"/>
        <v/>
      </c>
      <c r="K410" s="49" t="str">
        <f>IFERROR(__xludf.DUMMYFUNCTION("IF(M410=1,IFERROR(IMPORTXML(G410, ""//p[@class='status-date']""), ""Not deployed""),"""")"),"")</f>
        <v/>
      </c>
      <c r="L410" s="48"/>
      <c r="M410" s="48">
        <f t="shared" si="11"/>
        <v>0</v>
      </c>
      <c r="N410" s="49" t="str">
        <f>IFERROR(__xludf.DUMMYFUNCTION("split(G410,""/"")"),"#VALUE!")</f>
        <v>#VALUE!</v>
      </c>
      <c r="O410" s="50"/>
      <c r="P410" s="49"/>
      <c r="Q410" s="49"/>
      <c r="R410" s="49"/>
      <c r="S410" s="49"/>
    </row>
    <row r="411">
      <c r="J411" s="83" t="str">
        <f t="shared" si="10"/>
        <v/>
      </c>
      <c r="K411" s="49" t="str">
        <f>IFERROR(__xludf.DUMMYFUNCTION("IF(M411=1,IFERROR(IMPORTXML(G411, ""//p[@class='status-date']""), ""Not deployed""),"""")"),"")</f>
        <v/>
      </c>
      <c r="L411" s="48"/>
      <c r="M411" s="48">
        <f t="shared" si="11"/>
        <v>0</v>
      </c>
      <c r="N411" s="49" t="str">
        <f>IFERROR(__xludf.DUMMYFUNCTION("split(G411,""/"")"),"#VALUE!")</f>
        <v>#VALUE!</v>
      </c>
      <c r="O411" s="50"/>
      <c r="P411" s="49"/>
      <c r="Q411" s="49"/>
      <c r="R411" s="49"/>
      <c r="S411" s="49"/>
    </row>
    <row r="412">
      <c r="J412" s="83" t="str">
        <f t="shared" si="10"/>
        <v/>
      </c>
      <c r="K412" s="49" t="str">
        <f>IFERROR(__xludf.DUMMYFUNCTION("IF(M412=1,IFERROR(IMPORTXML(G412, ""//p[@class='status-date']""), ""Not deployed""),"""")"),"")</f>
        <v/>
      </c>
      <c r="L412" s="48"/>
      <c r="M412" s="48">
        <f t="shared" si="11"/>
        <v>0</v>
      </c>
      <c r="N412" s="49" t="str">
        <f>IFERROR(__xludf.DUMMYFUNCTION("split(G412,""/"")"),"#VALUE!")</f>
        <v>#VALUE!</v>
      </c>
      <c r="O412" s="50"/>
      <c r="P412" s="49"/>
      <c r="Q412" s="49"/>
      <c r="R412" s="49"/>
      <c r="S412" s="49"/>
    </row>
    <row r="413">
      <c r="J413" s="83" t="str">
        <f t="shared" si="10"/>
        <v/>
      </c>
      <c r="K413" s="49" t="str">
        <f>IFERROR(__xludf.DUMMYFUNCTION("IF(M413=1,IFERROR(IMPORTXML(G413, ""//p[@class='status-date']""), ""Not deployed""),"""")"),"")</f>
        <v/>
      </c>
      <c r="L413" s="48"/>
      <c r="M413" s="48">
        <f t="shared" si="11"/>
        <v>0</v>
      </c>
      <c r="N413" s="49" t="str">
        <f>IFERROR(__xludf.DUMMYFUNCTION("split(G413,""/"")"),"#VALUE!")</f>
        <v>#VALUE!</v>
      </c>
      <c r="O413" s="50"/>
      <c r="P413" s="49"/>
      <c r="Q413" s="49"/>
      <c r="R413" s="49"/>
      <c r="S413" s="49"/>
    </row>
    <row r="414">
      <c r="J414" s="83" t="str">
        <f t="shared" si="10"/>
        <v/>
      </c>
      <c r="K414" s="49" t="str">
        <f>IFERROR(__xludf.DUMMYFUNCTION("IF(M414=1,IFERROR(IMPORTXML(G414, ""//p[@class='status-date']""), ""Not deployed""),"""")"),"")</f>
        <v/>
      </c>
      <c r="L414" s="48"/>
      <c r="M414" s="48">
        <f t="shared" si="11"/>
        <v>0</v>
      </c>
      <c r="N414" s="49" t="str">
        <f>IFERROR(__xludf.DUMMYFUNCTION("split(G414,""/"")"),"#VALUE!")</f>
        <v>#VALUE!</v>
      </c>
      <c r="O414" s="50"/>
      <c r="P414" s="49"/>
      <c r="Q414" s="49"/>
      <c r="R414" s="49"/>
      <c r="S414" s="49"/>
    </row>
    <row r="415">
      <c r="J415" s="83" t="str">
        <f t="shared" si="10"/>
        <v/>
      </c>
      <c r="K415" s="49" t="str">
        <f>IFERROR(__xludf.DUMMYFUNCTION("IF(M415=1,IFERROR(IMPORTXML(G415, ""//p[@class='status-date']""), ""Not deployed""),"""")"),"")</f>
        <v/>
      </c>
      <c r="L415" s="48"/>
      <c r="M415" s="48">
        <f t="shared" si="11"/>
        <v>0</v>
      </c>
      <c r="N415" s="49" t="str">
        <f>IFERROR(__xludf.DUMMYFUNCTION("split(G415,""/"")"),"#VALUE!")</f>
        <v>#VALUE!</v>
      </c>
      <c r="O415" s="50"/>
      <c r="P415" s="49"/>
      <c r="Q415" s="49"/>
      <c r="R415" s="49"/>
      <c r="S415" s="49"/>
    </row>
    <row r="416">
      <c r="J416" s="83" t="str">
        <f t="shared" si="10"/>
        <v/>
      </c>
      <c r="K416" s="49" t="str">
        <f>IFERROR(__xludf.DUMMYFUNCTION("IF(M416=1,IFERROR(IMPORTXML(G416, ""//p[@class='status-date']""), ""Not deployed""),"""")"),"")</f>
        <v/>
      </c>
      <c r="L416" s="48"/>
      <c r="M416" s="48">
        <f t="shared" si="11"/>
        <v>0</v>
      </c>
      <c r="N416" s="49" t="str">
        <f>IFERROR(__xludf.DUMMYFUNCTION("split(G416,""/"")"),"#VALUE!")</f>
        <v>#VALUE!</v>
      </c>
      <c r="O416" s="50"/>
      <c r="P416" s="49"/>
      <c r="Q416" s="49"/>
      <c r="R416" s="49"/>
      <c r="S416" s="49"/>
    </row>
    <row r="417">
      <c r="J417" s="83" t="str">
        <f t="shared" si="10"/>
        <v/>
      </c>
      <c r="K417" s="49" t="str">
        <f>IFERROR(__xludf.DUMMYFUNCTION("IF(M417=1,IFERROR(IMPORTXML(G417, ""//p[@class='status-date']""), ""Not deployed""),"""")"),"")</f>
        <v/>
      </c>
      <c r="L417" s="48"/>
      <c r="M417" s="48">
        <f t="shared" si="11"/>
        <v>0</v>
      </c>
      <c r="N417" s="49" t="str">
        <f>IFERROR(__xludf.DUMMYFUNCTION("split(G417,""/"")"),"#VALUE!")</f>
        <v>#VALUE!</v>
      </c>
      <c r="O417" s="50"/>
      <c r="P417" s="49"/>
      <c r="Q417" s="49"/>
      <c r="R417" s="49"/>
      <c r="S417" s="49"/>
    </row>
    <row r="418">
      <c r="J418" s="83" t="str">
        <f t="shared" si="10"/>
        <v/>
      </c>
      <c r="K418" s="49" t="str">
        <f>IFERROR(__xludf.DUMMYFUNCTION("IF(M418=1,IFERROR(IMPORTXML(G418, ""//p[@class='status-date']""), ""Not deployed""),"""")"),"")</f>
        <v/>
      </c>
      <c r="L418" s="48"/>
      <c r="M418" s="48">
        <f t="shared" si="11"/>
        <v>0</v>
      </c>
      <c r="N418" s="49" t="str">
        <f>IFERROR(__xludf.DUMMYFUNCTION("split(G418,""/"")"),"#VALUE!")</f>
        <v>#VALUE!</v>
      </c>
      <c r="O418" s="57"/>
      <c r="P418" s="49"/>
      <c r="Q418" s="49"/>
      <c r="R418" s="49"/>
      <c r="S418" s="49"/>
    </row>
    <row r="419">
      <c r="J419" s="83" t="str">
        <f t="shared" si="10"/>
        <v/>
      </c>
      <c r="K419" s="49" t="str">
        <f>IFERROR(__xludf.DUMMYFUNCTION("IF(M419=1,IFERROR(IMPORTXML(G419, ""//p[@class='status-date']""), ""Not deployed""),"""")"),"")</f>
        <v/>
      </c>
      <c r="L419" s="48"/>
      <c r="M419" s="48">
        <f t="shared" si="11"/>
        <v>0</v>
      </c>
      <c r="N419" s="49" t="str">
        <f>IFERROR(__xludf.DUMMYFUNCTION("split(G419,""/"")"),"#VALUE!")</f>
        <v>#VALUE!</v>
      </c>
      <c r="O419" s="50"/>
      <c r="P419" s="49"/>
      <c r="Q419" s="49"/>
      <c r="R419" s="49"/>
      <c r="S419" s="49"/>
    </row>
    <row r="420">
      <c r="J420" s="83" t="str">
        <f t="shared" si="10"/>
        <v/>
      </c>
      <c r="K420" s="49" t="str">
        <f>IFERROR(__xludf.DUMMYFUNCTION("IF(M420=1,IFERROR(IMPORTXML(G420, ""//p[@class='status-date']""), ""Not deployed""),"""")"),"")</f>
        <v/>
      </c>
      <c r="L420" s="48"/>
      <c r="M420" s="48">
        <f t="shared" si="11"/>
        <v>0</v>
      </c>
      <c r="N420" s="49" t="str">
        <f>IFERROR(__xludf.DUMMYFUNCTION("split(G420,""/"")"),"#VALUE!")</f>
        <v>#VALUE!</v>
      </c>
      <c r="O420" s="50"/>
      <c r="P420" s="49"/>
      <c r="Q420" s="49"/>
      <c r="R420" s="49"/>
      <c r="S420" s="49"/>
    </row>
    <row r="421">
      <c r="J421" s="83" t="str">
        <f t="shared" si="10"/>
        <v/>
      </c>
      <c r="K421" s="49" t="str">
        <f>IFERROR(__xludf.DUMMYFUNCTION("IF(M421=1,IFERROR(IMPORTXML(G421, ""//p[@class='status-date']""), ""Not deployed""),"""")"),"")</f>
        <v/>
      </c>
      <c r="L421" s="48"/>
      <c r="M421" s="48">
        <f t="shared" si="11"/>
        <v>0</v>
      </c>
      <c r="N421" s="49" t="str">
        <f>IFERROR(__xludf.DUMMYFUNCTION("split(G421,""/"")"),"#VALUE!")</f>
        <v>#VALUE!</v>
      </c>
      <c r="O421" s="50"/>
      <c r="P421" s="49"/>
      <c r="Q421" s="49"/>
      <c r="R421" s="49"/>
      <c r="S421" s="49"/>
    </row>
    <row r="422">
      <c r="J422" s="83" t="str">
        <f t="shared" si="10"/>
        <v/>
      </c>
      <c r="K422" s="49" t="str">
        <f>IFERROR(__xludf.DUMMYFUNCTION("IF(M422=1,IFERROR(IMPORTXML(G422, ""//p[@class='status-date']""), ""Not deployed""),"""")"),"")</f>
        <v/>
      </c>
      <c r="L422" s="48"/>
      <c r="M422" s="48">
        <f t="shared" si="11"/>
        <v>0</v>
      </c>
      <c r="N422" s="49" t="str">
        <f>IFERROR(__xludf.DUMMYFUNCTION("split(G422,""/"")"),"#VALUE!")</f>
        <v>#VALUE!</v>
      </c>
      <c r="O422" s="50"/>
      <c r="P422" s="49"/>
      <c r="Q422" s="49"/>
      <c r="R422" s="49"/>
      <c r="S422" s="49"/>
    </row>
    <row r="423">
      <c r="J423" s="83" t="str">
        <f t="shared" si="10"/>
        <v/>
      </c>
      <c r="K423" s="49" t="str">
        <f>IFERROR(__xludf.DUMMYFUNCTION("IF(M423=1,IFERROR(IMPORTXML(G423, ""//p[@class='status-date']""), ""Not deployed""),"""")"),"")</f>
        <v/>
      </c>
      <c r="L423" s="48"/>
      <c r="M423" s="48">
        <f t="shared" si="11"/>
        <v>0</v>
      </c>
      <c r="N423" s="49" t="str">
        <f>IFERROR(__xludf.DUMMYFUNCTION("split(G423,""/"")"),"#VALUE!")</f>
        <v>#VALUE!</v>
      </c>
      <c r="O423" s="50"/>
      <c r="P423" s="49"/>
      <c r="Q423" s="49"/>
      <c r="R423" s="49"/>
      <c r="S423" s="49"/>
    </row>
    <row r="424">
      <c r="J424" s="83" t="str">
        <f t="shared" si="10"/>
        <v/>
      </c>
      <c r="K424" s="49" t="str">
        <f>IFERROR(__xludf.DUMMYFUNCTION("IF(M424=1,IFERROR(IMPORTXML(G424, ""//p[@class='status-date']""), ""Not deployed""),"""")"),"")</f>
        <v/>
      </c>
      <c r="L424" s="48"/>
      <c r="M424" s="48">
        <f t="shared" si="11"/>
        <v>0</v>
      </c>
      <c r="N424" s="49" t="str">
        <f>IFERROR(__xludf.DUMMYFUNCTION("split(G424,""/"")"),"#VALUE!")</f>
        <v>#VALUE!</v>
      </c>
      <c r="O424" s="50"/>
      <c r="P424" s="49"/>
      <c r="Q424" s="49"/>
      <c r="R424" s="49"/>
      <c r="S424" s="49"/>
    </row>
    <row r="425">
      <c r="J425" s="83" t="str">
        <f t="shared" si="10"/>
        <v/>
      </c>
      <c r="K425" s="49" t="str">
        <f>IFERROR(__xludf.DUMMYFUNCTION("IF(M425=1,IFERROR(IMPORTXML(G425, ""//p[@class='status-date']""), ""Not deployed""),"""")"),"")</f>
        <v/>
      </c>
      <c r="L425" s="48"/>
      <c r="M425" s="48">
        <f t="shared" si="11"/>
        <v>0</v>
      </c>
      <c r="N425" s="49" t="str">
        <f>IFERROR(__xludf.DUMMYFUNCTION("split(G425,""/"")"),"#VALUE!")</f>
        <v>#VALUE!</v>
      </c>
      <c r="O425" s="50"/>
      <c r="P425" s="49"/>
      <c r="Q425" s="49"/>
      <c r="R425" s="49"/>
      <c r="S425" s="49"/>
    </row>
    <row r="426">
      <c r="J426" s="83" t="str">
        <f t="shared" si="10"/>
        <v/>
      </c>
      <c r="K426" s="49" t="str">
        <f>IFERROR(__xludf.DUMMYFUNCTION("IF(M426=1,IFERROR(IMPORTXML(G426, ""//p[@class='status-date']""), ""Not deployed""),"""")"),"")</f>
        <v/>
      </c>
      <c r="L426" s="48"/>
      <c r="M426" s="48">
        <f t="shared" si="11"/>
        <v>0</v>
      </c>
      <c r="N426" s="49" t="str">
        <f>IFERROR(__xludf.DUMMYFUNCTION("split(G426,""/"")"),"#VALUE!")</f>
        <v>#VALUE!</v>
      </c>
      <c r="O426" s="50"/>
      <c r="P426" s="49"/>
      <c r="Q426" s="49"/>
      <c r="R426" s="49"/>
      <c r="S426" s="49"/>
    </row>
    <row r="427">
      <c r="J427" s="83" t="str">
        <f t="shared" si="10"/>
        <v/>
      </c>
      <c r="K427" s="49" t="str">
        <f>IFERROR(__xludf.DUMMYFUNCTION("IF(M427=1,IFERROR(IMPORTXML(G427, ""//p[@class='status-date']""), ""Not deployed""),"""")"),"")</f>
        <v/>
      </c>
      <c r="L427" s="48"/>
      <c r="M427" s="48">
        <f t="shared" si="11"/>
        <v>0</v>
      </c>
      <c r="N427" s="49" t="str">
        <f>IFERROR(__xludf.DUMMYFUNCTION("split(G427,""/"")"),"#VALUE!")</f>
        <v>#VALUE!</v>
      </c>
      <c r="O427" s="50"/>
      <c r="P427" s="49"/>
      <c r="Q427" s="49"/>
      <c r="R427" s="49"/>
      <c r="S427" s="49"/>
    </row>
    <row r="428">
      <c r="J428" s="83"/>
    </row>
    <row r="429">
      <c r="J429" s="83"/>
    </row>
    <row r="430">
      <c r="J430" s="83"/>
    </row>
    <row r="431">
      <c r="J431" s="83"/>
    </row>
    <row r="432">
      <c r="J432" s="83"/>
    </row>
    <row r="433">
      <c r="J433" s="83"/>
    </row>
    <row r="434">
      <c r="J434" s="83"/>
    </row>
    <row r="435">
      <c r="J435" s="83"/>
    </row>
    <row r="436">
      <c r="J436" s="83"/>
    </row>
    <row r="437">
      <c r="J437" s="83"/>
    </row>
    <row r="438">
      <c r="J438" s="83"/>
    </row>
    <row r="439">
      <c r="J439" s="83"/>
    </row>
    <row r="440">
      <c r="J440" s="83"/>
    </row>
    <row r="441">
      <c r="J441" s="83"/>
    </row>
    <row r="442">
      <c r="J442" s="83"/>
    </row>
    <row r="443">
      <c r="J443" s="83"/>
    </row>
    <row r="444">
      <c r="J444" s="83"/>
    </row>
    <row r="445">
      <c r="J445" s="83"/>
    </row>
    <row r="446">
      <c r="J446" s="83"/>
    </row>
    <row r="447">
      <c r="J447" s="83"/>
    </row>
    <row r="448">
      <c r="J448" s="83"/>
    </row>
    <row r="449">
      <c r="J449" s="83"/>
    </row>
    <row r="450">
      <c r="J450" s="83"/>
    </row>
    <row r="451">
      <c r="J451" s="83"/>
    </row>
    <row r="452">
      <c r="J452" s="83"/>
    </row>
    <row r="453">
      <c r="J453" s="83"/>
    </row>
    <row r="454">
      <c r="J454" s="83"/>
    </row>
    <row r="455">
      <c r="J455" s="83"/>
    </row>
    <row r="456">
      <c r="J456" s="83"/>
    </row>
    <row r="457">
      <c r="J457" s="83"/>
    </row>
    <row r="458">
      <c r="J458" s="83"/>
    </row>
    <row r="459">
      <c r="J459" s="83"/>
    </row>
    <row r="460">
      <c r="J460" s="83"/>
    </row>
    <row r="461">
      <c r="J461" s="100"/>
      <c r="K461" s="5"/>
      <c r="L461" s="5"/>
      <c r="M461" s="5"/>
      <c r="N461" s="5"/>
      <c r="O461" s="5"/>
      <c r="P461" s="5"/>
      <c r="Q461" s="5"/>
      <c r="R461" s="5"/>
      <c r="S461" s="5"/>
    </row>
    <row r="462">
      <c r="J462" s="100"/>
      <c r="K462" s="5"/>
      <c r="L462" s="5"/>
      <c r="M462" s="5"/>
      <c r="N462" s="5"/>
      <c r="O462" s="5"/>
      <c r="P462" s="5"/>
      <c r="Q462" s="5"/>
      <c r="R462" s="5"/>
      <c r="S462" s="5"/>
    </row>
    <row r="463">
      <c r="J463" s="100"/>
      <c r="K463" s="5"/>
      <c r="L463" s="5"/>
      <c r="M463" s="5"/>
      <c r="N463" s="5"/>
      <c r="O463" s="5"/>
      <c r="P463" s="5"/>
      <c r="Q463" s="5"/>
      <c r="R463" s="5"/>
      <c r="S463" s="5"/>
    </row>
    <row r="464">
      <c r="J464" s="100"/>
      <c r="K464" s="5"/>
      <c r="L464" s="5"/>
      <c r="M464" s="5"/>
      <c r="N464" s="5"/>
      <c r="O464" s="5"/>
      <c r="P464" s="5"/>
      <c r="Q464" s="5"/>
      <c r="R464" s="5"/>
      <c r="S464" s="5"/>
    </row>
    <row r="465">
      <c r="J465" s="102"/>
      <c r="K465" s="40"/>
      <c r="L465" s="40"/>
      <c r="M465" s="40"/>
      <c r="N465" s="40"/>
      <c r="O465" s="40"/>
      <c r="P465" s="40"/>
      <c r="Q465" s="40"/>
      <c r="R465" s="40"/>
      <c r="S465" s="40"/>
    </row>
    <row r="466">
      <c r="J466" s="83"/>
    </row>
    <row r="467">
      <c r="J467" s="103"/>
      <c r="K467" s="41" t="s">
        <v>94</v>
      </c>
      <c r="L467" s="41" t="s">
        <v>95</v>
      </c>
      <c r="M467" s="41" t="s">
        <v>96</v>
      </c>
      <c r="N467" s="42" t="s">
        <v>97</v>
      </c>
    </row>
    <row r="468">
      <c r="J468" s="83" t="str">
        <f t="shared" ref="J468:J519" si="12">if(I468=true,"",S468)</f>
        <v/>
      </c>
      <c r="K468" s="49" t="str">
        <f>IFERROR(__xludf.DUMMYFUNCTION("IF(M468=1,IFERROR(IMPORTXML(G468, ""//p[@class='status-date']""), ""Not deployed""),"""")"),"")</f>
        <v/>
      </c>
      <c r="L468" s="48"/>
      <c r="M468" s="48">
        <f t="shared" ref="M468:M519" si="13">if(I468=TRUE,2,IF(ISTEXT(G468),1,0))</f>
        <v>0</v>
      </c>
      <c r="N468" s="49" t="str">
        <f>IFERROR(__xludf.DUMMYFUNCTION("split(G468,""/"")"),"#VALUE!")</f>
        <v>#VALUE!</v>
      </c>
      <c r="O468" s="50"/>
      <c r="P468" s="49"/>
      <c r="Q468" s="49"/>
      <c r="R468" s="49"/>
      <c r="S468" s="49"/>
    </row>
    <row r="469">
      <c r="J469" s="83" t="str">
        <f t="shared" si="12"/>
        <v/>
      </c>
      <c r="K469" s="49" t="str">
        <f>IFERROR(__xludf.DUMMYFUNCTION("IF(M469=1,IFERROR(IMPORTXML(G469, ""//p[@class='status-date']""), ""Not deployed""),"""")"),"")</f>
        <v/>
      </c>
      <c r="L469" s="48"/>
      <c r="M469" s="48">
        <f t="shared" si="13"/>
        <v>0</v>
      </c>
      <c r="N469" s="49" t="str">
        <f>IFERROR(__xludf.DUMMYFUNCTION("split(G469,""/"")"),"#VALUE!")</f>
        <v>#VALUE!</v>
      </c>
      <c r="O469" s="50"/>
      <c r="P469" s="49"/>
      <c r="Q469" s="49"/>
      <c r="R469" s="49"/>
      <c r="S469" s="49"/>
    </row>
    <row r="470">
      <c r="J470" s="83" t="str">
        <f t="shared" si="12"/>
        <v/>
      </c>
      <c r="K470" s="49" t="str">
        <f>IFERROR(__xludf.DUMMYFUNCTION("IF(M470=1,IFERROR(IMPORTXML(G470, ""//p[@class='status-date']""), ""Not deployed""),"""")"),"")</f>
        <v/>
      </c>
      <c r="L470" s="48"/>
      <c r="M470" s="48">
        <f t="shared" si="13"/>
        <v>0</v>
      </c>
      <c r="N470" s="49" t="str">
        <f>IFERROR(__xludf.DUMMYFUNCTION("split(G470,""/"")"),"#VALUE!")</f>
        <v>#VALUE!</v>
      </c>
      <c r="O470" s="50"/>
      <c r="P470" s="49"/>
      <c r="Q470" s="49"/>
      <c r="R470" s="49"/>
      <c r="S470" s="49"/>
    </row>
    <row r="471">
      <c r="J471" s="83" t="str">
        <f t="shared" si="12"/>
        <v/>
      </c>
      <c r="K471" s="49" t="str">
        <f>IFERROR(__xludf.DUMMYFUNCTION("IF(M471=1,IFERROR(IMPORTXML(G471, ""//p[@class='status-date']""), ""Not deployed""),"""")"),"")</f>
        <v/>
      </c>
      <c r="L471" s="48"/>
      <c r="M471" s="48">
        <f t="shared" si="13"/>
        <v>0</v>
      </c>
      <c r="N471" s="49" t="str">
        <f>IFERROR(__xludf.DUMMYFUNCTION("split(G471,""/"")"),"#VALUE!")</f>
        <v>#VALUE!</v>
      </c>
      <c r="O471" s="50"/>
      <c r="P471" s="49"/>
      <c r="Q471" s="49"/>
      <c r="R471" s="49"/>
      <c r="S471" s="49"/>
    </row>
    <row r="472">
      <c r="J472" s="83" t="str">
        <f t="shared" si="12"/>
        <v/>
      </c>
      <c r="K472" s="49" t="str">
        <f>IFERROR(__xludf.DUMMYFUNCTION("IF(M472=1,IFERROR(IMPORTXML(G472, ""//p[@class='status-date']""), ""Not deployed""),"""")"),"")</f>
        <v/>
      </c>
      <c r="L472" s="48"/>
      <c r="M472" s="48">
        <f t="shared" si="13"/>
        <v>0</v>
      </c>
      <c r="N472" s="49" t="str">
        <f>IFERROR(__xludf.DUMMYFUNCTION("split(G472,""/"")"),"#VALUE!")</f>
        <v>#VALUE!</v>
      </c>
      <c r="O472" s="50"/>
      <c r="P472" s="49"/>
      <c r="Q472" s="49"/>
      <c r="R472" s="49"/>
      <c r="S472" s="49"/>
    </row>
    <row r="473">
      <c r="J473" s="83" t="str">
        <f t="shared" si="12"/>
        <v/>
      </c>
      <c r="K473" s="49" t="str">
        <f>IFERROR(__xludf.DUMMYFUNCTION("IF(M473=1,IFERROR(IMPORTXML(G473, ""//p[@class='status-date']""), ""Not deployed""),"""")"),"")</f>
        <v/>
      </c>
      <c r="L473" s="48"/>
      <c r="M473" s="48">
        <f t="shared" si="13"/>
        <v>0</v>
      </c>
      <c r="N473" s="49" t="str">
        <f>IFERROR(__xludf.DUMMYFUNCTION("split(G473,""/"")"),"#VALUE!")</f>
        <v>#VALUE!</v>
      </c>
      <c r="O473" s="50"/>
      <c r="P473" s="49"/>
      <c r="Q473" s="49"/>
      <c r="R473" s="49"/>
      <c r="S473" s="49"/>
    </row>
    <row r="474">
      <c r="J474" s="83" t="str">
        <f t="shared" si="12"/>
        <v/>
      </c>
      <c r="K474" s="49" t="str">
        <f>IFERROR(__xludf.DUMMYFUNCTION("IF(M474=1,IFERROR(IMPORTXML(G474, ""//p[@class='status-date']""), ""Not deployed""),"""")"),"")</f>
        <v/>
      </c>
      <c r="L474" s="48"/>
      <c r="M474" s="48">
        <f t="shared" si="13"/>
        <v>0</v>
      </c>
      <c r="N474" s="49" t="str">
        <f>IFERROR(__xludf.DUMMYFUNCTION("split(G474,""/"")"),"#VALUE!")</f>
        <v>#VALUE!</v>
      </c>
      <c r="O474" s="50"/>
      <c r="P474" s="49"/>
      <c r="Q474" s="49"/>
      <c r="R474" s="49"/>
      <c r="S474" s="49"/>
    </row>
    <row r="475">
      <c r="J475" s="83" t="str">
        <f t="shared" si="12"/>
        <v/>
      </c>
      <c r="K475" s="49" t="str">
        <f>IFERROR(__xludf.DUMMYFUNCTION("IF(M475=1,IFERROR(IMPORTXML(G475, ""//p[@class='status-date']""), ""Not deployed""),"""")"),"")</f>
        <v/>
      </c>
      <c r="L475" s="48"/>
      <c r="M475" s="48">
        <f t="shared" si="13"/>
        <v>0</v>
      </c>
      <c r="N475" s="49" t="str">
        <f>IFERROR(__xludf.DUMMYFUNCTION("split(G475,""/"")"),"#VALUE!")</f>
        <v>#VALUE!</v>
      </c>
      <c r="O475" s="50"/>
      <c r="P475" s="49"/>
      <c r="Q475" s="49"/>
      <c r="R475" s="49"/>
      <c r="S475" s="49"/>
    </row>
    <row r="476">
      <c r="J476" s="83" t="str">
        <f t="shared" si="12"/>
        <v/>
      </c>
      <c r="K476" s="49" t="str">
        <f>IFERROR(__xludf.DUMMYFUNCTION("IF(M476=1,IFERROR(IMPORTXML(G476, ""//p[@class='status-date']""), ""Not deployed""),"""")"),"")</f>
        <v/>
      </c>
      <c r="L476" s="48"/>
      <c r="M476" s="48">
        <f t="shared" si="13"/>
        <v>0</v>
      </c>
      <c r="N476" s="49" t="str">
        <f>IFERROR(__xludf.DUMMYFUNCTION("split(G476,""/"")"),"#VALUE!")</f>
        <v>#VALUE!</v>
      </c>
      <c r="O476" s="50"/>
      <c r="P476" s="49"/>
      <c r="Q476" s="49"/>
      <c r="R476" s="49"/>
      <c r="S476" s="49"/>
    </row>
    <row r="477">
      <c r="J477" s="83" t="str">
        <f t="shared" si="12"/>
        <v/>
      </c>
      <c r="K477" s="49" t="str">
        <f>IFERROR(__xludf.DUMMYFUNCTION("IF(M477=1,IFERROR(IMPORTXML(G477, ""//p[@class='status-date']""), ""Not deployed""),"""")"),"")</f>
        <v/>
      </c>
      <c r="L477" s="48"/>
      <c r="M477" s="48">
        <f t="shared" si="13"/>
        <v>0</v>
      </c>
      <c r="N477" s="49" t="str">
        <f>IFERROR(__xludf.DUMMYFUNCTION("split(G477,""/"")"),"#VALUE!")</f>
        <v>#VALUE!</v>
      </c>
      <c r="O477" s="50"/>
      <c r="P477" s="49"/>
      <c r="Q477" s="49"/>
      <c r="R477" s="49"/>
      <c r="S477" s="49"/>
    </row>
    <row r="478">
      <c r="J478" s="83" t="str">
        <f t="shared" si="12"/>
        <v/>
      </c>
      <c r="K478" s="49" t="str">
        <f>IFERROR(__xludf.DUMMYFUNCTION("IF(M478=1,IFERROR(IMPORTXML(G478, ""//p[@class='status-date']""), ""Not deployed""),"""")"),"")</f>
        <v/>
      </c>
      <c r="L478" s="48"/>
      <c r="M478" s="48">
        <f t="shared" si="13"/>
        <v>0</v>
      </c>
      <c r="N478" s="49" t="str">
        <f>IFERROR(__xludf.DUMMYFUNCTION("split(G478,""/"")"),"#VALUE!")</f>
        <v>#VALUE!</v>
      </c>
      <c r="O478" s="50"/>
      <c r="P478" s="49"/>
      <c r="Q478" s="49"/>
      <c r="R478" s="49"/>
      <c r="S478" s="49"/>
    </row>
    <row r="479">
      <c r="J479" s="83" t="str">
        <f t="shared" si="12"/>
        <v/>
      </c>
      <c r="K479" s="49" t="str">
        <f>IFERROR(__xludf.DUMMYFUNCTION("IF(M479=1,IFERROR(IMPORTXML(G479, ""//p[@class='status-date']""), ""Not deployed""),"""")"),"")</f>
        <v/>
      </c>
      <c r="L479" s="48"/>
      <c r="M479" s="48">
        <f t="shared" si="13"/>
        <v>0</v>
      </c>
      <c r="N479" s="49" t="str">
        <f>IFERROR(__xludf.DUMMYFUNCTION("split(G479,""/"")"),"#VALUE!")</f>
        <v>#VALUE!</v>
      </c>
      <c r="O479" s="50"/>
      <c r="P479" s="49"/>
      <c r="Q479" s="49"/>
      <c r="R479" s="49"/>
      <c r="S479" s="49"/>
    </row>
    <row r="480">
      <c r="J480" s="83" t="str">
        <f t="shared" si="12"/>
        <v/>
      </c>
      <c r="K480" s="49" t="str">
        <f>IFERROR(__xludf.DUMMYFUNCTION("IF(M480=1,IFERROR(IMPORTXML(G480, ""//p[@class='status-date']""), ""Not deployed""),"""")"),"")</f>
        <v/>
      </c>
      <c r="L480" s="48"/>
      <c r="M480" s="48">
        <f t="shared" si="13"/>
        <v>0</v>
      </c>
      <c r="N480" s="49" t="str">
        <f>IFERROR(__xludf.DUMMYFUNCTION("split(G480,""/"")"),"#VALUE!")</f>
        <v>#VALUE!</v>
      </c>
      <c r="O480" s="50"/>
      <c r="P480" s="49"/>
      <c r="Q480" s="49"/>
      <c r="R480" s="49"/>
      <c r="S480" s="49"/>
    </row>
    <row r="481">
      <c r="J481" s="83" t="str">
        <f t="shared" si="12"/>
        <v/>
      </c>
      <c r="K481" s="49" t="str">
        <f>IFERROR(__xludf.DUMMYFUNCTION("IF(M481=1,IFERROR(IMPORTXML(G481, ""//p[@class='status-date']""), ""Not deployed""),"""")"),"")</f>
        <v/>
      </c>
      <c r="L481" s="48"/>
      <c r="M481" s="48">
        <f t="shared" si="13"/>
        <v>0</v>
      </c>
      <c r="N481" s="49" t="str">
        <f>IFERROR(__xludf.DUMMYFUNCTION("split(G481,""/"")"),"#VALUE!")</f>
        <v>#VALUE!</v>
      </c>
      <c r="O481" s="50"/>
      <c r="P481" s="49"/>
      <c r="Q481" s="49"/>
      <c r="R481" s="49"/>
      <c r="S481" s="49"/>
    </row>
    <row r="482">
      <c r="J482" s="83" t="str">
        <f t="shared" si="12"/>
        <v/>
      </c>
      <c r="K482" s="49" t="str">
        <f>IFERROR(__xludf.DUMMYFUNCTION("IF(M482=1,IFERROR(IMPORTXML(G482, ""//p[@class='status-date']""), ""Not deployed""),"""")"),"")</f>
        <v/>
      </c>
      <c r="L482" s="48"/>
      <c r="M482" s="48">
        <f t="shared" si="13"/>
        <v>0</v>
      </c>
      <c r="N482" s="49" t="str">
        <f>IFERROR(__xludf.DUMMYFUNCTION("split(G482,""/"")"),"#VALUE!")</f>
        <v>#VALUE!</v>
      </c>
      <c r="O482" s="50"/>
      <c r="P482" s="49"/>
      <c r="Q482" s="49"/>
      <c r="R482" s="49"/>
      <c r="S482" s="49"/>
    </row>
    <row r="483">
      <c r="J483" s="83" t="str">
        <f t="shared" si="12"/>
        <v/>
      </c>
      <c r="K483" s="49" t="str">
        <f>IFERROR(__xludf.DUMMYFUNCTION("IF(M483=1,IFERROR(IMPORTXML(G483, ""//p[@class='status-date']""), ""Not deployed""),"""")"),"")</f>
        <v/>
      </c>
      <c r="L483" s="48"/>
      <c r="M483" s="48">
        <f t="shared" si="13"/>
        <v>0</v>
      </c>
      <c r="N483" s="49" t="str">
        <f>IFERROR(__xludf.DUMMYFUNCTION("split(G483,""/"")"),"#VALUE!")</f>
        <v>#VALUE!</v>
      </c>
      <c r="O483" s="50"/>
      <c r="P483" s="49"/>
      <c r="Q483" s="49"/>
      <c r="R483" s="49"/>
      <c r="S483" s="49"/>
    </row>
    <row r="484">
      <c r="J484" s="83" t="str">
        <f t="shared" si="12"/>
        <v/>
      </c>
      <c r="K484" s="49" t="str">
        <f>IFERROR(__xludf.DUMMYFUNCTION("IF(M484=1,IFERROR(IMPORTXML(G484, ""//p[@class='status-date']""), ""Not deployed""),"""")"),"")</f>
        <v/>
      </c>
      <c r="L484" s="48"/>
      <c r="M484" s="48">
        <f t="shared" si="13"/>
        <v>0</v>
      </c>
      <c r="N484" s="49" t="str">
        <f>IFERROR(__xludf.DUMMYFUNCTION("split(G484,""/"")"),"#VALUE!")</f>
        <v>#VALUE!</v>
      </c>
      <c r="O484" s="50"/>
      <c r="P484" s="49"/>
      <c r="Q484" s="49"/>
      <c r="R484" s="49"/>
      <c r="S484" s="49"/>
    </row>
    <row r="485">
      <c r="J485" s="83" t="str">
        <f t="shared" si="12"/>
        <v/>
      </c>
      <c r="K485" s="49" t="str">
        <f>IFERROR(__xludf.DUMMYFUNCTION("IF(M485=1,IFERROR(IMPORTXML(G485, ""//p[@class='status-date']""), ""Not deployed""),"""")"),"")</f>
        <v/>
      </c>
      <c r="L485" s="48"/>
      <c r="M485" s="48">
        <f t="shared" si="13"/>
        <v>0</v>
      </c>
      <c r="N485" s="49" t="str">
        <f>IFERROR(__xludf.DUMMYFUNCTION("split(G485,""/"")"),"#VALUE!")</f>
        <v>#VALUE!</v>
      </c>
      <c r="O485" s="50"/>
      <c r="P485" s="49"/>
      <c r="Q485" s="49"/>
      <c r="R485" s="49"/>
      <c r="S485" s="49"/>
    </row>
    <row r="486">
      <c r="J486" s="83" t="str">
        <f t="shared" si="12"/>
        <v/>
      </c>
      <c r="K486" s="49" t="str">
        <f>IFERROR(__xludf.DUMMYFUNCTION("IF(M486=1,IFERROR(IMPORTXML(G486, ""//p[@class='status-date']""), ""Not deployed""),"""")"),"")</f>
        <v/>
      </c>
      <c r="L486" s="48"/>
      <c r="M486" s="48">
        <f t="shared" si="13"/>
        <v>0</v>
      </c>
      <c r="N486" s="49" t="str">
        <f>IFERROR(__xludf.DUMMYFUNCTION("split(G486,""/"")"),"#VALUE!")</f>
        <v>#VALUE!</v>
      </c>
      <c r="O486" s="50"/>
      <c r="P486" s="49"/>
      <c r="Q486" s="49"/>
      <c r="R486" s="49"/>
      <c r="S486" s="49"/>
    </row>
    <row r="487">
      <c r="J487" s="83" t="str">
        <f t="shared" si="12"/>
        <v/>
      </c>
      <c r="K487" s="49" t="str">
        <f>IFERROR(__xludf.DUMMYFUNCTION("IF(M487=1,IFERROR(IMPORTXML(G487, ""//p[@class='status-date']""), ""Not deployed""),"""")"),"")</f>
        <v/>
      </c>
      <c r="L487" s="48"/>
      <c r="M487" s="48">
        <f t="shared" si="13"/>
        <v>0</v>
      </c>
      <c r="N487" s="49" t="str">
        <f>IFERROR(__xludf.DUMMYFUNCTION("split(G487,""/"")"),"#VALUE!")</f>
        <v>#VALUE!</v>
      </c>
      <c r="O487" s="50"/>
      <c r="P487" s="49"/>
      <c r="Q487" s="49"/>
      <c r="R487" s="49"/>
      <c r="S487" s="49"/>
    </row>
    <row r="488">
      <c r="J488" s="83" t="str">
        <f t="shared" si="12"/>
        <v/>
      </c>
      <c r="K488" s="49" t="str">
        <f>IFERROR(__xludf.DUMMYFUNCTION("IF(M488=1,IFERROR(IMPORTXML(G488, ""//p[@class='status-date']""), ""Not deployed""),"""")"),"")</f>
        <v/>
      </c>
      <c r="L488" s="48"/>
      <c r="M488" s="48">
        <f t="shared" si="13"/>
        <v>0</v>
      </c>
      <c r="N488" s="49" t="str">
        <f>IFERROR(__xludf.DUMMYFUNCTION("split(G488,""/"")"),"#VALUE!")</f>
        <v>#VALUE!</v>
      </c>
      <c r="O488" s="50"/>
      <c r="P488" s="49"/>
      <c r="Q488" s="49"/>
      <c r="R488" s="49"/>
      <c r="S488" s="49"/>
    </row>
    <row r="489">
      <c r="J489" s="83" t="str">
        <f t="shared" si="12"/>
        <v/>
      </c>
      <c r="K489" s="49" t="str">
        <f>IFERROR(__xludf.DUMMYFUNCTION("IF(M489=1,IFERROR(IMPORTXML(G489, ""//p[@class='status-date']""), ""Not deployed""),"""")"),"")</f>
        <v/>
      </c>
      <c r="L489" s="48"/>
      <c r="M489" s="48">
        <f t="shared" si="13"/>
        <v>0</v>
      </c>
      <c r="N489" s="49" t="str">
        <f>IFERROR(__xludf.DUMMYFUNCTION("split(G489,""/"")"),"#VALUE!")</f>
        <v>#VALUE!</v>
      </c>
      <c r="O489" s="50"/>
      <c r="P489" s="49"/>
      <c r="Q489" s="49"/>
      <c r="R489" s="49"/>
      <c r="S489" s="49"/>
    </row>
    <row r="490">
      <c r="J490" s="83" t="str">
        <f t="shared" si="12"/>
        <v/>
      </c>
      <c r="K490" s="49" t="str">
        <f>IFERROR(__xludf.DUMMYFUNCTION("IF(M490=1,IFERROR(IMPORTXML(G490, ""//p[@class='status-date']""), ""Not deployed""),"""")"),"")</f>
        <v/>
      </c>
      <c r="L490" s="48"/>
      <c r="M490" s="48">
        <f t="shared" si="13"/>
        <v>0</v>
      </c>
      <c r="N490" s="49" t="str">
        <f>IFERROR(__xludf.DUMMYFUNCTION("split(G490,""/"")"),"#VALUE!")</f>
        <v>#VALUE!</v>
      </c>
      <c r="O490" s="50"/>
      <c r="P490" s="49"/>
      <c r="Q490" s="49"/>
      <c r="R490" s="49"/>
      <c r="S490" s="49"/>
    </row>
    <row r="491">
      <c r="J491" s="83" t="str">
        <f t="shared" si="12"/>
        <v/>
      </c>
      <c r="K491" s="49" t="str">
        <f>IFERROR(__xludf.DUMMYFUNCTION("IF(M491=1,IFERROR(IMPORTXML(G491, ""//p[@class='status-date']""), ""Not deployed""),"""")"),"")</f>
        <v/>
      </c>
      <c r="L491" s="48"/>
      <c r="M491" s="48">
        <f t="shared" si="13"/>
        <v>0</v>
      </c>
      <c r="N491" s="49" t="str">
        <f>IFERROR(__xludf.DUMMYFUNCTION("split(G491,""/"")"),"#VALUE!")</f>
        <v>#VALUE!</v>
      </c>
      <c r="O491" s="50"/>
      <c r="P491" s="49"/>
      <c r="Q491" s="49"/>
      <c r="R491" s="49"/>
      <c r="S491" s="49"/>
    </row>
    <row r="492">
      <c r="J492" s="83" t="str">
        <f t="shared" si="12"/>
        <v/>
      </c>
      <c r="K492" s="49" t="str">
        <f>IFERROR(__xludf.DUMMYFUNCTION("IF(M492=1,IFERROR(IMPORTXML(G492, ""//p[@class='status-date']""), ""Not deployed""),"""")"),"")</f>
        <v/>
      </c>
      <c r="L492" s="48"/>
      <c r="M492" s="48">
        <f t="shared" si="13"/>
        <v>0</v>
      </c>
      <c r="N492" s="49" t="str">
        <f>IFERROR(__xludf.DUMMYFUNCTION("split(G492,""/"")"),"#VALUE!")</f>
        <v>#VALUE!</v>
      </c>
      <c r="O492" s="50"/>
      <c r="P492" s="49"/>
      <c r="Q492" s="49"/>
      <c r="R492" s="49"/>
      <c r="S492" s="49"/>
    </row>
    <row r="493">
      <c r="J493" s="83" t="str">
        <f t="shared" si="12"/>
        <v/>
      </c>
      <c r="K493" s="49" t="str">
        <f>IFERROR(__xludf.DUMMYFUNCTION("IF(M493=1,IFERROR(IMPORTXML(G493, ""//p[@class='status-date']""), ""Not deployed""),"""")"),"")</f>
        <v/>
      </c>
      <c r="L493" s="48"/>
      <c r="M493" s="48">
        <f t="shared" si="13"/>
        <v>0</v>
      </c>
      <c r="N493" s="49" t="str">
        <f>IFERROR(__xludf.DUMMYFUNCTION("split(G493,""/"")"),"#VALUE!")</f>
        <v>#VALUE!</v>
      </c>
      <c r="O493" s="50"/>
      <c r="P493" s="49"/>
      <c r="Q493" s="49"/>
      <c r="R493" s="49"/>
      <c r="S493" s="49"/>
    </row>
    <row r="494">
      <c r="J494" s="83" t="str">
        <f t="shared" si="12"/>
        <v/>
      </c>
      <c r="K494" s="49" t="str">
        <f>IFERROR(__xludf.DUMMYFUNCTION("IF(M494=1,IFERROR(IMPORTXML(G494, ""//p[@class='status-date']""), ""Not deployed""),"""")"),"")</f>
        <v/>
      </c>
      <c r="L494" s="48"/>
      <c r="M494" s="48">
        <f t="shared" si="13"/>
        <v>0</v>
      </c>
      <c r="N494" s="49" t="str">
        <f>IFERROR(__xludf.DUMMYFUNCTION("split(G494,""/"")"),"#VALUE!")</f>
        <v>#VALUE!</v>
      </c>
      <c r="O494" s="50"/>
      <c r="P494" s="49"/>
      <c r="Q494" s="49"/>
      <c r="R494" s="49"/>
      <c r="S494" s="49"/>
    </row>
    <row r="495">
      <c r="J495" s="83" t="str">
        <f t="shared" si="12"/>
        <v/>
      </c>
      <c r="K495" s="49" t="str">
        <f>IFERROR(__xludf.DUMMYFUNCTION("IF(M495=1,IFERROR(IMPORTXML(G495, ""//p[@class='status-date']""), ""Not deployed""),"""")"),"")</f>
        <v/>
      </c>
      <c r="L495" s="48"/>
      <c r="M495" s="48">
        <f t="shared" si="13"/>
        <v>0</v>
      </c>
      <c r="N495" s="49" t="str">
        <f>IFERROR(__xludf.DUMMYFUNCTION("split(G495,""/"")"),"#VALUE!")</f>
        <v>#VALUE!</v>
      </c>
      <c r="O495" s="50"/>
      <c r="P495" s="49"/>
      <c r="Q495" s="49"/>
      <c r="R495" s="49"/>
      <c r="S495" s="49"/>
    </row>
    <row r="496">
      <c r="J496" s="83" t="str">
        <f t="shared" si="12"/>
        <v/>
      </c>
      <c r="K496" s="49" t="str">
        <f>IFERROR(__xludf.DUMMYFUNCTION("IF(M496=1,IFERROR(IMPORTXML(G496, ""//p[@class='status-date']""), ""Not deployed""),"""")"),"")</f>
        <v/>
      </c>
      <c r="L496" s="48"/>
      <c r="M496" s="48">
        <f t="shared" si="13"/>
        <v>0</v>
      </c>
      <c r="N496" s="49" t="str">
        <f>IFERROR(__xludf.DUMMYFUNCTION("split(G496,""/"")"),"#VALUE!")</f>
        <v>#VALUE!</v>
      </c>
      <c r="O496" s="50"/>
      <c r="P496" s="49"/>
      <c r="Q496" s="49"/>
      <c r="R496" s="49"/>
      <c r="S496" s="49"/>
    </row>
    <row r="497">
      <c r="J497" s="83" t="str">
        <f t="shared" si="12"/>
        <v/>
      </c>
      <c r="K497" s="49" t="str">
        <f>IFERROR(__xludf.DUMMYFUNCTION("IF(M497=1,IFERROR(IMPORTXML(G497, ""//p[@class='status-date']""), ""Not deployed""),"""")"),"")</f>
        <v/>
      </c>
      <c r="L497" s="48"/>
      <c r="M497" s="48">
        <f t="shared" si="13"/>
        <v>0</v>
      </c>
      <c r="N497" s="49" t="str">
        <f>IFERROR(__xludf.DUMMYFUNCTION("split(G497,""/"")"),"#VALUE!")</f>
        <v>#VALUE!</v>
      </c>
      <c r="O497" s="50"/>
      <c r="P497" s="49"/>
      <c r="Q497" s="49"/>
      <c r="R497" s="49"/>
      <c r="S497" s="49"/>
    </row>
    <row r="498">
      <c r="J498" s="83" t="str">
        <f t="shared" si="12"/>
        <v/>
      </c>
      <c r="K498" s="49" t="str">
        <f>IFERROR(__xludf.DUMMYFUNCTION("IF(M498=1,IFERROR(IMPORTXML(G498, ""//p[@class='status-date']""), ""Not deployed""),"""")"),"")</f>
        <v/>
      </c>
      <c r="L498" s="48"/>
      <c r="M498" s="48">
        <f t="shared" si="13"/>
        <v>0</v>
      </c>
      <c r="N498" s="49" t="str">
        <f>IFERROR(__xludf.DUMMYFUNCTION("split(G498,""/"")"),"#VALUE!")</f>
        <v>#VALUE!</v>
      </c>
      <c r="O498" s="50"/>
      <c r="P498" s="49"/>
      <c r="Q498" s="49"/>
      <c r="R498" s="49"/>
      <c r="S498" s="49"/>
    </row>
    <row r="499">
      <c r="J499" s="83" t="str">
        <f t="shared" si="12"/>
        <v/>
      </c>
      <c r="K499" s="49" t="str">
        <f>IFERROR(__xludf.DUMMYFUNCTION("IF(M499=1,IFERROR(IMPORTXML(G499, ""//p[@class='status-date']""), ""Not deployed""),"""")"),"")</f>
        <v/>
      </c>
      <c r="L499" s="48"/>
      <c r="M499" s="48">
        <f t="shared" si="13"/>
        <v>0</v>
      </c>
      <c r="N499" s="49" t="str">
        <f>IFERROR(__xludf.DUMMYFUNCTION("split(G499,""/"")"),"#VALUE!")</f>
        <v>#VALUE!</v>
      </c>
      <c r="O499" s="50"/>
      <c r="P499" s="49"/>
      <c r="Q499" s="49"/>
      <c r="R499" s="49"/>
      <c r="S499" s="49"/>
    </row>
    <row r="500">
      <c r="J500" s="83" t="str">
        <f t="shared" si="12"/>
        <v/>
      </c>
      <c r="K500" s="49" t="str">
        <f>IFERROR(__xludf.DUMMYFUNCTION("IF(M500=1,IFERROR(IMPORTXML(G500, ""//p[@class='status-date']""), ""Not deployed""),"""")"),"")</f>
        <v/>
      </c>
      <c r="L500" s="48"/>
      <c r="M500" s="48">
        <f t="shared" si="13"/>
        <v>0</v>
      </c>
      <c r="N500" s="49" t="str">
        <f>IFERROR(__xludf.DUMMYFUNCTION("split(G500,""/"")"),"#VALUE!")</f>
        <v>#VALUE!</v>
      </c>
      <c r="O500" s="50"/>
      <c r="P500" s="49"/>
      <c r="Q500" s="49"/>
      <c r="R500" s="49"/>
      <c r="S500" s="49"/>
    </row>
    <row r="501">
      <c r="J501" s="83" t="str">
        <f t="shared" si="12"/>
        <v/>
      </c>
      <c r="K501" s="49" t="str">
        <f>IFERROR(__xludf.DUMMYFUNCTION("IF(M501=1,IFERROR(IMPORTXML(G501, ""//p[@class='status-date']""), ""Not deployed""),"""")"),"")</f>
        <v/>
      </c>
      <c r="L501" s="48"/>
      <c r="M501" s="48">
        <f t="shared" si="13"/>
        <v>0</v>
      </c>
      <c r="N501" s="49" t="str">
        <f>IFERROR(__xludf.DUMMYFUNCTION("split(G501,""/"")"),"#VALUE!")</f>
        <v>#VALUE!</v>
      </c>
      <c r="O501" s="50"/>
      <c r="P501" s="49"/>
      <c r="Q501" s="49"/>
      <c r="R501" s="49"/>
      <c r="S501" s="49"/>
    </row>
    <row r="502">
      <c r="J502" s="83" t="str">
        <f t="shared" si="12"/>
        <v/>
      </c>
      <c r="K502" s="49" t="str">
        <f>IFERROR(__xludf.DUMMYFUNCTION("IF(M502=1,IFERROR(IMPORTXML(G502, ""//p[@class='status-date']""), ""Not deployed""),"""")"),"")</f>
        <v/>
      </c>
      <c r="L502" s="48"/>
      <c r="M502" s="48">
        <f t="shared" si="13"/>
        <v>0</v>
      </c>
      <c r="N502" s="49" t="str">
        <f>IFERROR(__xludf.DUMMYFUNCTION("split(G502,""/"")"),"#VALUE!")</f>
        <v>#VALUE!</v>
      </c>
      <c r="O502" s="50"/>
      <c r="P502" s="49"/>
      <c r="Q502" s="49"/>
      <c r="R502" s="49"/>
      <c r="S502" s="49"/>
    </row>
    <row r="503">
      <c r="J503" s="83" t="str">
        <f t="shared" si="12"/>
        <v/>
      </c>
      <c r="K503" s="49" t="str">
        <f>IFERROR(__xludf.DUMMYFUNCTION("IF(M503=1,IFERROR(IMPORTXML(G503, ""//p[@class='status-date']""), ""Not deployed""),"""")"),"")</f>
        <v/>
      </c>
      <c r="L503" s="48"/>
      <c r="M503" s="48">
        <f t="shared" si="13"/>
        <v>0</v>
      </c>
      <c r="N503" s="49" t="str">
        <f>IFERROR(__xludf.DUMMYFUNCTION("split(G503,""/"")"),"#VALUE!")</f>
        <v>#VALUE!</v>
      </c>
      <c r="O503" s="50"/>
      <c r="P503" s="49"/>
      <c r="Q503" s="49"/>
      <c r="R503" s="49"/>
      <c r="S503" s="49"/>
    </row>
    <row r="504">
      <c r="J504" s="83" t="str">
        <f t="shared" si="12"/>
        <v/>
      </c>
      <c r="K504" s="49" t="str">
        <f>IFERROR(__xludf.DUMMYFUNCTION("IF(M504=1,IFERROR(IMPORTXML(G504, ""//p[@class='status-date']""), ""Not deployed""),"""")"),"")</f>
        <v/>
      </c>
      <c r="L504" s="48"/>
      <c r="M504" s="48">
        <f t="shared" si="13"/>
        <v>0</v>
      </c>
      <c r="N504" s="49" t="str">
        <f>IFERROR(__xludf.DUMMYFUNCTION("split(G504,""/"")"),"#VALUE!")</f>
        <v>#VALUE!</v>
      </c>
      <c r="O504" s="50"/>
      <c r="P504" s="49"/>
      <c r="Q504" s="49"/>
      <c r="R504" s="49"/>
      <c r="S504" s="49"/>
    </row>
    <row r="505">
      <c r="J505" s="83" t="str">
        <f t="shared" si="12"/>
        <v/>
      </c>
      <c r="K505" s="49" t="str">
        <f>IFERROR(__xludf.DUMMYFUNCTION("IF(M505=1,IFERROR(IMPORTXML(G505, ""//p[@class='status-date']""), ""Not deployed""),"""")"),"")</f>
        <v/>
      </c>
      <c r="L505" s="48"/>
      <c r="M505" s="48">
        <f t="shared" si="13"/>
        <v>0</v>
      </c>
      <c r="N505" s="49" t="str">
        <f>IFERROR(__xludf.DUMMYFUNCTION("split(G505,""/"")"),"#VALUE!")</f>
        <v>#VALUE!</v>
      </c>
      <c r="O505" s="50"/>
      <c r="P505" s="49"/>
      <c r="Q505" s="49"/>
      <c r="R505" s="49"/>
      <c r="S505" s="49"/>
    </row>
    <row r="506">
      <c r="J506" s="83" t="str">
        <f t="shared" si="12"/>
        <v/>
      </c>
      <c r="K506" s="49" t="str">
        <f>IFERROR(__xludf.DUMMYFUNCTION("IF(M506=1,IFERROR(IMPORTXML(G506, ""//p[@class='status-date']""), ""Not deployed""),"""")"),"")</f>
        <v/>
      </c>
      <c r="L506" s="48"/>
      <c r="M506" s="48">
        <f t="shared" si="13"/>
        <v>0</v>
      </c>
      <c r="N506" s="49" t="str">
        <f>IFERROR(__xludf.DUMMYFUNCTION("split(G506,""/"")"),"#VALUE!")</f>
        <v>#VALUE!</v>
      </c>
      <c r="O506" s="50"/>
      <c r="P506" s="49"/>
      <c r="Q506" s="49"/>
      <c r="R506" s="49"/>
      <c r="S506" s="49"/>
    </row>
    <row r="507">
      <c r="J507" s="83" t="str">
        <f t="shared" si="12"/>
        <v/>
      </c>
      <c r="K507" s="49" t="str">
        <f>IFERROR(__xludf.DUMMYFUNCTION("IF(M507=1,IFERROR(IMPORTXML(G507, ""//p[@class='status-date']""), ""Not deployed""),"""")"),"")</f>
        <v/>
      </c>
      <c r="L507" s="48"/>
      <c r="M507" s="48">
        <f t="shared" si="13"/>
        <v>0</v>
      </c>
      <c r="N507" s="49" t="str">
        <f>IFERROR(__xludf.DUMMYFUNCTION("split(G507,""/"")"),"#VALUE!")</f>
        <v>#VALUE!</v>
      </c>
      <c r="O507" s="50"/>
      <c r="P507" s="49"/>
      <c r="Q507" s="49"/>
      <c r="R507" s="49"/>
      <c r="S507" s="49"/>
    </row>
    <row r="508">
      <c r="J508" s="83" t="str">
        <f t="shared" si="12"/>
        <v/>
      </c>
      <c r="K508" s="49" t="str">
        <f>IFERROR(__xludf.DUMMYFUNCTION("IF(M508=1,IFERROR(IMPORTXML(G508, ""//p[@class='status-date']""), ""Not deployed""),"""")"),"")</f>
        <v/>
      </c>
      <c r="L508" s="48"/>
      <c r="M508" s="48">
        <f t="shared" si="13"/>
        <v>0</v>
      </c>
      <c r="N508" s="49" t="str">
        <f>IFERROR(__xludf.DUMMYFUNCTION("split(G508,""/"")"),"#VALUE!")</f>
        <v>#VALUE!</v>
      </c>
      <c r="O508" s="50"/>
      <c r="P508" s="49"/>
      <c r="Q508" s="49"/>
      <c r="R508" s="49"/>
      <c r="S508" s="49"/>
    </row>
    <row r="509">
      <c r="J509" s="83" t="str">
        <f t="shared" si="12"/>
        <v/>
      </c>
      <c r="K509" s="49" t="str">
        <f>IFERROR(__xludf.DUMMYFUNCTION("IF(M509=1,IFERROR(IMPORTXML(G509, ""//p[@class='status-date']""), ""Not deployed""),"""")"),"")</f>
        <v/>
      </c>
      <c r="L509" s="48"/>
      <c r="M509" s="48">
        <f t="shared" si="13"/>
        <v>0</v>
      </c>
      <c r="N509" s="49" t="str">
        <f>IFERROR(__xludf.DUMMYFUNCTION("split(G509,""/"")"),"#VALUE!")</f>
        <v>#VALUE!</v>
      </c>
      <c r="O509" s="50"/>
      <c r="P509" s="49"/>
      <c r="Q509" s="49"/>
      <c r="R509" s="49"/>
      <c r="S509" s="49"/>
    </row>
    <row r="510">
      <c r="J510" s="83" t="str">
        <f t="shared" si="12"/>
        <v/>
      </c>
      <c r="K510" s="49" t="str">
        <f>IFERROR(__xludf.DUMMYFUNCTION("IF(M510=1,IFERROR(IMPORTXML(G510, ""//p[@class='status-date']""), ""Not deployed""),"""")"),"")</f>
        <v/>
      </c>
      <c r="L510" s="48"/>
      <c r="M510" s="48">
        <f t="shared" si="13"/>
        <v>0</v>
      </c>
      <c r="N510" s="49" t="str">
        <f>IFERROR(__xludf.DUMMYFUNCTION("split(G510,""/"")"),"#VALUE!")</f>
        <v>#VALUE!</v>
      </c>
      <c r="O510" s="57"/>
      <c r="P510" s="49"/>
      <c r="Q510" s="49"/>
      <c r="R510" s="49"/>
      <c r="S510" s="49"/>
    </row>
    <row r="511">
      <c r="J511" s="83" t="str">
        <f t="shared" si="12"/>
        <v/>
      </c>
      <c r="K511" s="49" t="str">
        <f>IFERROR(__xludf.DUMMYFUNCTION("IF(M511=1,IFERROR(IMPORTXML(G511, ""//p[@class='status-date']""), ""Not deployed""),"""")"),"")</f>
        <v/>
      </c>
      <c r="L511" s="48"/>
      <c r="M511" s="48">
        <f t="shared" si="13"/>
        <v>0</v>
      </c>
      <c r="N511" s="49" t="str">
        <f>IFERROR(__xludf.DUMMYFUNCTION("split(G511,""/"")"),"#VALUE!")</f>
        <v>#VALUE!</v>
      </c>
      <c r="O511" s="50"/>
      <c r="P511" s="49"/>
      <c r="Q511" s="49"/>
      <c r="R511" s="49"/>
      <c r="S511" s="49"/>
    </row>
    <row r="512">
      <c r="J512" s="83" t="str">
        <f t="shared" si="12"/>
        <v/>
      </c>
      <c r="K512" s="49" t="str">
        <f>IFERROR(__xludf.DUMMYFUNCTION("IF(M512=1,IFERROR(IMPORTXML(G512, ""//p[@class='status-date']""), ""Not deployed""),"""")"),"")</f>
        <v/>
      </c>
      <c r="L512" s="48"/>
      <c r="M512" s="48">
        <f t="shared" si="13"/>
        <v>0</v>
      </c>
      <c r="N512" s="49" t="str">
        <f>IFERROR(__xludf.DUMMYFUNCTION("split(G512,""/"")"),"#VALUE!")</f>
        <v>#VALUE!</v>
      </c>
      <c r="O512" s="50"/>
      <c r="P512" s="49"/>
      <c r="Q512" s="49"/>
      <c r="R512" s="49"/>
      <c r="S512" s="49"/>
    </row>
    <row r="513">
      <c r="J513" s="83" t="str">
        <f t="shared" si="12"/>
        <v/>
      </c>
      <c r="K513" s="49" t="str">
        <f>IFERROR(__xludf.DUMMYFUNCTION("IF(M513=1,IFERROR(IMPORTXML(G513, ""//p[@class='status-date']""), ""Not deployed""),"""")"),"")</f>
        <v/>
      </c>
      <c r="L513" s="48"/>
      <c r="M513" s="48">
        <f t="shared" si="13"/>
        <v>0</v>
      </c>
      <c r="N513" s="49" t="str">
        <f>IFERROR(__xludf.DUMMYFUNCTION("split(G513,""/"")"),"#VALUE!")</f>
        <v>#VALUE!</v>
      </c>
      <c r="O513" s="50"/>
      <c r="P513" s="49"/>
      <c r="Q513" s="49"/>
      <c r="R513" s="49"/>
      <c r="S513" s="49"/>
    </row>
    <row r="514">
      <c r="J514" s="83" t="str">
        <f t="shared" si="12"/>
        <v/>
      </c>
      <c r="K514" s="49" t="str">
        <f>IFERROR(__xludf.DUMMYFUNCTION("IF(M514=1,IFERROR(IMPORTXML(G514, ""//p[@class='status-date']""), ""Not deployed""),"""")"),"")</f>
        <v/>
      </c>
      <c r="L514" s="48"/>
      <c r="M514" s="48">
        <f t="shared" si="13"/>
        <v>0</v>
      </c>
      <c r="N514" s="49" t="str">
        <f>IFERROR(__xludf.DUMMYFUNCTION("split(G514,""/"")"),"#VALUE!")</f>
        <v>#VALUE!</v>
      </c>
      <c r="O514" s="50"/>
      <c r="P514" s="49"/>
      <c r="Q514" s="49"/>
      <c r="R514" s="49"/>
      <c r="S514" s="49"/>
    </row>
    <row r="515">
      <c r="J515" s="83" t="str">
        <f t="shared" si="12"/>
        <v/>
      </c>
      <c r="K515" s="49" t="str">
        <f>IFERROR(__xludf.DUMMYFUNCTION("IF(M515=1,IFERROR(IMPORTXML(G515, ""//p[@class='status-date']""), ""Not deployed""),"""")"),"")</f>
        <v/>
      </c>
      <c r="L515" s="48"/>
      <c r="M515" s="48">
        <f t="shared" si="13"/>
        <v>0</v>
      </c>
      <c r="N515" s="49" t="str">
        <f>IFERROR(__xludf.DUMMYFUNCTION("split(G515,""/"")"),"#VALUE!")</f>
        <v>#VALUE!</v>
      </c>
      <c r="O515" s="50"/>
      <c r="P515" s="49"/>
      <c r="Q515" s="49"/>
      <c r="R515" s="49"/>
      <c r="S515" s="49"/>
    </row>
    <row r="516">
      <c r="J516" s="83" t="str">
        <f t="shared" si="12"/>
        <v/>
      </c>
      <c r="K516" s="49" t="str">
        <f>IFERROR(__xludf.DUMMYFUNCTION("IF(M516=1,IFERROR(IMPORTXML(G516, ""//p[@class='status-date']""), ""Not deployed""),"""")"),"")</f>
        <v/>
      </c>
      <c r="L516" s="48"/>
      <c r="M516" s="48">
        <f t="shared" si="13"/>
        <v>0</v>
      </c>
      <c r="N516" s="49" t="str">
        <f>IFERROR(__xludf.DUMMYFUNCTION("split(G516,""/"")"),"#VALUE!")</f>
        <v>#VALUE!</v>
      </c>
      <c r="O516" s="50"/>
      <c r="P516" s="49"/>
      <c r="Q516" s="49"/>
      <c r="R516" s="49"/>
      <c r="S516" s="49"/>
    </row>
    <row r="517">
      <c r="J517" s="83" t="str">
        <f t="shared" si="12"/>
        <v/>
      </c>
      <c r="K517" s="49" t="str">
        <f>IFERROR(__xludf.DUMMYFUNCTION("IF(M517=1,IFERROR(IMPORTXML(G517, ""//p[@class='status-date']""), ""Not deployed""),"""")"),"")</f>
        <v/>
      </c>
      <c r="L517" s="48"/>
      <c r="M517" s="48">
        <f t="shared" si="13"/>
        <v>0</v>
      </c>
      <c r="N517" s="49" t="str">
        <f>IFERROR(__xludf.DUMMYFUNCTION("split(G517,""/"")"),"#VALUE!")</f>
        <v>#VALUE!</v>
      </c>
      <c r="O517" s="50"/>
      <c r="P517" s="49"/>
      <c r="Q517" s="49"/>
      <c r="R517" s="49"/>
      <c r="S517" s="49"/>
    </row>
    <row r="518">
      <c r="J518" s="83" t="str">
        <f t="shared" si="12"/>
        <v/>
      </c>
      <c r="K518" s="49" t="str">
        <f>IFERROR(__xludf.DUMMYFUNCTION("IF(M518=1,IFERROR(IMPORTXML(G518, ""//p[@class='status-date']""), ""Not deployed""),"""")"),"")</f>
        <v/>
      </c>
      <c r="L518" s="48"/>
      <c r="M518" s="48">
        <f t="shared" si="13"/>
        <v>0</v>
      </c>
      <c r="N518" s="49" t="str">
        <f>IFERROR(__xludf.DUMMYFUNCTION("split(G518,""/"")"),"#VALUE!")</f>
        <v>#VALUE!</v>
      </c>
      <c r="O518" s="50"/>
      <c r="P518" s="49"/>
      <c r="Q518" s="49"/>
      <c r="R518" s="49"/>
      <c r="S518" s="49"/>
    </row>
    <row r="519">
      <c r="J519" s="83" t="str">
        <f t="shared" si="12"/>
        <v/>
      </c>
      <c r="K519" s="49" t="str">
        <f>IFERROR(__xludf.DUMMYFUNCTION("IF(M519=1,IFERROR(IMPORTXML(G519, ""//p[@class='status-date']""), ""Not deployed""),"""")"),"")</f>
        <v/>
      </c>
      <c r="L519" s="48"/>
      <c r="M519" s="48">
        <f t="shared" si="13"/>
        <v>0</v>
      </c>
      <c r="N519" s="49" t="str">
        <f>IFERROR(__xludf.DUMMYFUNCTION("split(G519,""/"")"),"#VALUE!")</f>
        <v>#VALUE!</v>
      </c>
      <c r="O519" s="50"/>
      <c r="P519" s="49"/>
      <c r="Q519" s="49"/>
      <c r="R519" s="49"/>
      <c r="S519" s="49"/>
    </row>
    <row r="520">
      <c r="J520" s="83"/>
    </row>
    <row r="521">
      <c r="J521" s="83"/>
    </row>
    <row r="522">
      <c r="J522" s="83"/>
    </row>
    <row r="523">
      <c r="J523" s="83"/>
    </row>
    <row r="524">
      <c r="J524" s="83"/>
    </row>
    <row r="525">
      <c r="J525" s="83"/>
    </row>
    <row r="526">
      <c r="J526" s="83"/>
    </row>
    <row r="527">
      <c r="J527" s="83"/>
    </row>
    <row r="528">
      <c r="J528" s="83"/>
    </row>
    <row r="529">
      <c r="J529" s="83"/>
    </row>
    <row r="530">
      <c r="J530" s="83"/>
    </row>
    <row r="531">
      <c r="J531" s="83"/>
    </row>
    <row r="532">
      <c r="J532" s="83"/>
    </row>
    <row r="533">
      <c r="J533" s="83"/>
    </row>
    <row r="534">
      <c r="J534" s="83"/>
    </row>
    <row r="535">
      <c r="J535" s="83"/>
    </row>
    <row r="536">
      <c r="J536" s="83"/>
    </row>
    <row r="537">
      <c r="J537" s="83"/>
    </row>
    <row r="538">
      <c r="J538" s="83"/>
    </row>
    <row r="539">
      <c r="J539" s="83"/>
    </row>
    <row r="540">
      <c r="J540" s="83"/>
    </row>
    <row r="541">
      <c r="J541" s="83"/>
    </row>
    <row r="542">
      <c r="J542" s="83"/>
    </row>
    <row r="543">
      <c r="J543" s="83"/>
    </row>
    <row r="544">
      <c r="J544" s="83"/>
    </row>
    <row r="545">
      <c r="J545" s="83"/>
    </row>
    <row r="546">
      <c r="J546" s="83"/>
    </row>
    <row r="547">
      <c r="J547" s="83"/>
    </row>
    <row r="548">
      <c r="J548" s="83"/>
    </row>
    <row r="549">
      <c r="J549" s="83"/>
    </row>
    <row r="550">
      <c r="J550" s="83"/>
    </row>
    <row r="551">
      <c r="J551" s="83"/>
    </row>
    <row r="552">
      <c r="J552" s="83"/>
    </row>
    <row r="553">
      <c r="J553" s="100"/>
      <c r="K553" s="5"/>
      <c r="L553" s="5"/>
      <c r="M553" s="5"/>
      <c r="N553" s="5"/>
      <c r="O553" s="5"/>
      <c r="P553" s="5"/>
      <c r="Q553" s="5"/>
      <c r="R553" s="5"/>
      <c r="S553" s="5"/>
    </row>
    <row r="554">
      <c r="J554" s="100"/>
      <c r="K554" s="5"/>
      <c r="L554" s="5"/>
      <c r="M554" s="5"/>
      <c r="N554" s="5"/>
      <c r="O554" s="5"/>
      <c r="P554" s="5"/>
      <c r="Q554" s="5"/>
      <c r="R554" s="5"/>
      <c r="S554" s="5"/>
    </row>
    <row r="555">
      <c r="J555" s="100"/>
      <c r="K555" s="5"/>
      <c r="L555" s="5"/>
      <c r="M555" s="5"/>
      <c r="N555" s="5"/>
      <c r="O555" s="5"/>
      <c r="P555" s="5"/>
      <c r="Q555" s="5"/>
      <c r="R555" s="5"/>
      <c r="S555" s="5"/>
    </row>
    <row r="556">
      <c r="J556" s="100"/>
      <c r="K556" s="5"/>
      <c r="L556" s="5"/>
      <c r="M556" s="5"/>
      <c r="N556" s="5"/>
      <c r="O556" s="5"/>
      <c r="P556" s="5"/>
      <c r="Q556" s="5"/>
      <c r="R556" s="5"/>
      <c r="S556" s="5"/>
    </row>
    <row r="557">
      <c r="J557" s="102"/>
      <c r="K557" s="40"/>
      <c r="L557" s="40"/>
      <c r="M557" s="40"/>
      <c r="N557" s="40"/>
      <c r="O557" s="40"/>
      <c r="P557" s="40"/>
      <c r="Q557" s="40"/>
      <c r="R557" s="40"/>
      <c r="S557" s="40"/>
    </row>
    <row r="558">
      <c r="J558" s="83"/>
    </row>
    <row r="559">
      <c r="J559" s="103"/>
      <c r="K559" s="41" t="s">
        <v>94</v>
      </c>
      <c r="L559" s="41" t="s">
        <v>95</v>
      </c>
      <c r="M559" s="41" t="s">
        <v>96</v>
      </c>
      <c r="N559" s="42" t="s">
        <v>97</v>
      </c>
    </row>
    <row r="560">
      <c r="J560" s="83" t="str">
        <f t="shared" ref="J560:J611" si="14">if(I560=true,"",S560)</f>
        <v/>
      </c>
      <c r="K560" s="49" t="str">
        <f>IFERROR(__xludf.DUMMYFUNCTION("IF(M560=1,IFERROR(IMPORTXML(G560, ""//p[@class='status-date']""), ""Not deployed""),"""")"),"")</f>
        <v/>
      </c>
      <c r="L560" s="48"/>
      <c r="M560" s="48">
        <f t="shared" ref="M560:M611" si="15">if(I560=TRUE,2,IF(ISTEXT(G560),1,0))</f>
        <v>0</v>
      </c>
      <c r="N560" s="49" t="str">
        <f>IFERROR(__xludf.DUMMYFUNCTION("split(G560,""/"")"),"#VALUE!")</f>
        <v>#VALUE!</v>
      </c>
      <c r="O560" s="50"/>
      <c r="P560" s="49"/>
      <c r="Q560" s="49"/>
      <c r="R560" s="49"/>
      <c r="S560" s="49"/>
    </row>
    <row r="561">
      <c r="J561" s="83" t="str">
        <f t="shared" si="14"/>
        <v/>
      </c>
      <c r="K561" s="49" t="str">
        <f>IFERROR(__xludf.DUMMYFUNCTION("IF(M561=1,IFERROR(IMPORTXML(G561, ""//p[@class='status-date']""), ""Not deployed""),"""")"),"")</f>
        <v/>
      </c>
      <c r="L561" s="48"/>
      <c r="M561" s="48">
        <f t="shared" si="15"/>
        <v>0</v>
      </c>
      <c r="N561" s="49" t="str">
        <f>IFERROR(__xludf.DUMMYFUNCTION("split(G561,""/"")"),"#VALUE!")</f>
        <v>#VALUE!</v>
      </c>
      <c r="O561" s="50"/>
      <c r="P561" s="49"/>
      <c r="Q561" s="49"/>
      <c r="R561" s="49"/>
      <c r="S561" s="49"/>
    </row>
    <row r="562">
      <c r="J562" s="83" t="str">
        <f t="shared" si="14"/>
        <v/>
      </c>
      <c r="K562" s="49" t="str">
        <f>IFERROR(__xludf.DUMMYFUNCTION("IF(M562=1,IFERROR(IMPORTXML(G562, ""//p[@class='status-date']""), ""Not deployed""),"""")"),"")</f>
        <v/>
      </c>
      <c r="L562" s="48"/>
      <c r="M562" s="48">
        <f t="shared" si="15"/>
        <v>0</v>
      </c>
      <c r="N562" s="49" t="str">
        <f>IFERROR(__xludf.DUMMYFUNCTION("split(G562,""/"")"),"#VALUE!")</f>
        <v>#VALUE!</v>
      </c>
      <c r="O562" s="50"/>
      <c r="P562" s="49"/>
      <c r="Q562" s="49"/>
      <c r="R562" s="49"/>
      <c r="S562" s="49"/>
    </row>
    <row r="563">
      <c r="J563" s="83" t="str">
        <f t="shared" si="14"/>
        <v/>
      </c>
      <c r="K563" s="49" t="str">
        <f>IFERROR(__xludf.DUMMYFUNCTION("IF(M563=1,IFERROR(IMPORTXML(G563, ""//p[@class='status-date']""), ""Not deployed""),"""")"),"")</f>
        <v/>
      </c>
      <c r="L563" s="48"/>
      <c r="M563" s="48">
        <f t="shared" si="15"/>
        <v>0</v>
      </c>
      <c r="N563" s="49" t="str">
        <f>IFERROR(__xludf.DUMMYFUNCTION("split(G563,""/"")"),"#VALUE!")</f>
        <v>#VALUE!</v>
      </c>
      <c r="O563" s="50"/>
      <c r="P563" s="49"/>
      <c r="Q563" s="49"/>
      <c r="R563" s="49"/>
      <c r="S563" s="49"/>
    </row>
    <row r="564">
      <c r="J564" s="83" t="str">
        <f t="shared" si="14"/>
        <v/>
      </c>
      <c r="K564" s="49" t="str">
        <f>IFERROR(__xludf.DUMMYFUNCTION("IF(M564=1,IFERROR(IMPORTXML(G564, ""//p[@class='status-date']""), ""Not deployed""),"""")"),"")</f>
        <v/>
      </c>
      <c r="L564" s="48"/>
      <c r="M564" s="48">
        <f t="shared" si="15"/>
        <v>0</v>
      </c>
      <c r="N564" s="49" t="str">
        <f>IFERROR(__xludf.DUMMYFUNCTION("split(G564,""/"")"),"#VALUE!")</f>
        <v>#VALUE!</v>
      </c>
      <c r="O564" s="50"/>
      <c r="P564" s="49"/>
      <c r="Q564" s="49"/>
      <c r="R564" s="49"/>
      <c r="S564" s="49"/>
    </row>
    <row r="565">
      <c r="J565" s="83" t="str">
        <f t="shared" si="14"/>
        <v/>
      </c>
      <c r="K565" s="49" t="str">
        <f>IFERROR(__xludf.DUMMYFUNCTION("IF(M565=1,IFERROR(IMPORTXML(G565, ""//p[@class='status-date']""), ""Not deployed""),"""")"),"")</f>
        <v/>
      </c>
      <c r="L565" s="48"/>
      <c r="M565" s="48">
        <f t="shared" si="15"/>
        <v>0</v>
      </c>
      <c r="N565" s="49" t="str">
        <f>IFERROR(__xludf.DUMMYFUNCTION("split(G565,""/"")"),"#VALUE!")</f>
        <v>#VALUE!</v>
      </c>
      <c r="O565" s="50"/>
      <c r="P565" s="49"/>
      <c r="Q565" s="49"/>
      <c r="R565" s="49"/>
      <c r="S565" s="49"/>
    </row>
    <row r="566">
      <c r="J566" s="83" t="str">
        <f t="shared" si="14"/>
        <v/>
      </c>
      <c r="K566" s="49" t="str">
        <f>IFERROR(__xludf.DUMMYFUNCTION("IF(M566=1,IFERROR(IMPORTXML(G566, ""//p[@class='status-date']""), ""Not deployed""),"""")"),"")</f>
        <v/>
      </c>
      <c r="L566" s="48"/>
      <c r="M566" s="48">
        <f t="shared" si="15"/>
        <v>0</v>
      </c>
      <c r="N566" s="49" t="str">
        <f>IFERROR(__xludf.DUMMYFUNCTION("split(G566,""/"")"),"#VALUE!")</f>
        <v>#VALUE!</v>
      </c>
      <c r="O566" s="50"/>
      <c r="P566" s="49"/>
      <c r="Q566" s="49"/>
      <c r="R566" s="49"/>
      <c r="S566" s="49"/>
    </row>
    <row r="567">
      <c r="J567" s="83" t="str">
        <f t="shared" si="14"/>
        <v/>
      </c>
      <c r="K567" s="49" t="str">
        <f>IFERROR(__xludf.DUMMYFUNCTION("IF(M567=1,IFERROR(IMPORTXML(G567, ""//p[@class='status-date']""), ""Not deployed""),"""")"),"")</f>
        <v/>
      </c>
      <c r="L567" s="48"/>
      <c r="M567" s="48">
        <f t="shared" si="15"/>
        <v>0</v>
      </c>
      <c r="N567" s="49" t="str">
        <f>IFERROR(__xludf.DUMMYFUNCTION("split(G567,""/"")"),"#VALUE!")</f>
        <v>#VALUE!</v>
      </c>
      <c r="O567" s="50"/>
      <c r="P567" s="49"/>
      <c r="Q567" s="49"/>
      <c r="R567" s="49"/>
      <c r="S567" s="49"/>
    </row>
    <row r="568">
      <c r="J568" s="83" t="str">
        <f t="shared" si="14"/>
        <v/>
      </c>
      <c r="K568" s="49" t="str">
        <f>IFERROR(__xludf.DUMMYFUNCTION("IF(M568=1,IFERROR(IMPORTXML(G568, ""//p[@class='status-date']""), ""Not deployed""),"""")"),"")</f>
        <v/>
      </c>
      <c r="L568" s="48"/>
      <c r="M568" s="48">
        <f t="shared" si="15"/>
        <v>0</v>
      </c>
      <c r="N568" s="49" t="str">
        <f>IFERROR(__xludf.DUMMYFUNCTION("split(G568,""/"")"),"#VALUE!")</f>
        <v>#VALUE!</v>
      </c>
      <c r="O568" s="50"/>
      <c r="P568" s="49"/>
      <c r="Q568" s="49"/>
      <c r="R568" s="49"/>
      <c r="S568" s="49"/>
    </row>
    <row r="569">
      <c r="J569" s="83" t="str">
        <f t="shared" si="14"/>
        <v/>
      </c>
      <c r="K569" s="49" t="str">
        <f>IFERROR(__xludf.DUMMYFUNCTION("IF(M569=1,IFERROR(IMPORTXML(G569, ""//p[@class='status-date']""), ""Not deployed""),"""")"),"")</f>
        <v/>
      </c>
      <c r="L569" s="48"/>
      <c r="M569" s="48">
        <f t="shared" si="15"/>
        <v>0</v>
      </c>
      <c r="N569" s="49" t="str">
        <f>IFERROR(__xludf.DUMMYFUNCTION("split(G569,""/"")"),"#VALUE!")</f>
        <v>#VALUE!</v>
      </c>
      <c r="O569" s="50"/>
      <c r="P569" s="49"/>
      <c r="Q569" s="49"/>
      <c r="R569" s="49"/>
      <c r="S569" s="49"/>
    </row>
    <row r="570">
      <c r="J570" s="83" t="str">
        <f t="shared" si="14"/>
        <v/>
      </c>
      <c r="K570" s="49" t="str">
        <f>IFERROR(__xludf.DUMMYFUNCTION("IF(M570=1,IFERROR(IMPORTXML(G570, ""//p[@class='status-date']""), ""Not deployed""),"""")"),"")</f>
        <v/>
      </c>
      <c r="L570" s="48"/>
      <c r="M570" s="48">
        <f t="shared" si="15"/>
        <v>0</v>
      </c>
      <c r="N570" s="49" t="str">
        <f>IFERROR(__xludf.DUMMYFUNCTION("split(G570,""/"")"),"#VALUE!")</f>
        <v>#VALUE!</v>
      </c>
      <c r="O570" s="50"/>
      <c r="P570" s="49"/>
      <c r="Q570" s="49"/>
      <c r="R570" s="49"/>
      <c r="S570" s="49"/>
    </row>
    <row r="571">
      <c r="J571" s="83" t="str">
        <f t="shared" si="14"/>
        <v/>
      </c>
      <c r="K571" s="49" t="str">
        <f>IFERROR(__xludf.DUMMYFUNCTION("IF(M571=1,IFERROR(IMPORTXML(G571, ""//p[@class='status-date']""), ""Not deployed""),"""")"),"")</f>
        <v/>
      </c>
      <c r="L571" s="48"/>
      <c r="M571" s="48">
        <f t="shared" si="15"/>
        <v>0</v>
      </c>
      <c r="N571" s="49" t="str">
        <f>IFERROR(__xludf.DUMMYFUNCTION("split(G571,""/"")"),"#VALUE!")</f>
        <v>#VALUE!</v>
      </c>
      <c r="O571" s="50"/>
      <c r="P571" s="49"/>
      <c r="Q571" s="49"/>
      <c r="R571" s="49"/>
      <c r="S571" s="49"/>
    </row>
    <row r="572">
      <c r="J572" s="83" t="str">
        <f t="shared" si="14"/>
        <v/>
      </c>
      <c r="K572" s="49" t="str">
        <f>IFERROR(__xludf.DUMMYFUNCTION("IF(M572=1,IFERROR(IMPORTXML(G572, ""//p[@class='status-date']""), ""Not deployed""),"""")"),"")</f>
        <v/>
      </c>
      <c r="L572" s="48"/>
      <c r="M572" s="48">
        <f t="shared" si="15"/>
        <v>0</v>
      </c>
      <c r="N572" s="49" t="str">
        <f>IFERROR(__xludf.DUMMYFUNCTION("split(G572,""/"")"),"#VALUE!")</f>
        <v>#VALUE!</v>
      </c>
      <c r="O572" s="50"/>
      <c r="P572" s="49"/>
      <c r="Q572" s="49"/>
      <c r="R572" s="49"/>
      <c r="S572" s="49"/>
    </row>
    <row r="573">
      <c r="J573" s="83" t="str">
        <f t="shared" si="14"/>
        <v/>
      </c>
      <c r="K573" s="49" t="str">
        <f>IFERROR(__xludf.DUMMYFUNCTION("IF(M573=1,IFERROR(IMPORTXML(G573, ""//p[@class='status-date']""), ""Not deployed""),"""")"),"")</f>
        <v/>
      </c>
      <c r="L573" s="48"/>
      <c r="M573" s="48">
        <f t="shared" si="15"/>
        <v>0</v>
      </c>
      <c r="N573" s="49" t="str">
        <f>IFERROR(__xludf.DUMMYFUNCTION("split(G573,""/"")"),"#VALUE!")</f>
        <v>#VALUE!</v>
      </c>
      <c r="O573" s="50"/>
      <c r="P573" s="49"/>
      <c r="Q573" s="49"/>
      <c r="R573" s="49"/>
      <c r="S573" s="49"/>
    </row>
    <row r="574">
      <c r="J574" s="83" t="str">
        <f t="shared" si="14"/>
        <v/>
      </c>
      <c r="K574" s="49" t="str">
        <f>IFERROR(__xludf.DUMMYFUNCTION("IF(M574=1,IFERROR(IMPORTXML(G574, ""//p[@class='status-date']""), ""Not deployed""),"""")"),"")</f>
        <v/>
      </c>
      <c r="L574" s="48"/>
      <c r="M574" s="48">
        <f t="shared" si="15"/>
        <v>0</v>
      </c>
      <c r="N574" s="49" t="str">
        <f>IFERROR(__xludf.DUMMYFUNCTION("split(G574,""/"")"),"#VALUE!")</f>
        <v>#VALUE!</v>
      </c>
      <c r="O574" s="50"/>
      <c r="P574" s="49"/>
      <c r="Q574" s="49"/>
      <c r="R574" s="49"/>
      <c r="S574" s="49"/>
    </row>
    <row r="575">
      <c r="J575" s="83" t="str">
        <f t="shared" si="14"/>
        <v/>
      </c>
      <c r="K575" s="49" t="str">
        <f>IFERROR(__xludf.DUMMYFUNCTION("IF(M575=1,IFERROR(IMPORTXML(G575, ""//p[@class='status-date']""), ""Not deployed""),"""")"),"")</f>
        <v/>
      </c>
      <c r="L575" s="48"/>
      <c r="M575" s="48">
        <f t="shared" si="15"/>
        <v>0</v>
      </c>
      <c r="N575" s="49" t="str">
        <f>IFERROR(__xludf.DUMMYFUNCTION("split(G575,""/"")"),"#VALUE!")</f>
        <v>#VALUE!</v>
      </c>
      <c r="O575" s="50"/>
      <c r="P575" s="49"/>
      <c r="Q575" s="49"/>
      <c r="R575" s="49"/>
      <c r="S575" s="49"/>
    </row>
    <row r="576">
      <c r="J576" s="83" t="str">
        <f t="shared" si="14"/>
        <v/>
      </c>
      <c r="K576" s="49" t="str">
        <f>IFERROR(__xludf.DUMMYFUNCTION("IF(M576=1,IFERROR(IMPORTXML(G576, ""//p[@class='status-date']""), ""Not deployed""),"""")"),"")</f>
        <v/>
      </c>
      <c r="L576" s="48"/>
      <c r="M576" s="48">
        <f t="shared" si="15"/>
        <v>0</v>
      </c>
      <c r="N576" s="49" t="str">
        <f>IFERROR(__xludf.DUMMYFUNCTION("split(G576,""/"")"),"#VALUE!")</f>
        <v>#VALUE!</v>
      </c>
      <c r="O576" s="50"/>
      <c r="P576" s="49"/>
      <c r="Q576" s="49"/>
      <c r="R576" s="49"/>
      <c r="S576" s="49"/>
    </row>
    <row r="577">
      <c r="J577" s="83" t="str">
        <f t="shared" si="14"/>
        <v/>
      </c>
      <c r="K577" s="49" t="str">
        <f>IFERROR(__xludf.DUMMYFUNCTION("IF(M577=1,IFERROR(IMPORTXML(G577, ""//p[@class='status-date']""), ""Not deployed""),"""")"),"")</f>
        <v/>
      </c>
      <c r="L577" s="48"/>
      <c r="M577" s="48">
        <f t="shared" si="15"/>
        <v>0</v>
      </c>
      <c r="N577" s="49" t="str">
        <f>IFERROR(__xludf.DUMMYFUNCTION("split(G577,""/"")"),"#VALUE!")</f>
        <v>#VALUE!</v>
      </c>
      <c r="O577" s="50"/>
      <c r="P577" s="49"/>
      <c r="Q577" s="49"/>
      <c r="R577" s="49"/>
      <c r="S577" s="49"/>
    </row>
    <row r="578">
      <c r="J578" s="83" t="str">
        <f t="shared" si="14"/>
        <v/>
      </c>
      <c r="K578" s="49" t="str">
        <f>IFERROR(__xludf.DUMMYFUNCTION("IF(M578=1,IFERROR(IMPORTXML(G578, ""//p[@class='status-date']""), ""Not deployed""),"""")"),"")</f>
        <v/>
      </c>
      <c r="L578" s="48"/>
      <c r="M578" s="48">
        <f t="shared" si="15"/>
        <v>0</v>
      </c>
      <c r="N578" s="49" t="str">
        <f>IFERROR(__xludf.DUMMYFUNCTION("split(G578,""/"")"),"#VALUE!")</f>
        <v>#VALUE!</v>
      </c>
      <c r="O578" s="50"/>
      <c r="P578" s="49"/>
      <c r="Q578" s="49"/>
      <c r="R578" s="49"/>
      <c r="S578" s="49"/>
    </row>
    <row r="579">
      <c r="J579" s="83" t="str">
        <f t="shared" si="14"/>
        <v/>
      </c>
      <c r="K579" s="49" t="str">
        <f>IFERROR(__xludf.DUMMYFUNCTION("IF(M579=1,IFERROR(IMPORTXML(G579, ""//p[@class='status-date']""), ""Not deployed""),"""")"),"")</f>
        <v/>
      </c>
      <c r="L579" s="48"/>
      <c r="M579" s="48">
        <f t="shared" si="15"/>
        <v>0</v>
      </c>
      <c r="N579" s="49" t="str">
        <f>IFERROR(__xludf.DUMMYFUNCTION("split(G579,""/"")"),"#VALUE!")</f>
        <v>#VALUE!</v>
      </c>
      <c r="O579" s="50"/>
      <c r="P579" s="49"/>
      <c r="Q579" s="49"/>
      <c r="R579" s="49"/>
      <c r="S579" s="49"/>
    </row>
    <row r="580">
      <c r="J580" s="83" t="str">
        <f t="shared" si="14"/>
        <v/>
      </c>
      <c r="K580" s="49" t="str">
        <f>IFERROR(__xludf.DUMMYFUNCTION("IF(M580=1,IFERROR(IMPORTXML(G580, ""//p[@class='status-date']""), ""Not deployed""),"""")"),"")</f>
        <v/>
      </c>
      <c r="L580" s="48"/>
      <c r="M580" s="48">
        <f t="shared" si="15"/>
        <v>0</v>
      </c>
      <c r="N580" s="49" t="str">
        <f>IFERROR(__xludf.DUMMYFUNCTION("split(G580,""/"")"),"#VALUE!")</f>
        <v>#VALUE!</v>
      </c>
      <c r="O580" s="50"/>
      <c r="P580" s="49"/>
      <c r="Q580" s="49"/>
      <c r="R580" s="49"/>
      <c r="S580" s="49"/>
    </row>
    <row r="581">
      <c r="J581" s="83" t="str">
        <f t="shared" si="14"/>
        <v/>
      </c>
      <c r="K581" s="49" t="str">
        <f>IFERROR(__xludf.DUMMYFUNCTION("IF(M581=1,IFERROR(IMPORTXML(G581, ""//p[@class='status-date']""), ""Not deployed""),"""")"),"")</f>
        <v/>
      </c>
      <c r="L581" s="48"/>
      <c r="M581" s="48">
        <f t="shared" si="15"/>
        <v>0</v>
      </c>
      <c r="N581" s="49" t="str">
        <f>IFERROR(__xludf.DUMMYFUNCTION("split(G581,""/"")"),"#VALUE!")</f>
        <v>#VALUE!</v>
      </c>
      <c r="O581" s="50"/>
      <c r="P581" s="49"/>
      <c r="Q581" s="49"/>
      <c r="R581" s="49"/>
      <c r="S581" s="49"/>
    </row>
    <row r="582">
      <c r="J582" s="83" t="str">
        <f t="shared" si="14"/>
        <v/>
      </c>
      <c r="K582" s="49" t="str">
        <f>IFERROR(__xludf.DUMMYFUNCTION("IF(M582=1,IFERROR(IMPORTXML(G582, ""//p[@class='status-date']""), ""Not deployed""),"""")"),"")</f>
        <v/>
      </c>
      <c r="L582" s="48"/>
      <c r="M582" s="48">
        <f t="shared" si="15"/>
        <v>0</v>
      </c>
      <c r="N582" s="49" t="str">
        <f>IFERROR(__xludf.DUMMYFUNCTION("split(G582,""/"")"),"#VALUE!")</f>
        <v>#VALUE!</v>
      </c>
      <c r="O582" s="50"/>
      <c r="P582" s="49"/>
      <c r="Q582" s="49"/>
      <c r="R582" s="49"/>
      <c r="S582" s="49"/>
    </row>
    <row r="583">
      <c r="J583" s="83" t="str">
        <f t="shared" si="14"/>
        <v/>
      </c>
      <c r="K583" s="49" t="str">
        <f>IFERROR(__xludf.DUMMYFUNCTION("IF(M583=1,IFERROR(IMPORTXML(G583, ""//p[@class='status-date']""), ""Not deployed""),"""")"),"")</f>
        <v/>
      </c>
      <c r="L583" s="48"/>
      <c r="M583" s="48">
        <f t="shared" si="15"/>
        <v>0</v>
      </c>
      <c r="N583" s="49" t="str">
        <f>IFERROR(__xludf.DUMMYFUNCTION("split(G583,""/"")"),"#VALUE!")</f>
        <v>#VALUE!</v>
      </c>
      <c r="O583" s="50"/>
      <c r="P583" s="49"/>
      <c r="Q583" s="49"/>
      <c r="R583" s="49"/>
      <c r="S583" s="49"/>
    </row>
    <row r="584">
      <c r="J584" s="83" t="str">
        <f t="shared" si="14"/>
        <v/>
      </c>
      <c r="K584" s="49" t="str">
        <f>IFERROR(__xludf.DUMMYFUNCTION("IF(M584=1,IFERROR(IMPORTXML(G584, ""//p[@class='status-date']""), ""Not deployed""),"""")"),"")</f>
        <v/>
      </c>
      <c r="L584" s="48"/>
      <c r="M584" s="48">
        <f t="shared" si="15"/>
        <v>0</v>
      </c>
      <c r="N584" s="49" t="str">
        <f>IFERROR(__xludf.DUMMYFUNCTION("split(G584,""/"")"),"#VALUE!")</f>
        <v>#VALUE!</v>
      </c>
      <c r="O584" s="50"/>
      <c r="P584" s="49"/>
      <c r="Q584" s="49"/>
      <c r="R584" s="49"/>
      <c r="S584" s="49"/>
    </row>
    <row r="585">
      <c r="J585" s="83" t="str">
        <f t="shared" si="14"/>
        <v/>
      </c>
      <c r="K585" s="49" t="str">
        <f>IFERROR(__xludf.DUMMYFUNCTION("IF(M585=1,IFERROR(IMPORTXML(G585, ""//p[@class='status-date']""), ""Not deployed""),"""")"),"")</f>
        <v/>
      </c>
      <c r="L585" s="48"/>
      <c r="M585" s="48">
        <f t="shared" si="15"/>
        <v>0</v>
      </c>
      <c r="N585" s="49" t="str">
        <f>IFERROR(__xludf.DUMMYFUNCTION("split(G585,""/"")"),"#VALUE!")</f>
        <v>#VALUE!</v>
      </c>
      <c r="O585" s="50"/>
      <c r="P585" s="49"/>
      <c r="Q585" s="49"/>
      <c r="R585" s="49"/>
      <c r="S585" s="49"/>
    </row>
    <row r="586">
      <c r="J586" s="83" t="str">
        <f t="shared" si="14"/>
        <v/>
      </c>
      <c r="K586" s="49" t="str">
        <f>IFERROR(__xludf.DUMMYFUNCTION("IF(M586=1,IFERROR(IMPORTXML(G586, ""//p[@class='status-date']""), ""Not deployed""),"""")"),"")</f>
        <v/>
      </c>
      <c r="L586" s="48"/>
      <c r="M586" s="48">
        <f t="shared" si="15"/>
        <v>0</v>
      </c>
      <c r="N586" s="49" t="str">
        <f>IFERROR(__xludf.DUMMYFUNCTION("split(G586,""/"")"),"#VALUE!")</f>
        <v>#VALUE!</v>
      </c>
      <c r="O586" s="50"/>
      <c r="P586" s="49"/>
      <c r="Q586" s="49"/>
      <c r="R586" s="49"/>
      <c r="S586" s="49"/>
    </row>
    <row r="587">
      <c r="J587" s="83" t="str">
        <f t="shared" si="14"/>
        <v/>
      </c>
      <c r="K587" s="49" t="str">
        <f>IFERROR(__xludf.DUMMYFUNCTION("IF(M587=1,IFERROR(IMPORTXML(G587, ""//p[@class='status-date']""), ""Not deployed""),"""")"),"")</f>
        <v/>
      </c>
      <c r="L587" s="48"/>
      <c r="M587" s="48">
        <f t="shared" si="15"/>
        <v>0</v>
      </c>
      <c r="N587" s="49" t="str">
        <f>IFERROR(__xludf.DUMMYFUNCTION("split(G587,""/"")"),"#VALUE!")</f>
        <v>#VALUE!</v>
      </c>
      <c r="O587" s="50"/>
      <c r="P587" s="49"/>
      <c r="Q587" s="49"/>
      <c r="R587" s="49"/>
      <c r="S587" s="49"/>
    </row>
    <row r="588">
      <c r="J588" s="83" t="str">
        <f t="shared" si="14"/>
        <v/>
      </c>
      <c r="K588" s="49" t="str">
        <f>IFERROR(__xludf.DUMMYFUNCTION("IF(M588=1,IFERROR(IMPORTXML(G588, ""//p[@class='status-date']""), ""Not deployed""),"""")"),"")</f>
        <v/>
      </c>
      <c r="L588" s="48"/>
      <c r="M588" s="48">
        <f t="shared" si="15"/>
        <v>0</v>
      </c>
      <c r="N588" s="49" t="str">
        <f>IFERROR(__xludf.DUMMYFUNCTION("split(G588,""/"")"),"#VALUE!")</f>
        <v>#VALUE!</v>
      </c>
      <c r="O588" s="50"/>
      <c r="P588" s="49"/>
      <c r="Q588" s="49"/>
      <c r="R588" s="49"/>
      <c r="S588" s="49"/>
    </row>
    <row r="589">
      <c r="J589" s="83" t="str">
        <f t="shared" si="14"/>
        <v/>
      </c>
      <c r="K589" s="49" t="str">
        <f>IFERROR(__xludf.DUMMYFUNCTION("IF(M589=1,IFERROR(IMPORTXML(G589, ""//p[@class='status-date']""), ""Not deployed""),"""")"),"")</f>
        <v/>
      </c>
      <c r="L589" s="48"/>
      <c r="M589" s="48">
        <f t="shared" si="15"/>
        <v>0</v>
      </c>
      <c r="N589" s="49" t="str">
        <f>IFERROR(__xludf.DUMMYFUNCTION("split(G589,""/"")"),"#VALUE!")</f>
        <v>#VALUE!</v>
      </c>
      <c r="O589" s="50"/>
      <c r="P589" s="49"/>
      <c r="Q589" s="49"/>
      <c r="R589" s="49"/>
      <c r="S589" s="49"/>
    </row>
    <row r="590">
      <c r="J590" s="83" t="str">
        <f t="shared" si="14"/>
        <v/>
      </c>
      <c r="K590" s="49" t="str">
        <f>IFERROR(__xludf.DUMMYFUNCTION("IF(M590=1,IFERROR(IMPORTXML(G590, ""//p[@class='status-date']""), ""Not deployed""),"""")"),"")</f>
        <v/>
      </c>
      <c r="L590" s="48"/>
      <c r="M590" s="48">
        <f t="shared" si="15"/>
        <v>0</v>
      </c>
      <c r="N590" s="49" t="str">
        <f>IFERROR(__xludf.DUMMYFUNCTION("split(G590,""/"")"),"#VALUE!")</f>
        <v>#VALUE!</v>
      </c>
      <c r="O590" s="50"/>
      <c r="P590" s="49"/>
      <c r="Q590" s="49"/>
      <c r="R590" s="49"/>
      <c r="S590" s="49"/>
    </row>
    <row r="591">
      <c r="J591" s="83" t="str">
        <f t="shared" si="14"/>
        <v/>
      </c>
      <c r="K591" s="49" t="str">
        <f>IFERROR(__xludf.DUMMYFUNCTION("IF(M591=1,IFERROR(IMPORTXML(G591, ""//p[@class='status-date']""), ""Not deployed""),"""")"),"")</f>
        <v/>
      </c>
      <c r="L591" s="48"/>
      <c r="M591" s="48">
        <f t="shared" si="15"/>
        <v>0</v>
      </c>
      <c r="N591" s="49" t="str">
        <f>IFERROR(__xludf.DUMMYFUNCTION("split(G591,""/"")"),"#VALUE!")</f>
        <v>#VALUE!</v>
      </c>
      <c r="O591" s="50"/>
      <c r="P591" s="49"/>
      <c r="Q591" s="49"/>
      <c r="R591" s="49"/>
      <c r="S591" s="49"/>
    </row>
    <row r="592">
      <c r="J592" s="83" t="str">
        <f t="shared" si="14"/>
        <v/>
      </c>
      <c r="K592" s="49" t="str">
        <f>IFERROR(__xludf.DUMMYFUNCTION("IF(M592=1,IFERROR(IMPORTXML(G592, ""//p[@class='status-date']""), ""Not deployed""),"""")"),"")</f>
        <v/>
      </c>
      <c r="L592" s="48"/>
      <c r="M592" s="48">
        <f t="shared" si="15"/>
        <v>0</v>
      </c>
      <c r="N592" s="49" t="str">
        <f>IFERROR(__xludf.DUMMYFUNCTION("split(G592,""/"")"),"#VALUE!")</f>
        <v>#VALUE!</v>
      </c>
      <c r="O592" s="50"/>
      <c r="P592" s="49"/>
      <c r="Q592" s="49"/>
      <c r="R592" s="49"/>
      <c r="S592" s="49"/>
    </row>
    <row r="593">
      <c r="J593" s="83" t="str">
        <f t="shared" si="14"/>
        <v/>
      </c>
      <c r="K593" s="49" t="str">
        <f>IFERROR(__xludf.DUMMYFUNCTION("IF(M593=1,IFERROR(IMPORTXML(G593, ""//p[@class='status-date']""), ""Not deployed""),"""")"),"")</f>
        <v/>
      </c>
      <c r="L593" s="48"/>
      <c r="M593" s="48">
        <f t="shared" si="15"/>
        <v>0</v>
      </c>
      <c r="N593" s="49" t="str">
        <f>IFERROR(__xludf.DUMMYFUNCTION("split(G593,""/"")"),"#VALUE!")</f>
        <v>#VALUE!</v>
      </c>
      <c r="O593" s="50"/>
      <c r="P593" s="49"/>
      <c r="Q593" s="49"/>
      <c r="R593" s="49"/>
      <c r="S593" s="49"/>
    </row>
    <row r="594">
      <c r="J594" s="83" t="str">
        <f t="shared" si="14"/>
        <v/>
      </c>
      <c r="K594" s="49" t="str">
        <f>IFERROR(__xludf.DUMMYFUNCTION("IF(M594=1,IFERROR(IMPORTXML(G594, ""//p[@class='status-date']""), ""Not deployed""),"""")"),"")</f>
        <v/>
      </c>
      <c r="L594" s="48"/>
      <c r="M594" s="48">
        <f t="shared" si="15"/>
        <v>0</v>
      </c>
      <c r="N594" s="49" t="str">
        <f>IFERROR(__xludf.DUMMYFUNCTION("split(G594,""/"")"),"#VALUE!")</f>
        <v>#VALUE!</v>
      </c>
      <c r="O594" s="50"/>
      <c r="P594" s="49"/>
      <c r="Q594" s="49"/>
      <c r="R594" s="49"/>
      <c r="S594" s="49"/>
    </row>
    <row r="595">
      <c r="J595" s="83" t="str">
        <f t="shared" si="14"/>
        <v/>
      </c>
      <c r="K595" s="49" t="str">
        <f>IFERROR(__xludf.DUMMYFUNCTION("IF(M595=1,IFERROR(IMPORTXML(G595, ""//p[@class='status-date']""), ""Not deployed""),"""")"),"")</f>
        <v/>
      </c>
      <c r="L595" s="48"/>
      <c r="M595" s="48">
        <f t="shared" si="15"/>
        <v>0</v>
      </c>
      <c r="N595" s="49" t="str">
        <f>IFERROR(__xludf.DUMMYFUNCTION("split(G595,""/"")"),"#VALUE!")</f>
        <v>#VALUE!</v>
      </c>
      <c r="O595" s="50"/>
      <c r="P595" s="49"/>
      <c r="Q595" s="49"/>
      <c r="R595" s="49"/>
      <c r="S595" s="49"/>
    </row>
    <row r="596">
      <c r="J596" s="83" t="str">
        <f t="shared" si="14"/>
        <v/>
      </c>
      <c r="K596" s="49" t="str">
        <f>IFERROR(__xludf.DUMMYFUNCTION("IF(M596=1,IFERROR(IMPORTXML(G596, ""//p[@class='status-date']""), ""Not deployed""),"""")"),"")</f>
        <v/>
      </c>
      <c r="L596" s="48"/>
      <c r="M596" s="48">
        <f t="shared" si="15"/>
        <v>0</v>
      </c>
      <c r="N596" s="49" t="str">
        <f>IFERROR(__xludf.DUMMYFUNCTION("split(G596,""/"")"),"#VALUE!")</f>
        <v>#VALUE!</v>
      </c>
      <c r="O596" s="50"/>
      <c r="P596" s="49"/>
      <c r="Q596" s="49"/>
      <c r="R596" s="49"/>
      <c r="S596" s="49"/>
    </row>
    <row r="597">
      <c r="J597" s="83" t="str">
        <f t="shared" si="14"/>
        <v/>
      </c>
      <c r="K597" s="49" t="str">
        <f>IFERROR(__xludf.DUMMYFUNCTION("IF(M597=1,IFERROR(IMPORTXML(G597, ""//p[@class='status-date']""), ""Not deployed""),"""")"),"")</f>
        <v/>
      </c>
      <c r="L597" s="48"/>
      <c r="M597" s="48">
        <f t="shared" si="15"/>
        <v>0</v>
      </c>
      <c r="N597" s="49" t="str">
        <f>IFERROR(__xludf.DUMMYFUNCTION("split(G597,""/"")"),"#VALUE!")</f>
        <v>#VALUE!</v>
      </c>
      <c r="O597" s="50"/>
      <c r="P597" s="49"/>
      <c r="Q597" s="49"/>
      <c r="R597" s="49"/>
      <c r="S597" s="49"/>
    </row>
    <row r="598">
      <c r="J598" s="83" t="str">
        <f t="shared" si="14"/>
        <v/>
      </c>
      <c r="K598" s="49" t="str">
        <f>IFERROR(__xludf.DUMMYFUNCTION("IF(M598=1,IFERROR(IMPORTXML(G598, ""//p[@class='status-date']""), ""Not deployed""),"""")"),"")</f>
        <v/>
      </c>
      <c r="L598" s="48"/>
      <c r="M598" s="48">
        <f t="shared" si="15"/>
        <v>0</v>
      </c>
      <c r="N598" s="49" t="str">
        <f>IFERROR(__xludf.DUMMYFUNCTION("split(G598,""/"")"),"#VALUE!")</f>
        <v>#VALUE!</v>
      </c>
      <c r="O598" s="50"/>
      <c r="P598" s="49"/>
      <c r="Q598" s="49"/>
      <c r="R598" s="49"/>
      <c r="S598" s="49"/>
    </row>
    <row r="599">
      <c r="J599" s="83" t="str">
        <f t="shared" si="14"/>
        <v/>
      </c>
      <c r="K599" s="49" t="str">
        <f>IFERROR(__xludf.DUMMYFUNCTION("IF(M599=1,IFERROR(IMPORTXML(G599, ""//p[@class='status-date']""), ""Not deployed""),"""")"),"")</f>
        <v/>
      </c>
      <c r="L599" s="48"/>
      <c r="M599" s="48">
        <f t="shared" si="15"/>
        <v>0</v>
      </c>
      <c r="N599" s="49" t="str">
        <f>IFERROR(__xludf.DUMMYFUNCTION("split(G599,""/"")"),"#VALUE!")</f>
        <v>#VALUE!</v>
      </c>
      <c r="O599" s="50"/>
      <c r="P599" s="49"/>
      <c r="Q599" s="49"/>
      <c r="R599" s="49"/>
      <c r="S599" s="49"/>
    </row>
    <row r="600">
      <c r="J600" s="83" t="str">
        <f t="shared" si="14"/>
        <v/>
      </c>
      <c r="K600" s="49" t="str">
        <f>IFERROR(__xludf.DUMMYFUNCTION("IF(M600=1,IFERROR(IMPORTXML(G600, ""//p[@class='status-date']""), ""Not deployed""),"""")"),"")</f>
        <v/>
      </c>
      <c r="L600" s="48"/>
      <c r="M600" s="48">
        <f t="shared" si="15"/>
        <v>0</v>
      </c>
      <c r="N600" s="49" t="str">
        <f>IFERROR(__xludf.DUMMYFUNCTION("split(G600,""/"")"),"#VALUE!")</f>
        <v>#VALUE!</v>
      </c>
      <c r="O600" s="50"/>
      <c r="P600" s="49"/>
      <c r="Q600" s="49"/>
      <c r="R600" s="49"/>
      <c r="S600" s="49"/>
    </row>
    <row r="601">
      <c r="J601" s="83" t="str">
        <f t="shared" si="14"/>
        <v/>
      </c>
      <c r="K601" s="49" t="str">
        <f>IFERROR(__xludf.DUMMYFUNCTION("IF(M601=1,IFERROR(IMPORTXML(G601, ""//p[@class='status-date']""), ""Not deployed""),"""")"),"")</f>
        <v/>
      </c>
      <c r="L601" s="48"/>
      <c r="M601" s="48">
        <f t="shared" si="15"/>
        <v>0</v>
      </c>
      <c r="N601" s="49" t="str">
        <f>IFERROR(__xludf.DUMMYFUNCTION("split(G601,""/"")"),"#VALUE!")</f>
        <v>#VALUE!</v>
      </c>
      <c r="O601" s="50"/>
      <c r="P601" s="49"/>
      <c r="Q601" s="49"/>
      <c r="R601" s="49"/>
      <c r="S601" s="49"/>
    </row>
    <row r="602">
      <c r="J602" s="83" t="str">
        <f t="shared" si="14"/>
        <v/>
      </c>
      <c r="K602" s="49" t="str">
        <f>IFERROR(__xludf.DUMMYFUNCTION("IF(M602=1,IFERROR(IMPORTXML(G602, ""//p[@class='status-date']""), ""Not deployed""),"""")"),"")</f>
        <v/>
      </c>
      <c r="L602" s="48"/>
      <c r="M602" s="48">
        <f t="shared" si="15"/>
        <v>0</v>
      </c>
      <c r="N602" s="49" t="str">
        <f>IFERROR(__xludf.DUMMYFUNCTION("split(G602,""/"")"),"#VALUE!")</f>
        <v>#VALUE!</v>
      </c>
      <c r="O602" s="57"/>
      <c r="P602" s="49"/>
      <c r="Q602" s="49"/>
      <c r="R602" s="49"/>
      <c r="S602" s="49"/>
    </row>
    <row r="603">
      <c r="J603" s="83" t="str">
        <f t="shared" si="14"/>
        <v/>
      </c>
      <c r="K603" s="49" t="str">
        <f>IFERROR(__xludf.DUMMYFUNCTION("IF(M603=1,IFERROR(IMPORTXML(G603, ""//p[@class='status-date']""), ""Not deployed""),"""")"),"")</f>
        <v/>
      </c>
      <c r="L603" s="48"/>
      <c r="M603" s="48">
        <f t="shared" si="15"/>
        <v>0</v>
      </c>
      <c r="N603" s="49" t="str">
        <f>IFERROR(__xludf.DUMMYFUNCTION("split(G603,""/"")"),"#VALUE!")</f>
        <v>#VALUE!</v>
      </c>
      <c r="O603" s="50"/>
      <c r="P603" s="49"/>
      <c r="Q603" s="49"/>
      <c r="R603" s="49"/>
      <c r="S603" s="49"/>
    </row>
    <row r="604">
      <c r="J604" s="83" t="str">
        <f t="shared" si="14"/>
        <v/>
      </c>
      <c r="K604" s="49" t="str">
        <f>IFERROR(__xludf.DUMMYFUNCTION("IF(M604=1,IFERROR(IMPORTXML(G604, ""//p[@class='status-date']""), ""Not deployed""),"""")"),"")</f>
        <v/>
      </c>
      <c r="L604" s="48"/>
      <c r="M604" s="48">
        <f t="shared" si="15"/>
        <v>0</v>
      </c>
      <c r="N604" s="49" t="str">
        <f>IFERROR(__xludf.DUMMYFUNCTION("split(G604,""/"")"),"#VALUE!")</f>
        <v>#VALUE!</v>
      </c>
      <c r="O604" s="50"/>
      <c r="P604" s="49"/>
      <c r="Q604" s="49"/>
      <c r="R604" s="49"/>
      <c r="S604" s="49"/>
    </row>
    <row r="605">
      <c r="J605" s="83" t="str">
        <f t="shared" si="14"/>
        <v/>
      </c>
      <c r="K605" s="49" t="str">
        <f>IFERROR(__xludf.DUMMYFUNCTION("IF(M605=1,IFERROR(IMPORTXML(G605, ""//p[@class='status-date']""), ""Not deployed""),"""")"),"")</f>
        <v/>
      </c>
      <c r="L605" s="48"/>
      <c r="M605" s="48">
        <f t="shared" si="15"/>
        <v>0</v>
      </c>
      <c r="N605" s="49" t="str">
        <f>IFERROR(__xludf.DUMMYFUNCTION("split(G605,""/"")"),"#VALUE!")</f>
        <v>#VALUE!</v>
      </c>
      <c r="O605" s="50"/>
      <c r="P605" s="49"/>
      <c r="Q605" s="49"/>
      <c r="R605" s="49"/>
      <c r="S605" s="49"/>
    </row>
    <row r="606">
      <c r="J606" s="83" t="str">
        <f t="shared" si="14"/>
        <v/>
      </c>
      <c r="K606" s="49" t="str">
        <f>IFERROR(__xludf.DUMMYFUNCTION("IF(M606=1,IFERROR(IMPORTXML(G606, ""//p[@class='status-date']""), ""Not deployed""),"""")"),"")</f>
        <v/>
      </c>
      <c r="L606" s="48"/>
      <c r="M606" s="48">
        <f t="shared" si="15"/>
        <v>0</v>
      </c>
      <c r="N606" s="49" t="str">
        <f>IFERROR(__xludf.DUMMYFUNCTION("split(G606,""/"")"),"#VALUE!")</f>
        <v>#VALUE!</v>
      </c>
      <c r="O606" s="50"/>
      <c r="P606" s="49"/>
      <c r="Q606" s="49"/>
      <c r="R606" s="49"/>
      <c r="S606" s="49"/>
    </row>
    <row r="607">
      <c r="J607" s="83" t="str">
        <f t="shared" si="14"/>
        <v/>
      </c>
      <c r="K607" s="49" t="str">
        <f>IFERROR(__xludf.DUMMYFUNCTION("IF(M607=1,IFERROR(IMPORTXML(G607, ""//p[@class='status-date']""), ""Not deployed""),"""")"),"")</f>
        <v/>
      </c>
      <c r="L607" s="48"/>
      <c r="M607" s="48">
        <f t="shared" si="15"/>
        <v>0</v>
      </c>
      <c r="N607" s="49" t="str">
        <f>IFERROR(__xludf.DUMMYFUNCTION("split(G607,""/"")"),"#VALUE!")</f>
        <v>#VALUE!</v>
      </c>
      <c r="O607" s="50"/>
      <c r="P607" s="49"/>
      <c r="Q607" s="49"/>
      <c r="R607" s="49"/>
      <c r="S607" s="49"/>
    </row>
    <row r="608">
      <c r="J608" s="83" t="str">
        <f t="shared" si="14"/>
        <v/>
      </c>
      <c r="K608" s="49" t="str">
        <f>IFERROR(__xludf.DUMMYFUNCTION("IF(M608=1,IFERROR(IMPORTXML(G608, ""//p[@class='status-date']""), ""Not deployed""),"""")"),"")</f>
        <v/>
      </c>
      <c r="L608" s="48"/>
      <c r="M608" s="48">
        <f t="shared" si="15"/>
        <v>0</v>
      </c>
      <c r="N608" s="49" t="str">
        <f>IFERROR(__xludf.DUMMYFUNCTION("split(G608,""/"")"),"#VALUE!")</f>
        <v>#VALUE!</v>
      </c>
      <c r="O608" s="50"/>
      <c r="P608" s="49"/>
      <c r="Q608" s="49"/>
      <c r="R608" s="49"/>
      <c r="S608" s="49"/>
    </row>
    <row r="609">
      <c r="J609" s="83" t="str">
        <f t="shared" si="14"/>
        <v/>
      </c>
      <c r="K609" s="49" t="str">
        <f>IFERROR(__xludf.DUMMYFUNCTION("IF(M609=1,IFERROR(IMPORTXML(G609, ""//p[@class='status-date']""), ""Not deployed""),"""")"),"")</f>
        <v/>
      </c>
      <c r="L609" s="48"/>
      <c r="M609" s="48">
        <f t="shared" si="15"/>
        <v>0</v>
      </c>
      <c r="N609" s="49" t="str">
        <f>IFERROR(__xludf.DUMMYFUNCTION("split(G609,""/"")"),"#VALUE!")</f>
        <v>#VALUE!</v>
      </c>
      <c r="O609" s="50"/>
      <c r="P609" s="49"/>
      <c r="Q609" s="49"/>
      <c r="R609" s="49"/>
      <c r="S609" s="49"/>
    </row>
    <row r="610">
      <c r="J610" s="83" t="str">
        <f t="shared" si="14"/>
        <v/>
      </c>
      <c r="K610" s="49" t="str">
        <f>IFERROR(__xludf.DUMMYFUNCTION("IF(M610=1,IFERROR(IMPORTXML(G610, ""//p[@class='status-date']""), ""Not deployed""),"""")"),"")</f>
        <v/>
      </c>
      <c r="L610" s="48"/>
      <c r="M610" s="48">
        <f t="shared" si="15"/>
        <v>0</v>
      </c>
      <c r="N610" s="49" t="str">
        <f>IFERROR(__xludf.DUMMYFUNCTION("split(G610,""/"")"),"#VALUE!")</f>
        <v>#VALUE!</v>
      </c>
      <c r="O610" s="50"/>
      <c r="P610" s="49"/>
      <c r="Q610" s="49"/>
      <c r="R610" s="49"/>
      <c r="S610" s="49"/>
    </row>
    <row r="611">
      <c r="J611" s="83" t="str">
        <f t="shared" si="14"/>
        <v/>
      </c>
      <c r="K611" s="49" t="str">
        <f>IFERROR(__xludf.DUMMYFUNCTION("IF(M611=1,IFERROR(IMPORTXML(G611, ""//p[@class='status-date']""), ""Not deployed""),"""")"),"")</f>
        <v/>
      </c>
      <c r="L611" s="48"/>
      <c r="M611" s="48">
        <f t="shared" si="15"/>
        <v>0</v>
      </c>
      <c r="N611" s="49" t="str">
        <f>IFERROR(__xludf.DUMMYFUNCTION("split(G611,""/"")"),"#VALUE!")</f>
        <v>#VALUE!</v>
      </c>
      <c r="O611" s="50"/>
      <c r="P611" s="49"/>
      <c r="Q611" s="49"/>
      <c r="R611" s="49"/>
      <c r="S611" s="49"/>
    </row>
    <row r="612">
      <c r="J612" s="83"/>
    </row>
    <row r="613">
      <c r="J613" s="83"/>
    </row>
    <row r="614">
      <c r="J614" s="83"/>
    </row>
    <row r="615">
      <c r="J615" s="83"/>
    </row>
    <row r="616">
      <c r="J616" s="83"/>
    </row>
    <row r="617">
      <c r="J617" s="83"/>
    </row>
    <row r="618">
      <c r="J618" s="83"/>
    </row>
    <row r="619">
      <c r="J619" s="83"/>
    </row>
    <row r="620">
      <c r="J620" s="83"/>
    </row>
    <row r="621">
      <c r="J621" s="83"/>
    </row>
    <row r="622">
      <c r="J622" s="83"/>
    </row>
    <row r="623">
      <c r="J623" s="83"/>
    </row>
    <row r="624">
      <c r="J624" s="83"/>
    </row>
    <row r="625">
      <c r="J625" s="83"/>
    </row>
    <row r="626">
      <c r="J626" s="83"/>
    </row>
    <row r="627">
      <c r="J627" s="83"/>
    </row>
    <row r="628">
      <c r="J628" s="83"/>
    </row>
    <row r="629">
      <c r="J629" s="83"/>
    </row>
    <row r="630">
      <c r="J630" s="83"/>
    </row>
    <row r="631">
      <c r="J631" s="83"/>
    </row>
    <row r="632">
      <c r="J632" s="83"/>
    </row>
    <row r="633">
      <c r="J633" s="83"/>
    </row>
    <row r="634">
      <c r="J634" s="83"/>
    </row>
    <row r="635">
      <c r="J635" s="83"/>
    </row>
    <row r="636">
      <c r="J636" s="83"/>
    </row>
    <row r="637">
      <c r="J637" s="83"/>
    </row>
    <row r="638">
      <c r="J638" s="83"/>
    </row>
    <row r="639">
      <c r="J639" s="83"/>
    </row>
    <row r="640">
      <c r="J640" s="83"/>
    </row>
    <row r="641">
      <c r="J641" s="83"/>
    </row>
    <row r="642">
      <c r="J642" s="83"/>
    </row>
    <row r="643">
      <c r="J643" s="83"/>
    </row>
    <row r="644">
      <c r="J644" s="83"/>
    </row>
    <row r="645">
      <c r="J645" s="100"/>
      <c r="K645" s="5"/>
      <c r="L645" s="5"/>
      <c r="M645" s="5"/>
      <c r="N645" s="5"/>
      <c r="O645" s="5"/>
      <c r="P645" s="5"/>
      <c r="Q645" s="5"/>
      <c r="R645" s="5"/>
      <c r="S645" s="5"/>
    </row>
    <row r="646">
      <c r="J646" s="100"/>
      <c r="K646" s="5"/>
      <c r="L646" s="5"/>
      <c r="M646" s="5"/>
      <c r="N646" s="5"/>
      <c r="O646" s="5"/>
      <c r="P646" s="5"/>
      <c r="Q646" s="5"/>
      <c r="R646" s="5"/>
      <c r="S646" s="5"/>
    </row>
    <row r="647">
      <c r="J647" s="100"/>
      <c r="K647" s="5"/>
      <c r="L647" s="5"/>
      <c r="M647" s="5"/>
      <c r="N647" s="5"/>
      <c r="O647" s="5"/>
      <c r="P647" s="5"/>
      <c r="Q647" s="5"/>
      <c r="R647" s="5"/>
      <c r="S647" s="5"/>
    </row>
    <row r="648">
      <c r="J648" s="100"/>
      <c r="K648" s="5"/>
      <c r="L648" s="5"/>
      <c r="M648" s="5"/>
      <c r="N648" s="5"/>
      <c r="O648" s="5"/>
      <c r="P648" s="5"/>
      <c r="Q648" s="5"/>
      <c r="R648" s="5"/>
      <c r="S648" s="5"/>
    </row>
    <row r="649">
      <c r="J649" s="102"/>
      <c r="K649" s="40"/>
      <c r="L649" s="40"/>
      <c r="M649" s="40"/>
      <c r="N649" s="40"/>
      <c r="O649" s="40"/>
      <c r="P649" s="40"/>
      <c r="Q649" s="40"/>
      <c r="R649" s="40"/>
      <c r="S649" s="40"/>
    </row>
    <row r="650">
      <c r="J650" s="83"/>
    </row>
    <row r="651">
      <c r="J651" s="103"/>
      <c r="K651" s="41" t="s">
        <v>94</v>
      </c>
      <c r="L651" s="41" t="s">
        <v>95</v>
      </c>
      <c r="M651" s="41" t="s">
        <v>96</v>
      </c>
      <c r="N651" s="42" t="s">
        <v>97</v>
      </c>
    </row>
    <row r="652">
      <c r="J652" s="83" t="str">
        <f t="shared" ref="J652:J703" si="16">if(I652=true,"",S652)</f>
        <v/>
      </c>
      <c r="K652" s="49" t="str">
        <f>IFERROR(__xludf.DUMMYFUNCTION("IF(M652=1,IFERROR(IMPORTXML(G652, ""//p[@class='status-date']""), ""Not deployed""),"""")"),"")</f>
        <v/>
      </c>
      <c r="L652" s="48"/>
      <c r="M652" s="48">
        <f t="shared" ref="M652:M703" si="17">if(I652=TRUE,2,IF(ISTEXT(G652),1,0))</f>
        <v>0</v>
      </c>
      <c r="N652" s="49" t="str">
        <f>IFERROR(__xludf.DUMMYFUNCTION("split(G652,""/"")"),"#VALUE!")</f>
        <v>#VALUE!</v>
      </c>
      <c r="O652" s="50"/>
      <c r="P652" s="49"/>
      <c r="Q652" s="49"/>
      <c r="R652" s="49"/>
      <c r="S652" s="49"/>
    </row>
    <row r="653">
      <c r="J653" s="83" t="str">
        <f t="shared" si="16"/>
        <v/>
      </c>
      <c r="K653" s="49" t="str">
        <f>IFERROR(__xludf.DUMMYFUNCTION("IF(M653=1,IFERROR(IMPORTXML(G653, ""//p[@class='status-date']""), ""Not deployed""),"""")"),"")</f>
        <v/>
      </c>
      <c r="L653" s="48"/>
      <c r="M653" s="48">
        <f t="shared" si="17"/>
        <v>0</v>
      </c>
      <c r="N653" s="49" t="str">
        <f>IFERROR(__xludf.DUMMYFUNCTION("split(G653,""/"")"),"#VALUE!")</f>
        <v>#VALUE!</v>
      </c>
      <c r="O653" s="50"/>
      <c r="P653" s="49"/>
      <c r="Q653" s="49"/>
      <c r="R653" s="49"/>
      <c r="S653" s="49"/>
    </row>
    <row r="654">
      <c r="J654" s="83" t="str">
        <f t="shared" si="16"/>
        <v/>
      </c>
      <c r="K654" s="49" t="str">
        <f>IFERROR(__xludf.DUMMYFUNCTION("IF(M654=1,IFERROR(IMPORTXML(G654, ""//p[@class='status-date']""), ""Not deployed""),"""")"),"")</f>
        <v/>
      </c>
      <c r="L654" s="48"/>
      <c r="M654" s="48">
        <f t="shared" si="17"/>
        <v>0</v>
      </c>
      <c r="N654" s="49" t="str">
        <f>IFERROR(__xludf.DUMMYFUNCTION("split(G654,""/"")"),"#VALUE!")</f>
        <v>#VALUE!</v>
      </c>
      <c r="O654" s="50"/>
      <c r="P654" s="49"/>
      <c r="Q654" s="49"/>
      <c r="R654" s="49"/>
      <c r="S654" s="49"/>
    </row>
    <row r="655">
      <c r="J655" s="83" t="str">
        <f t="shared" si="16"/>
        <v/>
      </c>
      <c r="K655" s="49" t="str">
        <f>IFERROR(__xludf.DUMMYFUNCTION("IF(M655=1,IFERROR(IMPORTXML(G655, ""//p[@class='status-date']""), ""Not deployed""),"""")"),"")</f>
        <v/>
      </c>
      <c r="L655" s="48"/>
      <c r="M655" s="48">
        <f t="shared" si="17"/>
        <v>0</v>
      </c>
      <c r="N655" s="49" t="str">
        <f>IFERROR(__xludf.DUMMYFUNCTION("split(G655,""/"")"),"#VALUE!")</f>
        <v>#VALUE!</v>
      </c>
      <c r="O655" s="50"/>
      <c r="P655" s="49"/>
      <c r="Q655" s="49"/>
      <c r="R655" s="49"/>
      <c r="S655" s="49"/>
    </row>
    <row r="656">
      <c r="J656" s="83" t="str">
        <f t="shared" si="16"/>
        <v/>
      </c>
      <c r="K656" s="49" t="str">
        <f>IFERROR(__xludf.DUMMYFUNCTION("IF(M656=1,IFERROR(IMPORTXML(G656, ""//p[@class='status-date']""), ""Not deployed""),"""")"),"")</f>
        <v/>
      </c>
      <c r="L656" s="48"/>
      <c r="M656" s="48">
        <f t="shared" si="17"/>
        <v>0</v>
      </c>
      <c r="N656" s="49" t="str">
        <f>IFERROR(__xludf.DUMMYFUNCTION("split(G656,""/"")"),"#VALUE!")</f>
        <v>#VALUE!</v>
      </c>
      <c r="O656" s="50"/>
      <c r="P656" s="49"/>
      <c r="Q656" s="49"/>
      <c r="R656" s="49"/>
      <c r="S656" s="49"/>
    </row>
    <row r="657">
      <c r="J657" s="83" t="str">
        <f t="shared" si="16"/>
        <v/>
      </c>
      <c r="K657" s="49" t="str">
        <f>IFERROR(__xludf.DUMMYFUNCTION("IF(M657=1,IFERROR(IMPORTXML(G657, ""//p[@class='status-date']""), ""Not deployed""),"""")"),"")</f>
        <v/>
      </c>
      <c r="L657" s="48"/>
      <c r="M657" s="48">
        <f t="shared" si="17"/>
        <v>0</v>
      </c>
      <c r="N657" s="49" t="str">
        <f>IFERROR(__xludf.DUMMYFUNCTION("split(G657,""/"")"),"#VALUE!")</f>
        <v>#VALUE!</v>
      </c>
      <c r="O657" s="50"/>
      <c r="P657" s="49"/>
      <c r="Q657" s="49"/>
      <c r="R657" s="49"/>
      <c r="S657" s="49"/>
    </row>
    <row r="658">
      <c r="J658" s="83" t="str">
        <f t="shared" si="16"/>
        <v/>
      </c>
      <c r="K658" s="49" t="str">
        <f>IFERROR(__xludf.DUMMYFUNCTION("IF(M658=1,IFERROR(IMPORTXML(G658, ""//p[@class='status-date']""), ""Not deployed""),"""")"),"")</f>
        <v/>
      </c>
      <c r="L658" s="48"/>
      <c r="M658" s="48">
        <f t="shared" si="17"/>
        <v>0</v>
      </c>
      <c r="N658" s="49" t="str">
        <f>IFERROR(__xludf.DUMMYFUNCTION("split(G658,""/"")"),"#VALUE!")</f>
        <v>#VALUE!</v>
      </c>
      <c r="O658" s="50"/>
      <c r="P658" s="49"/>
      <c r="Q658" s="49"/>
      <c r="R658" s="49"/>
      <c r="S658" s="49"/>
    </row>
    <row r="659">
      <c r="J659" s="83" t="str">
        <f t="shared" si="16"/>
        <v/>
      </c>
      <c r="K659" s="49" t="str">
        <f>IFERROR(__xludf.DUMMYFUNCTION("IF(M659=1,IFERROR(IMPORTXML(G659, ""//p[@class='status-date']""), ""Not deployed""),"""")"),"")</f>
        <v/>
      </c>
      <c r="L659" s="48"/>
      <c r="M659" s="48">
        <f t="shared" si="17"/>
        <v>0</v>
      </c>
      <c r="N659" s="49" t="str">
        <f>IFERROR(__xludf.DUMMYFUNCTION("split(G659,""/"")"),"#VALUE!")</f>
        <v>#VALUE!</v>
      </c>
      <c r="O659" s="50"/>
      <c r="P659" s="49"/>
      <c r="Q659" s="49"/>
      <c r="R659" s="49"/>
      <c r="S659" s="49"/>
    </row>
    <row r="660">
      <c r="J660" s="83" t="str">
        <f t="shared" si="16"/>
        <v/>
      </c>
      <c r="K660" s="49" t="str">
        <f>IFERROR(__xludf.DUMMYFUNCTION("IF(M660=1,IFERROR(IMPORTXML(G660, ""//p[@class='status-date']""), ""Not deployed""),"""")"),"")</f>
        <v/>
      </c>
      <c r="L660" s="48"/>
      <c r="M660" s="48">
        <f t="shared" si="17"/>
        <v>0</v>
      </c>
      <c r="N660" s="49" t="str">
        <f>IFERROR(__xludf.DUMMYFUNCTION("split(G660,""/"")"),"#VALUE!")</f>
        <v>#VALUE!</v>
      </c>
      <c r="O660" s="50"/>
      <c r="P660" s="49"/>
      <c r="Q660" s="49"/>
      <c r="R660" s="49"/>
      <c r="S660" s="49"/>
    </row>
    <row r="661">
      <c r="J661" s="83" t="str">
        <f t="shared" si="16"/>
        <v/>
      </c>
      <c r="K661" s="49" t="str">
        <f>IFERROR(__xludf.DUMMYFUNCTION("IF(M661=1,IFERROR(IMPORTXML(G661, ""//p[@class='status-date']""), ""Not deployed""),"""")"),"")</f>
        <v/>
      </c>
      <c r="L661" s="48"/>
      <c r="M661" s="48">
        <f t="shared" si="17"/>
        <v>0</v>
      </c>
      <c r="N661" s="49" t="str">
        <f>IFERROR(__xludf.DUMMYFUNCTION("split(G661,""/"")"),"#VALUE!")</f>
        <v>#VALUE!</v>
      </c>
      <c r="O661" s="50"/>
      <c r="P661" s="49"/>
      <c r="Q661" s="49"/>
      <c r="R661" s="49"/>
      <c r="S661" s="49"/>
    </row>
    <row r="662">
      <c r="J662" s="83" t="str">
        <f t="shared" si="16"/>
        <v/>
      </c>
      <c r="K662" s="49" t="str">
        <f>IFERROR(__xludf.DUMMYFUNCTION("IF(M662=1,IFERROR(IMPORTXML(G662, ""//p[@class='status-date']""), ""Not deployed""),"""")"),"")</f>
        <v/>
      </c>
      <c r="L662" s="48"/>
      <c r="M662" s="48">
        <f t="shared" si="17"/>
        <v>0</v>
      </c>
      <c r="N662" s="49" t="str">
        <f>IFERROR(__xludf.DUMMYFUNCTION("split(G662,""/"")"),"#VALUE!")</f>
        <v>#VALUE!</v>
      </c>
      <c r="O662" s="50"/>
      <c r="P662" s="49"/>
      <c r="Q662" s="49"/>
      <c r="R662" s="49"/>
      <c r="S662" s="49"/>
    </row>
    <row r="663">
      <c r="J663" s="83" t="str">
        <f t="shared" si="16"/>
        <v/>
      </c>
      <c r="K663" s="49" t="str">
        <f>IFERROR(__xludf.DUMMYFUNCTION("IF(M663=1,IFERROR(IMPORTXML(G663, ""//p[@class='status-date']""), ""Not deployed""),"""")"),"")</f>
        <v/>
      </c>
      <c r="L663" s="48"/>
      <c r="M663" s="48">
        <f t="shared" si="17"/>
        <v>0</v>
      </c>
      <c r="N663" s="49" t="str">
        <f>IFERROR(__xludf.DUMMYFUNCTION("split(G663,""/"")"),"#VALUE!")</f>
        <v>#VALUE!</v>
      </c>
      <c r="O663" s="50"/>
      <c r="P663" s="49"/>
      <c r="Q663" s="49"/>
      <c r="R663" s="49"/>
      <c r="S663" s="49"/>
    </row>
    <row r="664">
      <c r="J664" s="83" t="str">
        <f t="shared" si="16"/>
        <v/>
      </c>
      <c r="K664" s="49" t="str">
        <f>IFERROR(__xludf.DUMMYFUNCTION("IF(M664=1,IFERROR(IMPORTXML(G664, ""//p[@class='status-date']""), ""Not deployed""),"""")"),"")</f>
        <v/>
      </c>
      <c r="L664" s="48"/>
      <c r="M664" s="48">
        <f t="shared" si="17"/>
        <v>0</v>
      </c>
      <c r="N664" s="49" t="str">
        <f>IFERROR(__xludf.DUMMYFUNCTION("split(G664,""/"")"),"#VALUE!")</f>
        <v>#VALUE!</v>
      </c>
      <c r="O664" s="50"/>
      <c r="P664" s="49"/>
      <c r="Q664" s="49"/>
      <c r="R664" s="49"/>
      <c r="S664" s="49"/>
    </row>
    <row r="665">
      <c r="J665" s="83" t="str">
        <f t="shared" si="16"/>
        <v/>
      </c>
      <c r="K665" s="49" t="str">
        <f>IFERROR(__xludf.DUMMYFUNCTION("IF(M665=1,IFERROR(IMPORTXML(G665, ""//p[@class='status-date']""), ""Not deployed""),"""")"),"")</f>
        <v/>
      </c>
      <c r="L665" s="48"/>
      <c r="M665" s="48">
        <f t="shared" si="17"/>
        <v>0</v>
      </c>
      <c r="N665" s="49" t="str">
        <f>IFERROR(__xludf.DUMMYFUNCTION("split(G665,""/"")"),"#VALUE!")</f>
        <v>#VALUE!</v>
      </c>
      <c r="O665" s="50"/>
      <c r="P665" s="49"/>
      <c r="Q665" s="49"/>
      <c r="R665" s="49"/>
      <c r="S665" s="49"/>
    </row>
    <row r="666">
      <c r="J666" s="83" t="str">
        <f t="shared" si="16"/>
        <v/>
      </c>
      <c r="K666" s="49" t="str">
        <f>IFERROR(__xludf.DUMMYFUNCTION("IF(M666=1,IFERROR(IMPORTXML(G666, ""//p[@class='status-date']""), ""Not deployed""),"""")"),"")</f>
        <v/>
      </c>
      <c r="L666" s="48"/>
      <c r="M666" s="48">
        <f t="shared" si="17"/>
        <v>0</v>
      </c>
      <c r="N666" s="49" t="str">
        <f>IFERROR(__xludf.DUMMYFUNCTION("split(G666,""/"")"),"#VALUE!")</f>
        <v>#VALUE!</v>
      </c>
      <c r="O666" s="50"/>
      <c r="P666" s="49"/>
      <c r="Q666" s="49"/>
      <c r="R666" s="49"/>
      <c r="S666" s="49"/>
    </row>
    <row r="667">
      <c r="J667" s="83" t="str">
        <f t="shared" si="16"/>
        <v/>
      </c>
      <c r="K667" s="49" t="str">
        <f>IFERROR(__xludf.DUMMYFUNCTION("IF(M667=1,IFERROR(IMPORTXML(G667, ""//p[@class='status-date']""), ""Not deployed""),"""")"),"")</f>
        <v/>
      </c>
      <c r="L667" s="48"/>
      <c r="M667" s="48">
        <f t="shared" si="17"/>
        <v>0</v>
      </c>
      <c r="N667" s="49" t="str">
        <f>IFERROR(__xludf.DUMMYFUNCTION("split(G667,""/"")"),"#VALUE!")</f>
        <v>#VALUE!</v>
      </c>
      <c r="O667" s="50"/>
      <c r="P667" s="49"/>
      <c r="Q667" s="49"/>
      <c r="R667" s="49"/>
      <c r="S667" s="49"/>
    </row>
    <row r="668">
      <c r="J668" s="83" t="str">
        <f t="shared" si="16"/>
        <v/>
      </c>
      <c r="K668" s="49" t="str">
        <f>IFERROR(__xludf.DUMMYFUNCTION("IF(M668=1,IFERROR(IMPORTXML(G668, ""//p[@class='status-date']""), ""Not deployed""),"""")"),"")</f>
        <v/>
      </c>
      <c r="L668" s="48"/>
      <c r="M668" s="48">
        <f t="shared" si="17"/>
        <v>0</v>
      </c>
      <c r="N668" s="49" t="str">
        <f>IFERROR(__xludf.DUMMYFUNCTION("split(G668,""/"")"),"#VALUE!")</f>
        <v>#VALUE!</v>
      </c>
      <c r="O668" s="50"/>
      <c r="P668" s="49"/>
      <c r="Q668" s="49"/>
      <c r="R668" s="49"/>
      <c r="S668" s="49"/>
    </row>
    <row r="669">
      <c r="J669" s="83" t="str">
        <f t="shared" si="16"/>
        <v/>
      </c>
      <c r="K669" s="49" t="str">
        <f>IFERROR(__xludf.DUMMYFUNCTION("IF(M669=1,IFERROR(IMPORTXML(G669, ""//p[@class='status-date']""), ""Not deployed""),"""")"),"")</f>
        <v/>
      </c>
      <c r="L669" s="48"/>
      <c r="M669" s="48">
        <f t="shared" si="17"/>
        <v>0</v>
      </c>
      <c r="N669" s="49" t="str">
        <f>IFERROR(__xludf.DUMMYFUNCTION("split(G669,""/"")"),"#VALUE!")</f>
        <v>#VALUE!</v>
      </c>
      <c r="O669" s="50"/>
      <c r="P669" s="49"/>
      <c r="Q669" s="49"/>
      <c r="R669" s="49"/>
      <c r="S669" s="49"/>
    </row>
    <row r="670">
      <c r="J670" s="83" t="str">
        <f t="shared" si="16"/>
        <v/>
      </c>
      <c r="K670" s="49" t="str">
        <f>IFERROR(__xludf.DUMMYFUNCTION("IF(M670=1,IFERROR(IMPORTXML(G670, ""//p[@class='status-date']""), ""Not deployed""),"""")"),"")</f>
        <v/>
      </c>
      <c r="L670" s="48"/>
      <c r="M670" s="48">
        <f t="shared" si="17"/>
        <v>0</v>
      </c>
      <c r="N670" s="49" t="str">
        <f>IFERROR(__xludf.DUMMYFUNCTION("split(G670,""/"")"),"#VALUE!")</f>
        <v>#VALUE!</v>
      </c>
      <c r="O670" s="50"/>
      <c r="P670" s="49"/>
      <c r="Q670" s="49"/>
      <c r="R670" s="49"/>
      <c r="S670" s="49"/>
    </row>
    <row r="671">
      <c r="J671" s="83" t="str">
        <f t="shared" si="16"/>
        <v/>
      </c>
      <c r="K671" s="49" t="str">
        <f>IFERROR(__xludf.DUMMYFUNCTION("IF(M671=1,IFERROR(IMPORTXML(G671, ""//p[@class='status-date']""), ""Not deployed""),"""")"),"")</f>
        <v/>
      </c>
      <c r="L671" s="48"/>
      <c r="M671" s="48">
        <f t="shared" si="17"/>
        <v>0</v>
      </c>
      <c r="N671" s="49" t="str">
        <f>IFERROR(__xludf.DUMMYFUNCTION("split(G671,""/"")"),"#VALUE!")</f>
        <v>#VALUE!</v>
      </c>
      <c r="O671" s="50"/>
      <c r="P671" s="49"/>
      <c r="Q671" s="49"/>
      <c r="R671" s="49"/>
      <c r="S671" s="49"/>
    </row>
    <row r="672">
      <c r="J672" s="83" t="str">
        <f t="shared" si="16"/>
        <v/>
      </c>
      <c r="K672" s="49" t="str">
        <f>IFERROR(__xludf.DUMMYFUNCTION("IF(M672=1,IFERROR(IMPORTXML(G672, ""//p[@class='status-date']""), ""Not deployed""),"""")"),"")</f>
        <v/>
      </c>
      <c r="L672" s="48"/>
      <c r="M672" s="48">
        <f t="shared" si="17"/>
        <v>0</v>
      </c>
      <c r="N672" s="49" t="str">
        <f>IFERROR(__xludf.DUMMYFUNCTION("split(G672,""/"")"),"#VALUE!")</f>
        <v>#VALUE!</v>
      </c>
      <c r="O672" s="50"/>
      <c r="P672" s="49"/>
      <c r="Q672" s="49"/>
      <c r="R672" s="49"/>
      <c r="S672" s="49"/>
    </row>
    <row r="673">
      <c r="J673" s="83" t="str">
        <f t="shared" si="16"/>
        <v/>
      </c>
      <c r="K673" s="49" t="str">
        <f>IFERROR(__xludf.DUMMYFUNCTION("IF(M673=1,IFERROR(IMPORTXML(G673, ""//p[@class='status-date']""), ""Not deployed""),"""")"),"")</f>
        <v/>
      </c>
      <c r="L673" s="48"/>
      <c r="M673" s="48">
        <f t="shared" si="17"/>
        <v>0</v>
      </c>
      <c r="N673" s="49" t="str">
        <f>IFERROR(__xludf.DUMMYFUNCTION("split(G673,""/"")"),"#VALUE!")</f>
        <v>#VALUE!</v>
      </c>
      <c r="O673" s="50"/>
      <c r="P673" s="49"/>
      <c r="Q673" s="49"/>
      <c r="R673" s="49"/>
      <c r="S673" s="49"/>
    </row>
    <row r="674">
      <c r="J674" s="83" t="str">
        <f t="shared" si="16"/>
        <v/>
      </c>
      <c r="K674" s="49" t="str">
        <f>IFERROR(__xludf.DUMMYFUNCTION("IF(M674=1,IFERROR(IMPORTXML(G674, ""//p[@class='status-date']""), ""Not deployed""),"""")"),"")</f>
        <v/>
      </c>
      <c r="L674" s="48"/>
      <c r="M674" s="48">
        <f t="shared" si="17"/>
        <v>0</v>
      </c>
      <c r="N674" s="49" t="str">
        <f>IFERROR(__xludf.DUMMYFUNCTION("split(G674,""/"")"),"#VALUE!")</f>
        <v>#VALUE!</v>
      </c>
      <c r="O674" s="50"/>
      <c r="P674" s="49"/>
      <c r="Q674" s="49"/>
      <c r="R674" s="49"/>
      <c r="S674" s="49"/>
    </row>
    <row r="675">
      <c r="J675" s="83" t="str">
        <f t="shared" si="16"/>
        <v/>
      </c>
      <c r="K675" s="49" t="str">
        <f>IFERROR(__xludf.DUMMYFUNCTION("IF(M675=1,IFERROR(IMPORTXML(G675, ""//p[@class='status-date']""), ""Not deployed""),"""")"),"")</f>
        <v/>
      </c>
      <c r="L675" s="48"/>
      <c r="M675" s="48">
        <f t="shared" si="17"/>
        <v>0</v>
      </c>
      <c r="N675" s="49" t="str">
        <f>IFERROR(__xludf.DUMMYFUNCTION("split(G675,""/"")"),"#VALUE!")</f>
        <v>#VALUE!</v>
      </c>
      <c r="O675" s="50"/>
      <c r="P675" s="49"/>
      <c r="Q675" s="49"/>
      <c r="R675" s="49"/>
      <c r="S675" s="49"/>
    </row>
    <row r="676">
      <c r="J676" s="83" t="str">
        <f t="shared" si="16"/>
        <v/>
      </c>
      <c r="K676" s="49" t="str">
        <f>IFERROR(__xludf.DUMMYFUNCTION("IF(M676=1,IFERROR(IMPORTXML(G676, ""//p[@class='status-date']""), ""Not deployed""),"""")"),"")</f>
        <v/>
      </c>
      <c r="L676" s="48"/>
      <c r="M676" s="48">
        <f t="shared" si="17"/>
        <v>0</v>
      </c>
      <c r="N676" s="49" t="str">
        <f>IFERROR(__xludf.DUMMYFUNCTION("split(G676,""/"")"),"#VALUE!")</f>
        <v>#VALUE!</v>
      </c>
      <c r="O676" s="50"/>
      <c r="P676" s="49"/>
      <c r="Q676" s="49"/>
      <c r="R676" s="49"/>
      <c r="S676" s="49"/>
    </row>
    <row r="677">
      <c r="J677" s="83" t="str">
        <f t="shared" si="16"/>
        <v/>
      </c>
      <c r="K677" s="49" t="str">
        <f>IFERROR(__xludf.DUMMYFUNCTION("IF(M677=1,IFERROR(IMPORTXML(G677, ""//p[@class='status-date']""), ""Not deployed""),"""")"),"")</f>
        <v/>
      </c>
      <c r="L677" s="48"/>
      <c r="M677" s="48">
        <f t="shared" si="17"/>
        <v>0</v>
      </c>
      <c r="N677" s="49" t="str">
        <f>IFERROR(__xludf.DUMMYFUNCTION("split(G677,""/"")"),"#VALUE!")</f>
        <v>#VALUE!</v>
      </c>
      <c r="O677" s="50"/>
      <c r="P677" s="49"/>
      <c r="Q677" s="49"/>
      <c r="R677" s="49"/>
      <c r="S677" s="49"/>
    </row>
    <row r="678">
      <c r="J678" s="83" t="str">
        <f t="shared" si="16"/>
        <v/>
      </c>
      <c r="K678" s="49" t="str">
        <f>IFERROR(__xludf.DUMMYFUNCTION("IF(M678=1,IFERROR(IMPORTXML(G678, ""//p[@class='status-date']""), ""Not deployed""),"""")"),"")</f>
        <v/>
      </c>
      <c r="L678" s="48"/>
      <c r="M678" s="48">
        <f t="shared" si="17"/>
        <v>0</v>
      </c>
      <c r="N678" s="49" t="str">
        <f>IFERROR(__xludf.DUMMYFUNCTION("split(G678,""/"")"),"#VALUE!")</f>
        <v>#VALUE!</v>
      </c>
      <c r="O678" s="50"/>
      <c r="P678" s="49"/>
      <c r="Q678" s="49"/>
      <c r="R678" s="49"/>
      <c r="S678" s="49"/>
    </row>
    <row r="679">
      <c r="J679" s="83" t="str">
        <f t="shared" si="16"/>
        <v/>
      </c>
      <c r="K679" s="49" t="str">
        <f>IFERROR(__xludf.DUMMYFUNCTION("IF(M679=1,IFERROR(IMPORTXML(G679, ""//p[@class='status-date']""), ""Not deployed""),"""")"),"")</f>
        <v/>
      </c>
      <c r="L679" s="48"/>
      <c r="M679" s="48">
        <f t="shared" si="17"/>
        <v>0</v>
      </c>
      <c r="N679" s="49" t="str">
        <f>IFERROR(__xludf.DUMMYFUNCTION("split(G679,""/"")"),"#VALUE!")</f>
        <v>#VALUE!</v>
      </c>
      <c r="O679" s="50"/>
      <c r="P679" s="49"/>
      <c r="Q679" s="49"/>
      <c r="R679" s="49"/>
      <c r="S679" s="49"/>
    </row>
    <row r="680">
      <c r="J680" s="83" t="str">
        <f t="shared" si="16"/>
        <v/>
      </c>
      <c r="K680" s="49" t="str">
        <f>IFERROR(__xludf.DUMMYFUNCTION("IF(M680=1,IFERROR(IMPORTXML(G680, ""//p[@class='status-date']""), ""Not deployed""),"""")"),"")</f>
        <v/>
      </c>
      <c r="L680" s="48"/>
      <c r="M680" s="48">
        <f t="shared" si="17"/>
        <v>0</v>
      </c>
      <c r="N680" s="49" t="str">
        <f>IFERROR(__xludf.DUMMYFUNCTION("split(G680,""/"")"),"#VALUE!")</f>
        <v>#VALUE!</v>
      </c>
      <c r="O680" s="50"/>
      <c r="P680" s="49"/>
      <c r="Q680" s="49"/>
      <c r="R680" s="49"/>
      <c r="S680" s="49"/>
    </row>
    <row r="681">
      <c r="J681" s="83" t="str">
        <f t="shared" si="16"/>
        <v/>
      </c>
      <c r="K681" s="49" t="str">
        <f>IFERROR(__xludf.DUMMYFUNCTION("IF(M681=1,IFERROR(IMPORTXML(G681, ""//p[@class='status-date']""), ""Not deployed""),"""")"),"")</f>
        <v/>
      </c>
      <c r="L681" s="48"/>
      <c r="M681" s="48">
        <f t="shared" si="17"/>
        <v>0</v>
      </c>
      <c r="N681" s="49" t="str">
        <f>IFERROR(__xludf.DUMMYFUNCTION("split(G681,""/"")"),"#VALUE!")</f>
        <v>#VALUE!</v>
      </c>
      <c r="O681" s="50"/>
      <c r="P681" s="49"/>
      <c r="Q681" s="49"/>
      <c r="R681" s="49"/>
      <c r="S681" s="49"/>
    </row>
    <row r="682">
      <c r="J682" s="83" t="str">
        <f t="shared" si="16"/>
        <v/>
      </c>
      <c r="K682" s="49" t="str">
        <f>IFERROR(__xludf.DUMMYFUNCTION("IF(M682=1,IFERROR(IMPORTXML(G682, ""//p[@class='status-date']""), ""Not deployed""),"""")"),"")</f>
        <v/>
      </c>
      <c r="L682" s="48"/>
      <c r="M682" s="48">
        <f t="shared" si="17"/>
        <v>0</v>
      </c>
      <c r="N682" s="49" t="str">
        <f>IFERROR(__xludf.DUMMYFUNCTION("split(G682,""/"")"),"#VALUE!")</f>
        <v>#VALUE!</v>
      </c>
      <c r="O682" s="50"/>
      <c r="P682" s="49"/>
      <c r="Q682" s="49"/>
      <c r="R682" s="49"/>
      <c r="S682" s="49"/>
    </row>
    <row r="683">
      <c r="J683" s="83" t="str">
        <f t="shared" si="16"/>
        <v/>
      </c>
      <c r="K683" s="49" t="str">
        <f>IFERROR(__xludf.DUMMYFUNCTION("IF(M683=1,IFERROR(IMPORTXML(G683, ""//p[@class='status-date']""), ""Not deployed""),"""")"),"")</f>
        <v/>
      </c>
      <c r="L683" s="48"/>
      <c r="M683" s="48">
        <f t="shared" si="17"/>
        <v>0</v>
      </c>
      <c r="N683" s="49" t="str">
        <f>IFERROR(__xludf.DUMMYFUNCTION("split(G683,""/"")"),"#VALUE!")</f>
        <v>#VALUE!</v>
      </c>
      <c r="O683" s="50"/>
      <c r="P683" s="49"/>
      <c r="Q683" s="49"/>
      <c r="R683" s="49"/>
      <c r="S683" s="49"/>
    </row>
    <row r="684">
      <c r="J684" s="83" t="str">
        <f t="shared" si="16"/>
        <v/>
      </c>
      <c r="K684" s="49" t="str">
        <f>IFERROR(__xludf.DUMMYFUNCTION("IF(M684=1,IFERROR(IMPORTXML(G684, ""//p[@class='status-date']""), ""Not deployed""),"""")"),"")</f>
        <v/>
      </c>
      <c r="L684" s="48"/>
      <c r="M684" s="48">
        <f t="shared" si="17"/>
        <v>0</v>
      </c>
      <c r="N684" s="49" t="str">
        <f>IFERROR(__xludf.DUMMYFUNCTION("split(G684,""/"")"),"#VALUE!")</f>
        <v>#VALUE!</v>
      </c>
      <c r="O684" s="50"/>
      <c r="P684" s="49"/>
      <c r="Q684" s="49"/>
      <c r="R684" s="49"/>
      <c r="S684" s="49"/>
    </row>
    <row r="685">
      <c r="J685" s="83" t="str">
        <f t="shared" si="16"/>
        <v/>
      </c>
      <c r="K685" s="49" t="str">
        <f>IFERROR(__xludf.DUMMYFUNCTION("IF(M685=1,IFERROR(IMPORTXML(G685, ""//p[@class='status-date']""), ""Not deployed""),"""")"),"")</f>
        <v/>
      </c>
      <c r="L685" s="48"/>
      <c r="M685" s="48">
        <f t="shared" si="17"/>
        <v>0</v>
      </c>
      <c r="N685" s="49" t="str">
        <f>IFERROR(__xludf.DUMMYFUNCTION("split(G685,""/"")"),"#VALUE!")</f>
        <v>#VALUE!</v>
      </c>
      <c r="O685" s="50"/>
      <c r="P685" s="49"/>
      <c r="Q685" s="49"/>
      <c r="R685" s="49"/>
      <c r="S685" s="49"/>
    </row>
    <row r="686">
      <c r="J686" s="83" t="str">
        <f t="shared" si="16"/>
        <v/>
      </c>
      <c r="K686" s="49" t="str">
        <f>IFERROR(__xludf.DUMMYFUNCTION("IF(M686=1,IFERROR(IMPORTXML(G686, ""//p[@class='status-date']""), ""Not deployed""),"""")"),"")</f>
        <v/>
      </c>
      <c r="L686" s="48"/>
      <c r="M686" s="48">
        <f t="shared" si="17"/>
        <v>0</v>
      </c>
      <c r="N686" s="49" t="str">
        <f>IFERROR(__xludf.DUMMYFUNCTION("split(G686,""/"")"),"#VALUE!")</f>
        <v>#VALUE!</v>
      </c>
      <c r="O686" s="50"/>
      <c r="P686" s="49"/>
      <c r="Q686" s="49"/>
      <c r="R686" s="49"/>
      <c r="S686" s="49"/>
    </row>
    <row r="687">
      <c r="J687" s="83" t="str">
        <f t="shared" si="16"/>
        <v/>
      </c>
      <c r="K687" s="49" t="str">
        <f>IFERROR(__xludf.DUMMYFUNCTION("IF(M687=1,IFERROR(IMPORTXML(G687, ""//p[@class='status-date']""), ""Not deployed""),"""")"),"")</f>
        <v/>
      </c>
      <c r="L687" s="48"/>
      <c r="M687" s="48">
        <f t="shared" si="17"/>
        <v>0</v>
      </c>
      <c r="N687" s="49" t="str">
        <f>IFERROR(__xludf.DUMMYFUNCTION("split(G687,""/"")"),"#VALUE!")</f>
        <v>#VALUE!</v>
      </c>
      <c r="O687" s="50"/>
      <c r="P687" s="49"/>
      <c r="Q687" s="49"/>
      <c r="R687" s="49"/>
      <c r="S687" s="49"/>
    </row>
    <row r="688">
      <c r="J688" s="83" t="str">
        <f t="shared" si="16"/>
        <v/>
      </c>
      <c r="K688" s="49" t="str">
        <f>IFERROR(__xludf.DUMMYFUNCTION("IF(M688=1,IFERROR(IMPORTXML(G688, ""//p[@class='status-date']""), ""Not deployed""),"""")"),"")</f>
        <v/>
      </c>
      <c r="L688" s="48"/>
      <c r="M688" s="48">
        <f t="shared" si="17"/>
        <v>0</v>
      </c>
      <c r="N688" s="49" t="str">
        <f>IFERROR(__xludf.DUMMYFUNCTION("split(G688,""/"")"),"#VALUE!")</f>
        <v>#VALUE!</v>
      </c>
      <c r="O688" s="50"/>
      <c r="P688" s="49"/>
      <c r="Q688" s="49"/>
      <c r="R688" s="49"/>
      <c r="S688" s="49"/>
    </row>
    <row r="689">
      <c r="J689" s="83" t="str">
        <f t="shared" si="16"/>
        <v/>
      </c>
      <c r="K689" s="49" t="str">
        <f>IFERROR(__xludf.DUMMYFUNCTION("IF(M689=1,IFERROR(IMPORTXML(G689, ""//p[@class='status-date']""), ""Not deployed""),"""")"),"")</f>
        <v/>
      </c>
      <c r="L689" s="48"/>
      <c r="M689" s="48">
        <f t="shared" si="17"/>
        <v>0</v>
      </c>
      <c r="N689" s="49" t="str">
        <f>IFERROR(__xludf.DUMMYFUNCTION("split(G689,""/"")"),"#VALUE!")</f>
        <v>#VALUE!</v>
      </c>
      <c r="O689" s="50"/>
      <c r="P689" s="49"/>
      <c r="Q689" s="49"/>
      <c r="R689" s="49"/>
      <c r="S689" s="49"/>
    </row>
    <row r="690">
      <c r="J690" s="83" t="str">
        <f t="shared" si="16"/>
        <v/>
      </c>
      <c r="K690" s="49" t="str">
        <f>IFERROR(__xludf.DUMMYFUNCTION("IF(M690=1,IFERROR(IMPORTXML(G690, ""//p[@class='status-date']""), ""Not deployed""),"""")"),"")</f>
        <v/>
      </c>
      <c r="L690" s="48"/>
      <c r="M690" s="48">
        <f t="shared" si="17"/>
        <v>0</v>
      </c>
      <c r="N690" s="49" t="str">
        <f>IFERROR(__xludf.DUMMYFUNCTION("split(G690,""/"")"),"#VALUE!")</f>
        <v>#VALUE!</v>
      </c>
      <c r="O690" s="50"/>
      <c r="P690" s="49"/>
      <c r="Q690" s="49"/>
      <c r="R690" s="49"/>
      <c r="S690" s="49"/>
    </row>
    <row r="691">
      <c r="J691" s="83" t="str">
        <f t="shared" si="16"/>
        <v/>
      </c>
      <c r="K691" s="49" t="str">
        <f>IFERROR(__xludf.DUMMYFUNCTION("IF(M691=1,IFERROR(IMPORTXML(G691, ""//p[@class='status-date']""), ""Not deployed""),"""")"),"")</f>
        <v/>
      </c>
      <c r="L691" s="48"/>
      <c r="M691" s="48">
        <f t="shared" si="17"/>
        <v>0</v>
      </c>
      <c r="N691" s="49" t="str">
        <f>IFERROR(__xludf.DUMMYFUNCTION("split(G691,""/"")"),"#VALUE!")</f>
        <v>#VALUE!</v>
      </c>
      <c r="O691" s="50"/>
      <c r="P691" s="49"/>
      <c r="Q691" s="49"/>
      <c r="R691" s="49"/>
      <c r="S691" s="49"/>
    </row>
    <row r="692">
      <c r="J692" s="83" t="str">
        <f t="shared" si="16"/>
        <v/>
      </c>
      <c r="K692" s="49" t="str">
        <f>IFERROR(__xludf.DUMMYFUNCTION("IF(M692=1,IFERROR(IMPORTXML(G692, ""//p[@class='status-date']""), ""Not deployed""),"""")"),"")</f>
        <v/>
      </c>
      <c r="L692" s="48"/>
      <c r="M692" s="48">
        <f t="shared" si="17"/>
        <v>0</v>
      </c>
      <c r="N692" s="49" t="str">
        <f>IFERROR(__xludf.DUMMYFUNCTION("split(G692,""/"")"),"#VALUE!")</f>
        <v>#VALUE!</v>
      </c>
      <c r="O692" s="50"/>
      <c r="P692" s="49"/>
      <c r="Q692" s="49"/>
      <c r="R692" s="49"/>
      <c r="S692" s="49"/>
    </row>
    <row r="693">
      <c r="J693" s="83" t="str">
        <f t="shared" si="16"/>
        <v/>
      </c>
      <c r="K693" s="49" t="str">
        <f>IFERROR(__xludf.DUMMYFUNCTION("IF(M693=1,IFERROR(IMPORTXML(G693, ""//p[@class='status-date']""), ""Not deployed""),"""")"),"")</f>
        <v/>
      </c>
      <c r="L693" s="48"/>
      <c r="M693" s="48">
        <f t="shared" si="17"/>
        <v>0</v>
      </c>
      <c r="N693" s="49" t="str">
        <f>IFERROR(__xludf.DUMMYFUNCTION("split(G693,""/"")"),"#VALUE!")</f>
        <v>#VALUE!</v>
      </c>
      <c r="O693" s="50"/>
      <c r="P693" s="49"/>
      <c r="Q693" s="49"/>
      <c r="R693" s="49"/>
      <c r="S693" s="49"/>
    </row>
    <row r="694">
      <c r="J694" s="83" t="str">
        <f t="shared" si="16"/>
        <v/>
      </c>
      <c r="K694" s="49" t="str">
        <f>IFERROR(__xludf.DUMMYFUNCTION("IF(M694=1,IFERROR(IMPORTXML(G694, ""//p[@class='status-date']""), ""Not deployed""),"""")"),"")</f>
        <v/>
      </c>
      <c r="L694" s="48"/>
      <c r="M694" s="48">
        <f t="shared" si="17"/>
        <v>0</v>
      </c>
      <c r="N694" s="49" t="str">
        <f>IFERROR(__xludf.DUMMYFUNCTION("split(G694,""/"")"),"#VALUE!")</f>
        <v>#VALUE!</v>
      </c>
      <c r="O694" s="57"/>
      <c r="P694" s="49"/>
      <c r="Q694" s="49"/>
      <c r="R694" s="49"/>
      <c r="S694" s="49"/>
    </row>
    <row r="695">
      <c r="J695" s="83" t="str">
        <f t="shared" si="16"/>
        <v/>
      </c>
      <c r="K695" s="49" t="str">
        <f>IFERROR(__xludf.DUMMYFUNCTION("IF(M695=1,IFERROR(IMPORTXML(G695, ""//p[@class='status-date']""), ""Not deployed""),"""")"),"")</f>
        <v/>
      </c>
      <c r="L695" s="48"/>
      <c r="M695" s="48">
        <f t="shared" si="17"/>
        <v>0</v>
      </c>
      <c r="N695" s="49" t="str">
        <f>IFERROR(__xludf.DUMMYFUNCTION("split(G695,""/"")"),"#VALUE!")</f>
        <v>#VALUE!</v>
      </c>
      <c r="O695" s="50"/>
      <c r="P695" s="49"/>
      <c r="Q695" s="49"/>
      <c r="R695" s="49"/>
      <c r="S695" s="49"/>
    </row>
    <row r="696">
      <c r="J696" s="83" t="str">
        <f t="shared" si="16"/>
        <v/>
      </c>
      <c r="K696" s="49" t="str">
        <f>IFERROR(__xludf.DUMMYFUNCTION("IF(M696=1,IFERROR(IMPORTXML(G696, ""//p[@class='status-date']""), ""Not deployed""),"""")"),"")</f>
        <v/>
      </c>
      <c r="L696" s="48"/>
      <c r="M696" s="48">
        <f t="shared" si="17"/>
        <v>0</v>
      </c>
      <c r="N696" s="49" t="str">
        <f>IFERROR(__xludf.DUMMYFUNCTION("split(G696,""/"")"),"#VALUE!")</f>
        <v>#VALUE!</v>
      </c>
      <c r="O696" s="50"/>
      <c r="P696" s="49"/>
      <c r="Q696" s="49"/>
      <c r="R696" s="49"/>
      <c r="S696" s="49"/>
    </row>
    <row r="697">
      <c r="J697" s="83" t="str">
        <f t="shared" si="16"/>
        <v/>
      </c>
      <c r="K697" s="49" t="str">
        <f>IFERROR(__xludf.DUMMYFUNCTION("IF(M697=1,IFERROR(IMPORTXML(G697, ""//p[@class='status-date']""), ""Not deployed""),"""")"),"")</f>
        <v/>
      </c>
      <c r="L697" s="48"/>
      <c r="M697" s="48">
        <f t="shared" si="17"/>
        <v>0</v>
      </c>
      <c r="N697" s="49" t="str">
        <f>IFERROR(__xludf.DUMMYFUNCTION("split(G697,""/"")"),"#VALUE!")</f>
        <v>#VALUE!</v>
      </c>
      <c r="O697" s="50"/>
      <c r="P697" s="49"/>
      <c r="Q697" s="49"/>
      <c r="R697" s="49"/>
      <c r="S697" s="49"/>
    </row>
    <row r="698">
      <c r="J698" s="83" t="str">
        <f t="shared" si="16"/>
        <v/>
      </c>
      <c r="K698" s="49" t="str">
        <f>IFERROR(__xludf.DUMMYFUNCTION("IF(M698=1,IFERROR(IMPORTXML(G698, ""//p[@class='status-date']""), ""Not deployed""),"""")"),"")</f>
        <v/>
      </c>
      <c r="L698" s="48"/>
      <c r="M698" s="48">
        <f t="shared" si="17"/>
        <v>0</v>
      </c>
      <c r="N698" s="49" t="str">
        <f>IFERROR(__xludf.DUMMYFUNCTION("split(G698,""/"")"),"#VALUE!")</f>
        <v>#VALUE!</v>
      </c>
      <c r="O698" s="50"/>
      <c r="P698" s="49"/>
      <c r="Q698" s="49"/>
      <c r="R698" s="49"/>
      <c r="S698" s="49"/>
    </row>
    <row r="699">
      <c r="J699" s="83" t="str">
        <f t="shared" si="16"/>
        <v/>
      </c>
      <c r="K699" s="49" t="str">
        <f>IFERROR(__xludf.DUMMYFUNCTION("IF(M699=1,IFERROR(IMPORTXML(G699, ""//p[@class='status-date']""), ""Not deployed""),"""")"),"")</f>
        <v/>
      </c>
      <c r="L699" s="48"/>
      <c r="M699" s="48">
        <f t="shared" si="17"/>
        <v>0</v>
      </c>
      <c r="N699" s="49" t="str">
        <f>IFERROR(__xludf.DUMMYFUNCTION("split(G699,""/"")"),"#VALUE!")</f>
        <v>#VALUE!</v>
      </c>
      <c r="O699" s="50"/>
      <c r="P699" s="49"/>
      <c r="Q699" s="49"/>
      <c r="R699" s="49"/>
      <c r="S699" s="49"/>
    </row>
    <row r="700">
      <c r="J700" s="83" t="str">
        <f t="shared" si="16"/>
        <v/>
      </c>
      <c r="K700" s="49" t="str">
        <f>IFERROR(__xludf.DUMMYFUNCTION("IF(M700=1,IFERROR(IMPORTXML(G700, ""//p[@class='status-date']""), ""Not deployed""),"""")"),"")</f>
        <v/>
      </c>
      <c r="L700" s="48"/>
      <c r="M700" s="48">
        <f t="shared" si="17"/>
        <v>0</v>
      </c>
      <c r="N700" s="49" t="str">
        <f>IFERROR(__xludf.DUMMYFUNCTION("split(G700,""/"")"),"#VALUE!")</f>
        <v>#VALUE!</v>
      </c>
      <c r="O700" s="50"/>
      <c r="P700" s="49"/>
      <c r="Q700" s="49"/>
      <c r="R700" s="49"/>
      <c r="S700" s="49"/>
    </row>
    <row r="701">
      <c r="J701" s="83" t="str">
        <f t="shared" si="16"/>
        <v/>
      </c>
      <c r="K701" s="49" t="str">
        <f>IFERROR(__xludf.DUMMYFUNCTION("IF(M701=1,IFERROR(IMPORTXML(G701, ""//p[@class='status-date']""), ""Not deployed""),"""")"),"")</f>
        <v/>
      </c>
      <c r="L701" s="48"/>
      <c r="M701" s="48">
        <f t="shared" si="17"/>
        <v>0</v>
      </c>
      <c r="N701" s="49" t="str">
        <f>IFERROR(__xludf.DUMMYFUNCTION("split(G701,""/"")"),"#VALUE!")</f>
        <v>#VALUE!</v>
      </c>
      <c r="O701" s="50"/>
      <c r="P701" s="49"/>
      <c r="Q701" s="49"/>
      <c r="R701" s="49"/>
      <c r="S701" s="49"/>
    </row>
    <row r="702">
      <c r="J702" s="83" t="str">
        <f t="shared" si="16"/>
        <v/>
      </c>
      <c r="K702" s="49" t="str">
        <f>IFERROR(__xludf.DUMMYFUNCTION("IF(M702=1,IFERROR(IMPORTXML(G702, ""//p[@class='status-date']""), ""Not deployed""),"""")"),"")</f>
        <v/>
      </c>
      <c r="L702" s="48"/>
      <c r="M702" s="48">
        <f t="shared" si="17"/>
        <v>0</v>
      </c>
      <c r="N702" s="49" t="str">
        <f>IFERROR(__xludf.DUMMYFUNCTION("split(G702,""/"")"),"#VALUE!")</f>
        <v>#VALUE!</v>
      </c>
      <c r="O702" s="50"/>
      <c r="P702" s="49"/>
      <c r="Q702" s="49"/>
      <c r="R702" s="49"/>
      <c r="S702" s="49"/>
    </row>
    <row r="703">
      <c r="J703" s="83" t="str">
        <f t="shared" si="16"/>
        <v/>
      </c>
      <c r="K703" s="49" t="str">
        <f>IFERROR(__xludf.DUMMYFUNCTION("IF(M703=1,IFERROR(IMPORTXML(G703, ""//p[@class='status-date']""), ""Not deployed""),"""")"),"")</f>
        <v/>
      </c>
      <c r="L703" s="48"/>
      <c r="M703" s="48">
        <f t="shared" si="17"/>
        <v>0</v>
      </c>
      <c r="N703" s="49" t="str">
        <f>IFERROR(__xludf.DUMMYFUNCTION("split(G703,""/"")"),"#VALUE!")</f>
        <v>#VALUE!</v>
      </c>
      <c r="O703" s="50"/>
      <c r="P703" s="49"/>
      <c r="Q703" s="49"/>
      <c r="R703" s="49"/>
      <c r="S703" s="49"/>
    </row>
    <row r="704">
      <c r="J704" s="83"/>
    </row>
    <row r="705">
      <c r="J705" s="83"/>
    </row>
    <row r="706">
      <c r="J706" s="83"/>
    </row>
    <row r="707">
      <c r="J707" s="83"/>
    </row>
    <row r="708">
      <c r="J708" s="83"/>
    </row>
    <row r="709">
      <c r="J709" s="83"/>
    </row>
    <row r="710">
      <c r="J710" s="83"/>
    </row>
    <row r="711">
      <c r="J711" s="83"/>
    </row>
    <row r="712">
      <c r="J712" s="83"/>
    </row>
    <row r="713">
      <c r="J713" s="83"/>
    </row>
    <row r="714">
      <c r="J714" s="83"/>
    </row>
    <row r="715">
      <c r="J715" s="83"/>
    </row>
    <row r="716">
      <c r="J716" s="83"/>
    </row>
    <row r="717">
      <c r="J717" s="83"/>
    </row>
    <row r="718">
      <c r="J718" s="83"/>
    </row>
    <row r="719">
      <c r="J719" s="83"/>
    </row>
    <row r="720">
      <c r="J720" s="83"/>
    </row>
    <row r="721">
      <c r="J721" s="83"/>
    </row>
    <row r="722">
      <c r="J722" s="83"/>
    </row>
    <row r="723">
      <c r="J723" s="83"/>
    </row>
    <row r="724">
      <c r="J724" s="83"/>
    </row>
    <row r="725">
      <c r="J725" s="83"/>
    </row>
    <row r="726">
      <c r="J726" s="83"/>
    </row>
    <row r="727">
      <c r="J727" s="83"/>
    </row>
    <row r="728">
      <c r="J728" s="83"/>
    </row>
    <row r="729">
      <c r="J729" s="83"/>
    </row>
    <row r="730">
      <c r="J730" s="83"/>
    </row>
    <row r="731">
      <c r="J731" s="83"/>
    </row>
    <row r="732">
      <c r="J732" s="83"/>
    </row>
    <row r="733">
      <c r="J733" s="83"/>
    </row>
    <row r="734">
      <c r="J734" s="83"/>
    </row>
    <row r="735">
      <c r="J735" s="83"/>
    </row>
    <row r="736">
      <c r="J736" s="83"/>
    </row>
    <row r="737">
      <c r="J737" s="100"/>
      <c r="K737" s="5"/>
      <c r="L737" s="5"/>
      <c r="M737" s="5"/>
      <c r="N737" s="5"/>
      <c r="O737" s="5"/>
      <c r="P737" s="5"/>
      <c r="Q737" s="5"/>
      <c r="R737" s="5"/>
      <c r="S737" s="5"/>
    </row>
    <row r="738">
      <c r="J738" s="100"/>
      <c r="K738" s="5"/>
      <c r="L738" s="5"/>
      <c r="M738" s="5"/>
      <c r="N738" s="5"/>
      <c r="O738" s="5"/>
      <c r="P738" s="5"/>
      <c r="Q738" s="5"/>
      <c r="R738" s="5"/>
      <c r="S738" s="5"/>
    </row>
    <row r="739">
      <c r="J739" s="100"/>
      <c r="K739" s="5"/>
      <c r="L739" s="5"/>
      <c r="M739" s="5"/>
      <c r="N739" s="5"/>
      <c r="O739" s="5"/>
      <c r="P739" s="5"/>
      <c r="Q739" s="5"/>
      <c r="R739" s="5"/>
      <c r="S739" s="5"/>
    </row>
    <row r="740">
      <c r="J740" s="100"/>
      <c r="K740" s="5"/>
      <c r="L740" s="5"/>
      <c r="M740" s="5"/>
      <c r="N740" s="5"/>
      <c r="O740" s="5"/>
      <c r="P740" s="5"/>
      <c r="Q740" s="5"/>
      <c r="R740" s="5"/>
      <c r="S740" s="5"/>
    </row>
    <row r="741">
      <c r="J741" s="102"/>
      <c r="K741" s="40"/>
      <c r="L741" s="40"/>
      <c r="M741" s="40"/>
      <c r="N741" s="40"/>
      <c r="O741" s="40"/>
      <c r="P741" s="40"/>
      <c r="Q741" s="40"/>
      <c r="R741" s="40"/>
      <c r="S741" s="40"/>
    </row>
    <row r="742">
      <c r="J742" s="83"/>
    </row>
    <row r="743">
      <c r="J743" s="103"/>
      <c r="K743" s="41" t="s">
        <v>94</v>
      </c>
      <c r="L743" s="41" t="s">
        <v>95</v>
      </c>
      <c r="M743" s="41" t="s">
        <v>96</v>
      </c>
      <c r="N743" s="42" t="s">
        <v>97</v>
      </c>
    </row>
    <row r="744">
      <c r="J744" s="83" t="str">
        <f t="shared" ref="J744:J795" si="18">if(I744=true,"",S744)</f>
        <v/>
      </c>
      <c r="K744" s="49" t="str">
        <f>IFERROR(__xludf.DUMMYFUNCTION("IF(M744=1,IFERROR(IMPORTXML(G744, ""//p[@class='status-date']""), ""Not deployed""),"""")"),"")</f>
        <v/>
      </c>
      <c r="L744" s="48"/>
      <c r="M744" s="48">
        <f t="shared" ref="M744:M795" si="19">if(I744=TRUE,2,IF(ISTEXT(G744),1,0))</f>
        <v>0</v>
      </c>
      <c r="N744" s="49" t="str">
        <f>IFERROR(__xludf.DUMMYFUNCTION("split(G744,""/"")"),"#VALUE!")</f>
        <v>#VALUE!</v>
      </c>
      <c r="O744" s="50"/>
      <c r="P744" s="49"/>
      <c r="Q744" s="49"/>
      <c r="R744" s="49"/>
      <c r="S744" s="49"/>
    </row>
    <row r="745">
      <c r="J745" s="83" t="str">
        <f t="shared" si="18"/>
        <v/>
      </c>
      <c r="K745" s="49" t="str">
        <f>IFERROR(__xludf.DUMMYFUNCTION("IF(M745=1,IFERROR(IMPORTXML(G745, ""//p[@class='status-date']""), ""Not deployed""),"""")"),"")</f>
        <v/>
      </c>
      <c r="L745" s="48"/>
      <c r="M745" s="48">
        <f t="shared" si="19"/>
        <v>0</v>
      </c>
      <c r="N745" s="49" t="str">
        <f>IFERROR(__xludf.DUMMYFUNCTION("split(G745,""/"")"),"#VALUE!")</f>
        <v>#VALUE!</v>
      </c>
      <c r="O745" s="50"/>
      <c r="P745" s="49"/>
      <c r="Q745" s="49"/>
      <c r="R745" s="49"/>
      <c r="S745" s="49"/>
    </row>
    <row r="746">
      <c r="J746" s="83" t="str">
        <f t="shared" si="18"/>
        <v/>
      </c>
      <c r="K746" s="49" t="str">
        <f>IFERROR(__xludf.DUMMYFUNCTION("IF(M746=1,IFERROR(IMPORTXML(G746, ""//p[@class='status-date']""), ""Not deployed""),"""")"),"")</f>
        <v/>
      </c>
      <c r="L746" s="48"/>
      <c r="M746" s="48">
        <f t="shared" si="19"/>
        <v>0</v>
      </c>
      <c r="N746" s="49" t="str">
        <f>IFERROR(__xludf.DUMMYFUNCTION("split(G746,""/"")"),"#VALUE!")</f>
        <v>#VALUE!</v>
      </c>
      <c r="O746" s="50"/>
      <c r="P746" s="49"/>
      <c r="Q746" s="49"/>
      <c r="R746" s="49"/>
      <c r="S746" s="49"/>
    </row>
    <row r="747">
      <c r="J747" s="83" t="str">
        <f t="shared" si="18"/>
        <v/>
      </c>
      <c r="K747" s="49" t="str">
        <f>IFERROR(__xludf.DUMMYFUNCTION("IF(M747=1,IFERROR(IMPORTXML(G747, ""//p[@class='status-date']""), ""Not deployed""),"""")"),"")</f>
        <v/>
      </c>
      <c r="L747" s="48"/>
      <c r="M747" s="48">
        <f t="shared" si="19"/>
        <v>0</v>
      </c>
      <c r="N747" s="49" t="str">
        <f>IFERROR(__xludf.DUMMYFUNCTION("split(G747,""/"")"),"#VALUE!")</f>
        <v>#VALUE!</v>
      </c>
      <c r="O747" s="50"/>
      <c r="P747" s="49"/>
      <c r="Q747" s="49"/>
      <c r="R747" s="49"/>
      <c r="S747" s="49"/>
    </row>
    <row r="748">
      <c r="J748" s="83" t="str">
        <f t="shared" si="18"/>
        <v/>
      </c>
      <c r="K748" s="49" t="str">
        <f>IFERROR(__xludf.DUMMYFUNCTION("IF(M748=1,IFERROR(IMPORTXML(G748, ""//p[@class='status-date']""), ""Not deployed""),"""")"),"")</f>
        <v/>
      </c>
      <c r="L748" s="48"/>
      <c r="M748" s="48">
        <f t="shared" si="19"/>
        <v>0</v>
      </c>
      <c r="N748" s="49" t="str">
        <f>IFERROR(__xludf.DUMMYFUNCTION("split(G748,""/"")"),"#VALUE!")</f>
        <v>#VALUE!</v>
      </c>
      <c r="O748" s="50"/>
      <c r="P748" s="49"/>
      <c r="Q748" s="49"/>
      <c r="R748" s="49"/>
      <c r="S748" s="49"/>
    </row>
    <row r="749">
      <c r="J749" s="83" t="str">
        <f t="shared" si="18"/>
        <v/>
      </c>
      <c r="K749" s="49" t="str">
        <f>IFERROR(__xludf.DUMMYFUNCTION("IF(M749=1,IFERROR(IMPORTXML(G749, ""//p[@class='status-date']""), ""Not deployed""),"""")"),"")</f>
        <v/>
      </c>
      <c r="L749" s="48"/>
      <c r="M749" s="48">
        <f t="shared" si="19"/>
        <v>0</v>
      </c>
      <c r="N749" s="49" t="str">
        <f>IFERROR(__xludf.DUMMYFUNCTION("split(G749,""/"")"),"#VALUE!")</f>
        <v>#VALUE!</v>
      </c>
      <c r="O749" s="50"/>
      <c r="P749" s="49"/>
      <c r="Q749" s="49"/>
      <c r="R749" s="49"/>
      <c r="S749" s="49"/>
    </row>
    <row r="750">
      <c r="J750" s="83" t="str">
        <f t="shared" si="18"/>
        <v/>
      </c>
      <c r="K750" s="49" t="str">
        <f>IFERROR(__xludf.DUMMYFUNCTION("IF(M750=1,IFERROR(IMPORTXML(G750, ""//p[@class='status-date']""), ""Not deployed""),"""")"),"")</f>
        <v/>
      </c>
      <c r="L750" s="48"/>
      <c r="M750" s="48">
        <f t="shared" si="19"/>
        <v>0</v>
      </c>
      <c r="N750" s="49" t="str">
        <f>IFERROR(__xludf.DUMMYFUNCTION("split(G750,""/"")"),"#VALUE!")</f>
        <v>#VALUE!</v>
      </c>
      <c r="O750" s="50"/>
      <c r="P750" s="49"/>
      <c r="Q750" s="49"/>
      <c r="R750" s="49"/>
      <c r="S750" s="49"/>
    </row>
    <row r="751">
      <c r="J751" s="83" t="str">
        <f t="shared" si="18"/>
        <v/>
      </c>
      <c r="K751" s="49" t="str">
        <f>IFERROR(__xludf.DUMMYFUNCTION("IF(M751=1,IFERROR(IMPORTXML(G751, ""//p[@class='status-date']""), ""Not deployed""),"""")"),"")</f>
        <v/>
      </c>
      <c r="L751" s="48"/>
      <c r="M751" s="48">
        <f t="shared" si="19"/>
        <v>0</v>
      </c>
      <c r="N751" s="49" t="str">
        <f>IFERROR(__xludf.DUMMYFUNCTION("split(G751,""/"")"),"#VALUE!")</f>
        <v>#VALUE!</v>
      </c>
      <c r="O751" s="50"/>
      <c r="P751" s="49"/>
      <c r="Q751" s="49"/>
      <c r="R751" s="49"/>
      <c r="S751" s="49"/>
    </row>
    <row r="752">
      <c r="J752" s="83" t="str">
        <f t="shared" si="18"/>
        <v/>
      </c>
      <c r="K752" s="49" t="str">
        <f>IFERROR(__xludf.DUMMYFUNCTION("IF(M752=1,IFERROR(IMPORTXML(G752, ""//p[@class='status-date']""), ""Not deployed""),"""")"),"")</f>
        <v/>
      </c>
      <c r="L752" s="48"/>
      <c r="M752" s="48">
        <f t="shared" si="19"/>
        <v>0</v>
      </c>
      <c r="N752" s="49" t="str">
        <f>IFERROR(__xludf.DUMMYFUNCTION("split(G752,""/"")"),"#VALUE!")</f>
        <v>#VALUE!</v>
      </c>
      <c r="O752" s="50"/>
      <c r="P752" s="49"/>
      <c r="Q752" s="49"/>
      <c r="R752" s="49"/>
      <c r="S752" s="49"/>
    </row>
    <row r="753">
      <c r="J753" s="83" t="str">
        <f t="shared" si="18"/>
        <v/>
      </c>
      <c r="K753" s="49" t="str">
        <f>IFERROR(__xludf.DUMMYFUNCTION("IF(M753=1,IFERROR(IMPORTXML(G753, ""//p[@class='status-date']""), ""Not deployed""),"""")"),"")</f>
        <v/>
      </c>
      <c r="L753" s="48"/>
      <c r="M753" s="48">
        <f t="shared" si="19"/>
        <v>0</v>
      </c>
      <c r="N753" s="49" t="str">
        <f>IFERROR(__xludf.DUMMYFUNCTION("split(G753,""/"")"),"#VALUE!")</f>
        <v>#VALUE!</v>
      </c>
      <c r="O753" s="50"/>
      <c r="P753" s="49"/>
      <c r="Q753" s="49"/>
      <c r="R753" s="49"/>
      <c r="S753" s="49"/>
    </row>
    <row r="754">
      <c r="J754" s="83" t="str">
        <f t="shared" si="18"/>
        <v/>
      </c>
      <c r="K754" s="49" t="str">
        <f>IFERROR(__xludf.DUMMYFUNCTION("IF(M754=1,IFERROR(IMPORTXML(G754, ""//p[@class='status-date']""), ""Not deployed""),"""")"),"")</f>
        <v/>
      </c>
      <c r="L754" s="48"/>
      <c r="M754" s="48">
        <f t="shared" si="19"/>
        <v>0</v>
      </c>
      <c r="N754" s="49" t="str">
        <f>IFERROR(__xludf.DUMMYFUNCTION("split(G754,""/"")"),"#VALUE!")</f>
        <v>#VALUE!</v>
      </c>
      <c r="O754" s="50"/>
      <c r="P754" s="49"/>
      <c r="Q754" s="49"/>
      <c r="R754" s="49"/>
      <c r="S754" s="49"/>
    </row>
    <row r="755">
      <c r="J755" s="83" t="str">
        <f t="shared" si="18"/>
        <v/>
      </c>
      <c r="K755" s="49" t="str">
        <f>IFERROR(__xludf.DUMMYFUNCTION("IF(M755=1,IFERROR(IMPORTXML(G755, ""//p[@class='status-date']""), ""Not deployed""),"""")"),"")</f>
        <v/>
      </c>
      <c r="L755" s="48"/>
      <c r="M755" s="48">
        <f t="shared" si="19"/>
        <v>0</v>
      </c>
      <c r="N755" s="49" t="str">
        <f>IFERROR(__xludf.DUMMYFUNCTION("split(G755,""/"")"),"#VALUE!")</f>
        <v>#VALUE!</v>
      </c>
      <c r="O755" s="50"/>
      <c r="P755" s="49"/>
      <c r="Q755" s="49"/>
      <c r="R755" s="49"/>
      <c r="S755" s="49"/>
    </row>
    <row r="756">
      <c r="J756" s="83" t="str">
        <f t="shared" si="18"/>
        <v/>
      </c>
      <c r="K756" s="49" t="str">
        <f>IFERROR(__xludf.DUMMYFUNCTION("IF(M756=1,IFERROR(IMPORTXML(G756, ""//p[@class='status-date']""), ""Not deployed""),"""")"),"")</f>
        <v/>
      </c>
      <c r="L756" s="48"/>
      <c r="M756" s="48">
        <f t="shared" si="19"/>
        <v>0</v>
      </c>
      <c r="N756" s="49" t="str">
        <f>IFERROR(__xludf.DUMMYFUNCTION("split(G756,""/"")"),"#VALUE!")</f>
        <v>#VALUE!</v>
      </c>
      <c r="O756" s="50"/>
      <c r="P756" s="49"/>
      <c r="Q756" s="49"/>
      <c r="R756" s="49"/>
      <c r="S756" s="49"/>
    </row>
    <row r="757">
      <c r="J757" s="83" t="str">
        <f t="shared" si="18"/>
        <v/>
      </c>
      <c r="K757" s="49" t="str">
        <f>IFERROR(__xludf.DUMMYFUNCTION("IF(M757=1,IFERROR(IMPORTXML(G757, ""//p[@class='status-date']""), ""Not deployed""),"""")"),"")</f>
        <v/>
      </c>
      <c r="L757" s="48"/>
      <c r="M757" s="48">
        <f t="shared" si="19"/>
        <v>0</v>
      </c>
      <c r="N757" s="49" t="str">
        <f>IFERROR(__xludf.DUMMYFUNCTION("split(G757,""/"")"),"#VALUE!")</f>
        <v>#VALUE!</v>
      </c>
      <c r="O757" s="50"/>
      <c r="P757" s="49"/>
      <c r="Q757" s="49"/>
      <c r="R757" s="49"/>
      <c r="S757" s="49"/>
    </row>
    <row r="758">
      <c r="J758" s="83" t="str">
        <f t="shared" si="18"/>
        <v/>
      </c>
      <c r="K758" s="49" t="str">
        <f>IFERROR(__xludf.DUMMYFUNCTION("IF(M758=1,IFERROR(IMPORTXML(G758, ""//p[@class='status-date']""), ""Not deployed""),"""")"),"")</f>
        <v/>
      </c>
      <c r="L758" s="48"/>
      <c r="M758" s="48">
        <f t="shared" si="19"/>
        <v>0</v>
      </c>
      <c r="N758" s="49" t="str">
        <f>IFERROR(__xludf.DUMMYFUNCTION("split(G758,""/"")"),"#VALUE!")</f>
        <v>#VALUE!</v>
      </c>
      <c r="O758" s="50"/>
      <c r="P758" s="49"/>
      <c r="Q758" s="49"/>
      <c r="R758" s="49"/>
      <c r="S758" s="49"/>
    </row>
    <row r="759">
      <c r="J759" s="83" t="str">
        <f t="shared" si="18"/>
        <v/>
      </c>
      <c r="K759" s="49" t="str">
        <f>IFERROR(__xludf.DUMMYFUNCTION("IF(M759=1,IFERROR(IMPORTXML(G759, ""//p[@class='status-date']""), ""Not deployed""),"""")"),"")</f>
        <v/>
      </c>
      <c r="L759" s="48"/>
      <c r="M759" s="48">
        <f t="shared" si="19"/>
        <v>0</v>
      </c>
      <c r="N759" s="49" t="str">
        <f>IFERROR(__xludf.DUMMYFUNCTION("split(G759,""/"")"),"#VALUE!")</f>
        <v>#VALUE!</v>
      </c>
      <c r="O759" s="50"/>
      <c r="P759" s="49"/>
      <c r="Q759" s="49"/>
      <c r="R759" s="49"/>
      <c r="S759" s="49"/>
    </row>
    <row r="760">
      <c r="J760" s="83" t="str">
        <f t="shared" si="18"/>
        <v/>
      </c>
      <c r="K760" s="49" t="str">
        <f>IFERROR(__xludf.DUMMYFUNCTION("IF(M760=1,IFERROR(IMPORTXML(G760, ""//p[@class='status-date']""), ""Not deployed""),"""")"),"")</f>
        <v/>
      </c>
      <c r="L760" s="48"/>
      <c r="M760" s="48">
        <f t="shared" si="19"/>
        <v>0</v>
      </c>
      <c r="N760" s="49" t="str">
        <f>IFERROR(__xludf.DUMMYFUNCTION("split(G760,""/"")"),"#VALUE!")</f>
        <v>#VALUE!</v>
      </c>
      <c r="O760" s="50"/>
      <c r="P760" s="49"/>
      <c r="Q760" s="49"/>
      <c r="R760" s="49"/>
      <c r="S760" s="49"/>
    </row>
    <row r="761">
      <c r="J761" s="83" t="str">
        <f t="shared" si="18"/>
        <v/>
      </c>
      <c r="K761" s="49" t="str">
        <f>IFERROR(__xludf.DUMMYFUNCTION("IF(M761=1,IFERROR(IMPORTXML(G761, ""//p[@class='status-date']""), ""Not deployed""),"""")"),"")</f>
        <v/>
      </c>
      <c r="L761" s="48"/>
      <c r="M761" s="48">
        <f t="shared" si="19"/>
        <v>0</v>
      </c>
      <c r="N761" s="49" t="str">
        <f>IFERROR(__xludf.DUMMYFUNCTION("split(G761,""/"")"),"#VALUE!")</f>
        <v>#VALUE!</v>
      </c>
      <c r="O761" s="50"/>
      <c r="P761" s="49"/>
      <c r="Q761" s="49"/>
      <c r="R761" s="49"/>
      <c r="S761" s="49"/>
    </row>
    <row r="762">
      <c r="J762" s="83" t="str">
        <f t="shared" si="18"/>
        <v/>
      </c>
      <c r="K762" s="49" t="str">
        <f>IFERROR(__xludf.DUMMYFUNCTION("IF(M762=1,IFERROR(IMPORTXML(G762, ""//p[@class='status-date']""), ""Not deployed""),"""")"),"")</f>
        <v/>
      </c>
      <c r="L762" s="48"/>
      <c r="M762" s="48">
        <f t="shared" si="19"/>
        <v>0</v>
      </c>
      <c r="N762" s="49" t="str">
        <f>IFERROR(__xludf.DUMMYFUNCTION("split(G762,""/"")"),"#VALUE!")</f>
        <v>#VALUE!</v>
      </c>
      <c r="O762" s="50"/>
      <c r="P762" s="49"/>
      <c r="Q762" s="49"/>
      <c r="R762" s="49"/>
      <c r="S762" s="49"/>
    </row>
    <row r="763">
      <c r="J763" s="83" t="str">
        <f t="shared" si="18"/>
        <v/>
      </c>
      <c r="K763" s="49" t="str">
        <f>IFERROR(__xludf.DUMMYFUNCTION("IF(M763=1,IFERROR(IMPORTXML(G763, ""//p[@class='status-date']""), ""Not deployed""),"""")"),"")</f>
        <v/>
      </c>
      <c r="L763" s="48"/>
      <c r="M763" s="48">
        <f t="shared" si="19"/>
        <v>0</v>
      </c>
      <c r="N763" s="49" t="str">
        <f>IFERROR(__xludf.DUMMYFUNCTION("split(G763,""/"")"),"#VALUE!")</f>
        <v>#VALUE!</v>
      </c>
      <c r="O763" s="50"/>
      <c r="P763" s="49"/>
      <c r="Q763" s="49"/>
      <c r="R763" s="49"/>
      <c r="S763" s="49"/>
    </row>
    <row r="764">
      <c r="J764" s="83" t="str">
        <f t="shared" si="18"/>
        <v/>
      </c>
      <c r="K764" s="49" t="str">
        <f>IFERROR(__xludf.DUMMYFUNCTION("IF(M764=1,IFERROR(IMPORTXML(G764, ""//p[@class='status-date']""), ""Not deployed""),"""")"),"")</f>
        <v/>
      </c>
      <c r="L764" s="48"/>
      <c r="M764" s="48">
        <f t="shared" si="19"/>
        <v>0</v>
      </c>
      <c r="N764" s="49" t="str">
        <f>IFERROR(__xludf.DUMMYFUNCTION("split(G764,""/"")"),"#VALUE!")</f>
        <v>#VALUE!</v>
      </c>
      <c r="O764" s="50"/>
      <c r="P764" s="49"/>
      <c r="Q764" s="49"/>
      <c r="R764" s="49"/>
      <c r="S764" s="49"/>
    </row>
    <row r="765">
      <c r="J765" s="83" t="str">
        <f t="shared" si="18"/>
        <v/>
      </c>
      <c r="K765" s="49" t="str">
        <f>IFERROR(__xludf.DUMMYFUNCTION("IF(M765=1,IFERROR(IMPORTXML(G765, ""//p[@class='status-date']""), ""Not deployed""),"""")"),"")</f>
        <v/>
      </c>
      <c r="L765" s="48"/>
      <c r="M765" s="48">
        <f t="shared" si="19"/>
        <v>0</v>
      </c>
      <c r="N765" s="49" t="str">
        <f>IFERROR(__xludf.DUMMYFUNCTION("split(G765,""/"")"),"#VALUE!")</f>
        <v>#VALUE!</v>
      </c>
      <c r="O765" s="50"/>
      <c r="P765" s="49"/>
      <c r="Q765" s="49"/>
      <c r="R765" s="49"/>
      <c r="S765" s="49"/>
    </row>
    <row r="766">
      <c r="J766" s="83" t="str">
        <f t="shared" si="18"/>
        <v/>
      </c>
      <c r="K766" s="49" t="str">
        <f>IFERROR(__xludf.DUMMYFUNCTION("IF(M766=1,IFERROR(IMPORTXML(G766, ""//p[@class='status-date']""), ""Not deployed""),"""")"),"")</f>
        <v/>
      </c>
      <c r="L766" s="48"/>
      <c r="M766" s="48">
        <f t="shared" si="19"/>
        <v>0</v>
      </c>
      <c r="N766" s="49" t="str">
        <f>IFERROR(__xludf.DUMMYFUNCTION("split(G766,""/"")"),"#VALUE!")</f>
        <v>#VALUE!</v>
      </c>
      <c r="O766" s="50"/>
      <c r="P766" s="49"/>
      <c r="Q766" s="49"/>
      <c r="R766" s="49"/>
      <c r="S766" s="49"/>
    </row>
    <row r="767">
      <c r="J767" s="83" t="str">
        <f t="shared" si="18"/>
        <v/>
      </c>
      <c r="K767" s="49" t="str">
        <f>IFERROR(__xludf.DUMMYFUNCTION("IF(M767=1,IFERROR(IMPORTXML(G767, ""//p[@class='status-date']""), ""Not deployed""),"""")"),"")</f>
        <v/>
      </c>
      <c r="L767" s="48"/>
      <c r="M767" s="48">
        <f t="shared" si="19"/>
        <v>0</v>
      </c>
      <c r="N767" s="49" t="str">
        <f>IFERROR(__xludf.DUMMYFUNCTION("split(G767,""/"")"),"#VALUE!")</f>
        <v>#VALUE!</v>
      </c>
      <c r="O767" s="50"/>
      <c r="P767" s="49"/>
      <c r="Q767" s="49"/>
      <c r="R767" s="49"/>
      <c r="S767" s="49"/>
    </row>
    <row r="768">
      <c r="J768" s="83" t="str">
        <f t="shared" si="18"/>
        <v/>
      </c>
      <c r="K768" s="49" t="str">
        <f>IFERROR(__xludf.DUMMYFUNCTION("IF(M768=1,IFERROR(IMPORTXML(G768, ""//p[@class='status-date']""), ""Not deployed""),"""")"),"")</f>
        <v/>
      </c>
      <c r="L768" s="48"/>
      <c r="M768" s="48">
        <f t="shared" si="19"/>
        <v>0</v>
      </c>
      <c r="N768" s="49" t="str">
        <f>IFERROR(__xludf.DUMMYFUNCTION("split(G768,""/"")"),"#VALUE!")</f>
        <v>#VALUE!</v>
      </c>
      <c r="O768" s="50"/>
      <c r="P768" s="49"/>
      <c r="Q768" s="49"/>
      <c r="R768" s="49"/>
      <c r="S768" s="49"/>
    </row>
    <row r="769">
      <c r="J769" s="83" t="str">
        <f t="shared" si="18"/>
        <v/>
      </c>
      <c r="K769" s="49" t="str">
        <f>IFERROR(__xludf.DUMMYFUNCTION("IF(M769=1,IFERROR(IMPORTXML(G769, ""//p[@class='status-date']""), ""Not deployed""),"""")"),"")</f>
        <v/>
      </c>
      <c r="L769" s="48"/>
      <c r="M769" s="48">
        <f t="shared" si="19"/>
        <v>0</v>
      </c>
      <c r="N769" s="49" t="str">
        <f>IFERROR(__xludf.DUMMYFUNCTION("split(G769,""/"")"),"#VALUE!")</f>
        <v>#VALUE!</v>
      </c>
      <c r="O769" s="50"/>
      <c r="P769" s="49"/>
      <c r="Q769" s="49"/>
      <c r="R769" s="49"/>
      <c r="S769" s="49"/>
    </row>
    <row r="770">
      <c r="J770" s="83" t="str">
        <f t="shared" si="18"/>
        <v/>
      </c>
      <c r="K770" s="49" t="str">
        <f>IFERROR(__xludf.DUMMYFUNCTION("IF(M770=1,IFERROR(IMPORTXML(G770, ""//p[@class='status-date']""), ""Not deployed""),"""")"),"")</f>
        <v/>
      </c>
      <c r="L770" s="48"/>
      <c r="M770" s="48">
        <f t="shared" si="19"/>
        <v>0</v>
      </c>
      <c r="N770" s="49" t="str">
        <f>IFERROR(__xludf.DUMMYFUNCTION("split(G770,""/"")"),"#VALUE!")</f>
        <v>#VALUE!</v>
      </c>
      <c r="O770" s="50"/>
      <c r="P770" s="49"/>
      <c r="Q770" s="49"/>
      <c r="R770" s="49"/>
      <c r="S770" s="49"/>
    </row>
    <row r="771">
      <c r="J771" s="83" t="str">
        <f t="shared" si="18"/>
        <v/>
      </c>
      <c r="K771" s="49" t="str">
        <f>IFERROR(__xludf.DUMMYFUNCTION("IF(M771=1,IFERROR(IMPORTXML(G771, ""//p[@class='status-date']""), ""Not deployed""),"""")"),"")</f>
        <v/>
      </c>
      <c r="L771" s="48"/>
      <c r="M771" s="48">
        <f t="shared" si="19"/>
        <v>0</v>
      </c>
      <c r="N771" s="49" t="str">
        <f>IFERROR(__xludf.DUMMYFUNCTION("split(G771,""/"")"),"#VALUE!")</f>
        <v>#VALUE!</v>
      </c>
      <c r="O771" s="50"/>
      <c r="P771" s="49"/>
      <c r="Q771" s="49"/>
      <c r="R771" s="49"/>
      <c r="S771" s="49"/>
    </row>
    <row r="772">
      <c r="J772" s="83" t="str">
        <f t="shared" si="18"/>
        <v/>
      </c>
      <c r="K772" s="49" t="str">
        <f>IFERROR(__xludf.DUMMYFUNCTION("IF(M772=1,IFERROR(IMPORTXML(G772, ""//p[@class='status-date']""), ""Not deployed""),"""")"),"")</f>
        <v/>
      </c>
      <c r="L772" s="48"/>
      <c r="M772" s="48">
        <f t="shared" si="19"/>
        <v>0</v>
      </c>
      <c r="N772" s="49" t="str">
        <f>IFERROR(__xludf.DUMMYFUNCTION("split(G772,""/"")"),"#VALUE!")</f>
        <v>#VALUE!</v>
      </c>
      <c r="O772" s="50"/>
      <c r="P772" s="49"/>
      <c r="Q772" s="49"/>
      <c r="R772" s="49"/>
      <c r="S772" s="49"/>
    </row>
    <row r="773">
      <c r="J773" s="83" t="str">
        <f t="shared" si="18"/>
        <v/>
      </c>
      <c r="K773" s="49" t="str">
        <f>IFERROR(__xludf.DUMMYFUNCTION("IF(M773=1,IFERROR(IMPORTXML(G773, ""//p[@class='status-date']""), ""Not deployed""),"""")"),"")</f>
        <v/>
      </c>
      <c r="L773" s="48"/>
      <c r="M773" s="48">
        <f t="shared" si="19"/>
        <v>0</v>
      </c>
      <c r="N773" s="49" t="str">
        <f>IFERROR(__xludf.DUMMYFUNCTION("split(G773,""/"")"),"#VALUE!")</f>
        <v>#VALUE!</v>
      </c>
      <c r="O773" s="50"/>
      <c r="P773" s="49"/>
      <c r="Q773" s="49"/>
      <c r="R773" s="49"/>
      <c r="S773" s="49"/>
    </row>
    <row r="774">
      <c r="J774" s="83" t="str">
        <f t="shared" si="18"/>
        <v/>
      </c>
      <c r="K774" s="49" t="str">
        <f>IFERROR(__xludf.DUMMYFUNCTION("IF(M774=1,IFERROR(IMPORTXML(G774, ""//p[@class='status-date']""), ""Not deployed""),"""")"),"")</f>
        <v/>
      </c>
      <c r="L774" s="48"/>
      <c r="M774" s="48">
        <f t="shared" si="19"/>
        <v>0</v>
      </c>
      <c r="N774" s="49" t="str">
        <f>IFERROR(__xludf.DUMMYFUNCTION("split(G774,""/"")"),"#VALUE!")</f>
        <v>#VALUE!</v>
      </c>
      <c r="O774" s="50"/>
      <c r="P774" s="49"/>
      <c r="Q774" s="49"/>
      <c r="R774" s="49"/>
      <c r="S774" s="49"/>
    </row>
    <row r="775">
      <c r="J775" s="83" t="str">
        <f t="shared" si="18"/>
        <v/>
      </c>
      <c r="K775" s="49" t="str">
        <f>IFERROR(__xludf.DUMMYFUNCTION("IF(M775=1,IFERROR(IMPORTXML(G775, ""//p[@class='status-date']""), ""Not deployed""),"""")"),"")</f>
        <v/>
      </c>
      <c r="L775" s="48"/>
      <c r="M775" s="48">
        <f t="shared" si="19"/>
        <v>0</v>
      </c>
      <c r="N775" s="49" t="str">
        <f>IFERROR(__xludf.DUMMYFUNCTION("split(G775,""/"")"),"#VALUE!")</f>
        <v>#VALUE!</v>
      </c>
      <c r="O775" s="50"/>
      <c r="P775" s="49"/>
      <c r="Q775" s="49"/>
      <c r="R775" s="49"/>
      <c r="S775" s="49"/>
    </row>
    <row r="776">
      <c r="J776" s="83" t="str">
        <f t="shared" si="18"/>
        <v/>
      </c>
      <c r="K776" s="49" t="str">
        <f>IFERROR(__xludf.DUMMYFUNCTION("IF(M776=1,IFERROR(IMPORTXML(G776, ""//p[@class='status-date']""), ""Not deployed""),"""")"),"")</f>
        <v/>
      </c>
      <c r="L776" s="48"/>
      <c r="M776" s="48">
        <f t="shared" si="19"/>
        <v>0</v>
      </c>
      <c r="N776" s="49" t="str">
        <f>IFERROR(__xludf.DUMMYFUNCTION("split(G776,""/"")"),"#VALUE!")</f>
        <v>#VALUE!</v>
      </c>
      <c r="O776" s="50"/>
      <c r="P776" s="49"/>
      <c r="Q776" s="49"/>
      <c r="R776" s="49"/>
      <c r="S776" s="49"/>
    </row>
    <row r="777">
      <c r="J777" s="83" t="str">
        <f t="shared" si="18"/>
        <v/>
      </c>
      <c r="K777" s="49" t="str">
        <f>IFERROR(__xludf.DUMMYFUNCTION("IF(M777=1,IFERROR(IMPORTXML(G777, ""//p[@class='status-date']""), ""Not deployed""),"""")"),"")</f>
        <v/>
      </c>
      <c r="L777" s="48"/>
      <c r="M777" s="48">
        <f t="shared" si="19"/>
        <v>0</v>
      </c>
      <c r="N777" s="49" t="str">
        <f>IFERROR(__xludf.DUMMYFUNCTION("split(G777,""/"")"),"#VALUE!")</f>
        <v>#VALUE!</v>
      </c>
      <c r="O777" s="50"/>
      <c r="P777" s="49"/>
      <c r="Q777" s="49"/>
      <c r="R777" s="49"/>
      <c r="S777" s="49"/>
    </row>
    <row r="778">
      <c r="J778" s="83" t="str">
        <f t="shared" si="18"/>
        <v/>
      </c>
      <c r="K778" s="49" t="str">
        <f>IFERROR(__xludf.DUMMYFUNCTION("IF(M778=1,IFERROR(IMPORTXML(G778, ""//p[@class='status-date']""), ""Not deployed""),"""")"),"")</f>
        <v/>
      </c>
      <c r="L778" s="48"/>
      <c r="M778" s="48">
        <f t="shared" si="19"/>
        <v>0</v>
      </c>
      <c r="N778" s="49" t="str">
        <f>IFERROR(__xludf.DUMMYFUNCTION("split(G778,""/"")"),"#VALUE!")</f>
        <v>#VALUE!</v>
      </c>
      <c r="O778" s="50"/>
      <c r="P778" s="49"/>
      <c r="Q778" s="49"/>
      <c r="R778" s="49"/>
      <c r="S778" s="49"/>
    </row>
    <row r="779">
      <c r="J779" s="83" t="str">
        <f t="shared" si="18"/>
        <v/>
      </c>
      <c r="K779" s="49" t="str">
        <f>IFERROR(__xludf.DUMMYFUNCTION("IF(M779=1,IFERROR(IMPORTXML(G779, ""//p[@class='status-date']""), ""Not deployed""),"""")"),"")</f>
        <v/>
      </c>
      <c r="L779" s="48"/>
      <c r="M779" s="48">
        <f t="shared" si="19"/>
        <v>0</v>
      </c>
      <c r="N779" s="49" t="str">
        <f>IFERROR(__xludf.DUMMYFUNCTION("split(G779,""/"")"),"#VALUE!")</f>
        <v>#VALUE!</v>
      </c>
      <c r="O779" s="50"/>
      <c r="P779" s="49"/>
      <c r="Q779" s="49"/>
      <c r="R779" s="49"/>
      <c r="S779" s="49"/>
    </row>
    <row r="780">
      <c r="J780" s="83" t="str">
        <f t="shared" si="18"/>
        <v/>
      </c>
      <c r="K780" s="49" t="str">
        <f>IFERROR(__xludf.DUMMYFUNCTION("IF(M780=1,IFERROR(IMPORTXML(G780, ""//p[@class='status-date']""), ""Not deployed""),"""")"),"")</f>
        <v/>
      </c>
      <c r="L780" s="48"/>
      <c r="M780" s="48">
        <f t="shared" si="19"/>
        <v>0</v>
      </c>
      <c r="N780" s="49" t="str">
        <f>IFERROR(__xludf.DUMMYFUNCTION("split(G780,""/"")"),"#VALUE!")</f>
        <v>#VALUE!</v>
      </c>
      <c r="O780" s="50"/>
      <c r="P780" s="49"/>
      <c r="Q780" s="49"/>
      <c r="R780" s="49"/>
      <c r="S780" s="49"/>
    </row>
    <row r="781">
      <c r="J781" s="83" t="str">
        <f t="shared" si="18"/>
        <v/>
      </c>
      <c r="K781" s="49" t="str">
        <f>IFERROR(__xludf.DUMMYFUNCTION("IF(M781=1,IFERROR(IMPORTXML(G781, ""//p[@class='status-date']""), ""Not deployed""),"""")"),"")</f>
        <v/>
      </c>
      <c r="L781" s="48"/>
      <c r="M781" s="48">
        <f t="shared" si="19"/>
        <v>0</v>
      </c>
      <c r="N781" s="49" t="str">
        <f>IFERROR(__xludf.DUMMYFUNCTION("split(G781,""/"")"),"#VALUE!")</f>
        <v>#VALUE!</v>
      </c>
      <c r="O781" s="50"/>
      <c r="P781" s="49"/>
      <c r="Q781" s="49"/>
      <c r="R781" s="49"/>
      <c r="S781" s="49"/>
    </row>
    <row r="782">
      <c r="J782" s="83" t="str">
        <f t="shared" si="18"/>
        <v/>
      </c>
      <c r="K782" s="49" t="str">
        <f>IFERROR(__xludf.DUMMYFUNCTION("IF(M782=1,IFERROR(IMPORTXML(G782, ""//p[@class='status-date']""), ""Not deployed""),"""")"),"")</f>
        <v/>
      </c>
      <c r="L782" s="48"/>
      <c r="M782" s="48">
        <f t="shared" si="19"/>
        <v>0</v>
      </c>
      <c r="N782" s="49" t="str">
        <f>IFERROR(__xludf.DUMMYFUNCTION("split(G782,""/"")"),"#VALUE!")</f>
        <v>#VALUE!</v>
      </c>
      <c r="O782" s="50"/>
      <c r="P782" s="49"/>
      <c r="Q782" s="49"/>
      <c r="R782" s="49"/>
      <c r="S782" s="49"/>
    </row>
    <row r="783">
      <c r="J783" s="83" t="str">
        <f t="shared" si="18"/>
        <v/>
      </c>
      <c r="K783" s="49" t="str">
        <f>IFERROR(__xludf.DUMMYFUNCTION("IF(M783=1,IFERROR(IMPORTXML(G783, ""//p[@class='status-date']""), ""Not deployed""),"""")"),"")</f>
        <v/>
      </c>
      <c r="L783" s="48"/>
      <c r="M783" s="48">
        <f t="shared" si="19"/>
        <v>0</v>
      </c>
      <c r="N783" s="49" t="str">
        <f>IFERROR(__xludf.DUMMYFUNCTION("split(G783,""/"")"),"#VALUE!")</f>
        <v>#VALUE!</v>
      </c>
      <c r="O783" s="50"/>
      <c r="P783" s="49"/>
      <c r="Q783" s="49"/>
      <c r="R783" s="49"/>
      <c r="S783" s="49"/>
    </row>
    <row r="784">
      <c r="J784" s="83" t="str">
        <f t="shared" si="18"/>
        <v/>
      </c>
      <c r="K784" s="49" t="str">
        <f>IFERROR(__xludf.DUMMYFUNCTION("IF(M784=1,IFERROR(IMPORTXML(G784, ""//p[@class='status-date']""), ""Not deployed""),"""")"),"")</f>
        <v/>
      </c>
      <c r="L784" s="48"/>
      <c r="M784" s="48">
        <f t="shared" si="19"/>
        <v>0</v>
      </c>
      <c r="N784" s="49" t="str">
        <f>IFERROR(__xludf.DUMMYFUNCTION("split(G784,""/"")"),"#VALUE!")</f>
        <v>#VALUE!</v>
      </c>
      <c r="O784" s="50"/>
      <c r="P784" s="49"/>
      <c r="Q784" s="49"/>
      <c r="R784" s="49"/>
      <c r="S784" s="49"/>
    </row>
    <row r="785">
      <c r="J785" s="83" t="str">
        <f t="shared" si="18"/>
        <v/>
      </c>
      <c r="K785" s="49" t="str">
        <f>IFERROR(__xludf.DUMMYFUNCTION("IF(M785=1,IFERROR(IMPORTXML(G785, ""//p[@class='status-date']""), ""Not deployed""),"""")"),"")</f>
        <v/>
      </c>
      <c r="L785" s="48"/>
      <c r="M785" s="48">
        <f t="shared" si="19"/>
        <v>0</v>
      </c>
      <c r="N785" s="49" t="str">
        <f>IFERROR(__xludf.DUMMYFUNCTION("split(G785,""/"")"),"#VALUE!")</f>
        <v>#VALUE!</v>
      </c>
      <c r="O785" s="50"/>
      <c r="P785" s="49"/>
      <c r="Q785" s="49"/>
      <c r="R785" s="49"/>
      <c r="S785" s="49"/>
    </row>
    <row r="786">
      <c r="J786" s="83" t="str">
        <f t="shared" si="18"/>
        <v/>
      </c>
      <c r="K786" s="49" t="str">
        <f>IFERROR(__xludf.DUMMYFUNCTION("IF(M786=1,IFERROR(IMPORTXML(G786, ""//p[@class='status-date']""), ""Not deployed""),"""")"),"")</f>
        <v/>
      </c>
      <c r="L786" s="48"/>
      <c r="M786" s="48">
        <f t="shared" si="19"/>
        <v>0</v>
      </c>
      <c r="N786" s="49" t="str">
        <f>IFERROR(__xludf.DUMMYFUNCTION("split(G786,""/"")"),"#VALUE!")</f>
        <v>#VALUE!</v>
      </c>
      <c r="O786" s="57"/>
      <c r="P786" s="49"/>
      <c r="Q786" s="49"/>
      <c r="R786" s="49"/>
      <c r="S786" s="49"/>
    </row>
    <row r="787">
      <c r="J787" s="83" t="str">
        <f t="shared" si="18"/>
        <v/>
      </c>
      <c r="K787" s="49" t="str">
        <f>IFERROR(__xludf.DUMMYFUNCTION("IF(M787=1,IFERROR(IMPORTXML(G787, ""//p[@class='status-date']""), ""Not deployed""),"""")"),"")</f>
        <v/>
      </c>
      <c r="L787" s="48"/>
      <c r="M787" s="48">
        <f t="shared" si="19"/>
        <v>0</v>
      </c>
      <c r="N787" s="49" t="str">
        <f>IFERROR(__xludf.DUMMYFUNCTION("split(G787,""/"")"),"#VALUE!")</f>
        <v>#VALUE!</v>
      </c>
      <c r="O787" s="50"/>
      <c r="P787" s="49"/>
      <c r="Q787" s="49"/>
      <c r="R787" s="49"/>
      <c r="S787" s="49"/>
    </row>
    <row r="788">
      <c r="J788" s="83" t="str">
        <f t="shared" si="18"/>
        <v/>
      </c>
      <c r="K788" s="49" t="str">
        <f>IFERROR(__xludf.DUMMYFUNCTION("IF(M788=1,IFERROR(IMPORTXML(G788, ""//p[@class='status-date']""), ""Not deployed""),"""")"),"")</f>
        <v/>
      </c>
      <c r="L788" s="48"/>
      <c r="M788" s="48">
        <f t="shared" si="19"/>
        <v>0</v>
      </c>
      <c r="N788" s="49" t="str">
        <f>IFERROR(__xludf.DUMMYFUNCTION("split(G788,""/"")"),"#VALUE!")</f>
        <v>#VALUE!</v>
      </c>
      <c r="O788" s="50"/>
      <c r="P788" s="49"/>
      <c r="Q788" s="49"/>
      <c r="R788" s="49"/>
      <c r="S788" s="49"/>
    </row>
    <row r="789">
      <c r="J789" s="83" t="str">
        <f t="shared" si="18"/>
        <v/>
      </c>
      <c r="K789" s="49" t="str">
        <f>IFERROR(__xludf.DUMMYFUNCTION("IF(M789=1,IFERROR(IMPORTXML(G789, ""//p[@class='status-date']""), ""Not deployed""),"""")"),"")</f>
        <v/>
      </c>
      <c r="L789" s="48"/>
      <c r="M789" s="48">
        <f t="shared" si="19"/>
        <v>0</v>
      </c>
      <c r="N789" s="49" t="str">
        <f>IFERROR(__xludf.DUMMYFUNCTION("split(G789,""/"")"),"#VALUE!")</f>
        <v>#VALUE!</v>
      </c>
      <c r="O789" s="50"/>
      <c r="P789" s="49"/>
      <c r="Q789" s="49"/>
      <c r="R789" s="49"/>
      <c r="S789" s="49"/>
    </row>
    <row r="790">
      <c r="J790" s="83" t="str">
        <f t="shared" si="18"/>
        <v/>
      </c>
      <c r="K790" s="49" t="str">
        <f>IFERROR(__xludf.DUMMYFUNCTION("IF(M790=1,IFERROR(IMPORTXML(G790, ""//p[@class='status-date']""), ""Not deployed""),"""")"),"")</f>
        <v/>
      </c>
      <c r="L790" s="48"/>
      <c r="M790" s="48">
        <f t="shared" si="19"/>
        <v>0</v>
      </c>
      <c r="N790" s="49" t="str">
        <f>IFERROR(__xludf.DUMMYFUNCTION("split(G790,""/"")"),"#VALUE!")</f>
        <v>#VALUE!</v>
      </c>
      <c r="O790" s="50"/>
      <c r="P790" s="49"/>
      <c r="Q790" s="49"/>
      <c r="R790" s="49"/>
      <c r="S790" s="49"/>
    </row>
    <row r="791">
      <c r="J791" s="83" t="str">
        <f t="shared" si="18"/>
        <v/>
      </c>
      <c r="K791" s="49" t="str">
        <f>IFERROR(__xludf.DUMMYFUNCTION("IF(M791=1,IFERROR(IMPORTXML(G791, ""//p[@class='status-date']""), ""Not deployed""),"""")"),"")</f>
        <v/>
      </c>
      <c r="L791" s="48"/>
      <c r="M791" s="48">
        <f t="shared" si="19"/>
        <v>0</v>
      </c>
      <c r="N791" s="49" t="str">
        <f>IFERROR(__xludf.DUMMYFUNCTION("split(G791,""/"")"),"#VALUE!")</f>
        <v>#VALUE!</v>
      </c>
      <c r="O791" s="50"/>
      <c r="P791" s="49"/>
      <c r="Q791" s="49"/>
      <c r="R791" s="49"/>
      <c r="S791" s="49"/>
    </row>
    <row r="792">
      <c r="J792" s="83" t="str">
        <f t="shared" si="18"/>
        <v/>
      </c>
      <c r="K792" s="49" t="str">
        <f>IFERROR(__xludf.DUMMYFUNCTION("IF(M792=1,IFERROR(IMPORTXML(G792, ""//p[@class='status-date']""), ""Not deployed""),"""")"),"")</f>
        <v/>
      </c>
      <c r="L792" s="48"/>
      <c r="M792" s="48">
        <f t="shared" si="19"/>
        <v>0</v>
      </c>
      <c r="N792" s="49" t="str">
        <f>IFERROR(__xludf.DUMMYFUNCTION("split(G792,""/"")"),"#VALUE!")</f>
        <v>#VALUE!</v>
      </c>
      <c r="O792" s="50"/>
      <c r="P792" s="49"/>
      <c r="Q792" s="49"/>
      <c r="R792" s="49"/>
      <c r="S792" s="49"/>
    </row>
    <row r="793">
      <c r="J793" s="83" t="str">
        <f t="shared" si="18"/>
        <v/>
      </c>
      <c r="K793" s="49" t="str">
        <f>IFERROR(__xludf.DUMMYFUNCTION("IF(M793=1,IFERROR(IMPORTXML(G793, ""//p[@class='status-date']""), ""Not deployed""),"""")"),"")</f>
        <v/>
      </c>
      <c r="L793" s="48"/>
      <c r="M793" s="48">
        <f t="shared" si="19"/>
        <v>0</v>
      </c>
      <c r="N793" s="49" t="str">
        <f>IFERROR(__xludf.DUMMYFUNCTION("split(G793,""/"")"),"#VALUE!")</f>
        <v>#VALUE!</v>
      </c>
      <c r="O793" s="50"/>
      <c r="P793" s="49"/>
      <c r="Q793" s="49"/>
      <c r="R793" s="49"/>
      <c r="S793" s="49"/>
    </row>
    <row r="794">
      <c r="J794" s="83" t="str">
        <f t="shared" si="18"/>
        <v/>
      </c>
      <c r="K794" s="49" t="str">
        <f>IFERROR(__xludf.DUMMYFUNCTION("IF(M794=1,IFERROR(IMPORTXML(G794, ""//p[@class='status-date']""), ""Not deployed""),"""")"),"")</f>
        <v/>
      </c>
      <c r="L794" s="48"/>
      <c r="M794" s="48">
        <f t="shared" si="19"/>
        <v>0</v>
      </c>
      <c r="N794" s="49" t="str">
        <f>IFERROR(__xludf.DUMMYFUNCTION("split(G794,""/"")"),"#VALUE!")</f>
        <v>#VALUE!</v>
      </c>
      <c r="O794" s="50"/>
      <c r="P794" s="49"/>
      <c r="Q794" s="49"/>
      <c r="R794" s="49"/>
      <c r="S794" s="49"/>
    </row>
    <row r="795">
      <c r="J795" s="83" t="str">
        <f t="shared" si="18"/>
        <v/>
      </c>
      <c r="K795" s="49" t="str">
        <f>IFERROR(__xludf.DUMMYFUNCTION("IF(M795=1,IFERROR(IMPORTXML(G795, ""//p[@class='status-date']""), ""Not deployed""),"""")"),"")</f>
        <v/>
      </c>
      <c r="L795" s="48"/>
      <c r="M795" s="48">
        <f t="shared" si="19"/>
        <v>0</v>
      </c>
      <c r="N795" s="49" t="str">
        <f>IFERROR(__xludf.DUMMYFUNCTION("split(G795,""/"")"),"#VALUE!")</f>
        <v>#VALUE!</v>
      </c>
      <c r="O795" s="50"/>
      <c r="P795" s="49"/>
      <c r="Q795" s="49"/>
      <c r="R795" s="49"/>
      <c r="S795" s="49"/>
    </row>
    <row r="796">
      <c r="J796" s="83"/>
    </row>
    <row r="797">
      <c r="J797" s="83"/>
    </row>
    <row r="798">
      <c r="J798" s="83"/>
    </row>
    <row r="799">
      <c r="J799" s="83"/>
    </row>
    <row r="800">
      <c r="J800" s="83"/>
    </row>
    <row r="801">
      <c r="J801" s="83"/>
    </row>
    <row r="802">
      <c r="J802" s="83"/>
    </row>
    <row r="803">
      <c r="J803" s="83"/>
    </row>
    <row r="804">
      <c r="J804" s="83"/>
    </row>
    <row r="805">
      <c r="J805" s="83"/>
    </row>
    <row r="806">
      <c r="J806" s="83"/>
    </row>
    <row r="807">
      <c r="J807" s="83"/>
    </row>
    <row r="808">
      <c r="J808" s="83"/>
    </row>
    <row r="809">
      <c r="J809" s="83"/>
    </row>
    <row r="810">
      <c r="J810" s="83"/>
    </row>
    <row r="811">
      <c r="J811" s="83"/>
    </row>
    <row r="812">
      <c r="J812" s="83"/>
    </row>
    <row r="813">
      <c r="J813" s="83"/>
    </row>
    <row r="814">
      <c r="J814" s="83"/>
    </row>
    <row r="815">
      <c r="J815" s="83"/>
    </row>
    <row r="816">
      <c r="J816" s="83"/>
    </row>
    <row r="817">
      <c r="J817" s="83"/>
    </row>
    <row r="818">
      <c r="J818" s="83"/>
    </row>
    <row r="819">
      <c r="J819" s="83"/>
    </row>
    <row r="820">
      <c r="J820" s="83"/>
    </row>
    <row r="821">
      <c r="J821" s="83"/>
    </row>
    <row r="822">
      <c r="J822" s="83"/>
    </row>
    <row r="823">
      <c r="J823" s="83"/>
    </row>
    <row r="824">
      <c r="J824" s="83"/>
    </row>
    <row r="825">
      <c r="J825" s="83"/>
    </row>
    <row r="826">
      <c r="J826" s="83"/>
    </row>
    <row r="827">
      <c r="J827" s="83"/>
    </row>
    <row r="828">
      <c r="J828" s="83"/>
    </row>
    <row r="829">
      <c r="J829" s="100"/>
      <c r="K829" s="5"/>
      <c r="L829" s="5"/>
      <c r="M829" s="5"/>
      <c r="N829" s="5"/>
      <c r="O829" s="5"/>
      <c r="P829" s="5"/>
      <c r="Q829" s="5"/>
      <c r="R829" s="5"/>
      <c r="S829" s="5"/>
    </row>
    <row r="830">
      <c r="J830" s="100"/>
      <c r="K830" s="5"/>
      <c r="L830" s="5"/>
      <c r="M830" s="5"/>
      <c r="N830" s="5"/>
      <c r="O830" s="5"/>
      <c r="P830" s="5"/>
      <c r="Q830" s="5"/>
      <c r="R830" s="5"/>
      <c r="S830" s="5"/>
    </row>
    <row r="831">
      <c r="J831" s="100"/>
      <c r="K831" s="5"/>
      <c r="L831" s="5"/>
      <c r="M831" s="5"/>
      <c r="N831" s="5"/>
      <c r="O831" s="5"/>
      <c r="P831" s="5"/>
      <c r="Q831" s="5"/>
      <c r="R831" s="5"/>
      <c r="S831" s="5"/>
    </row>
    <row r="832">
      <c r="J832" s="100"/>
      <c r="K832" s="5"/>
      <c r="L832" s="5"/>
      <c r="M832" s="5"/>
      <c r="N832" s="5"/>
      <c r="O832" s="5"/>
      <c r="P832" s="5"/>
      <c r="Q832" s="5"/>
      <c r="R832" s="5"/>
      <c r="S832" s="5"/>
    </row>
    <row r="833">
      <c r="J833" s="102"/>
      <c r="K833" s="40"/>
      <c r="L833" s="40"/>
      <c r="M833" s="40"/>
      <c r="N833" s="40"/>
      <c r="O833" s="40"/>
      <c r="P833" s="40"/>
      <c r="Q833" s="40"/>
      <c r="R833" s="40"/>
      <c r="S833" s="40"/>
    </row>
    <row r="834">
      <c r="J834" s="83"/>
    </row>
    <row r="835">
      <c r="J835" s="103"/>
      <c r="K835" s="41" t="s">
        <v>94</v>
      </c>
      <c r="L835" s="41" t="s">
        <v>95</v>
      </c>
      <c r="M835" s="41" t="s">
        <v>96</v>
      </c>
      <c r="N835" s="42" t="s">
        <v>97</v>
      </c>
    </row>
    <row r="836">
      <c r="J836" s="83" t="str">
        <f t="shared" ref="J836:J887" si="20">if(I836=true,"",S836)</f>
        <v/>
      </c>
      <c r="K836" s="49" t="str">
        <f>IFERROR(__xludf.DUMMYFUNCTION("IF(M836=1,IFERROR(IMPORTXML(G836, ""//p[@class='status-date']""), ""Not deployed""),"""")"),"")</f>
        <v/>
      </c>
      <c r="L836" s="48"/>
      <c r="M836" s="48">
        <f t="shared" ref="M836:M887" si="21">if(I836=TRUE,2,IF(ISTEXT(G836),1,0))</f>
        <v>0</v>
      </c>
      <c r="N836" s="49" t="str">
        <f>IFERROR(__xludf.DUMMYFUNCTION("split(G836,""/"")"),"#VALUE!")</f>
        <v>#VALUE!</v>
      </c>
      <c r="O836" s="50"/>
      <c r="P836" s="49"/>
      <c r="Q836" s="49"/>
      <c r="R836" s="49"/>
      <c r="S836" s="49"/>
    </row>
    <row r="837">
      <c r="J837" s="83" t="str">
        <f t="shared" si="20"/>
        <v/>
      </c>
      <c r="K837" s="49" t="str">
        <f>IFERROR(__xludf.DUMMYFUNCTION("IF(M837=1,IFERROR(IMPORTXML(G837, ""//p[@class='status-date']""), ""Not deployed""),"""")"),"")</f>
        <v/>
      </c>
      <c r="L837" s="48"/>
      <c r="M837" s="48">
        <f t="shared" si="21"/>
        <v>0</v>
      </c>
      <c r="N837" s="49" t="str">
        <f>IFERROR(__xludf.DUMMYFUNCTION("split(G837,""/"")"),"#VALUE!")</f>
        <v>#VALUE!</v>
      </c>
      <c r="O837" s="50"/>
      <c r="P837" s="49"/>
      <c r="Q837" s="49"/>
      <c r="R837" s="49"/>
      <c r="S837" s="49"/>
    </row>
    <row r="838">
      <c r="J838" s="83" t="str">
        <f t="shared" si="20"/>
        <v/>
      </c>
      <c r="K838" s="49" t="str">
        <f>IFERROR(__xludf.DUMMYFUNCTION("IF(M838=1,IFERROR(IMPORTXML(G838, ""//p[@class='status-date']""), ""Not deployed""),"""")"),"")</f>
        <v/>
      </c>
      <c r="L838" s="48"/>
      <c r="M838" s="48">
        <f t="shared" si="21"/>
        <v>0</v>
      </c>
      <c r="N838" s="49" t="str">
        <f>IFERROR(__xludf.DUMMYFUNCTION("split(G838,""/"")"),"#VALUE!")</f>
        <v>#VALUE!</v>
      </c>
      <c r="O838" s="50"/>
      <c r="P838" s="49"/>
      <c r="Q838" s="49"/>
      <c r="R838" s="49"/>
      <c r="S838" s="49"/>
    </row>
    <row r="839">
      <c r="J839" s="83" t="str">
        <f t="shared" si="20"/>
        <v/>
      </c>
      <c r="K839" s="49" t="str">
        <f>IFERROR(__xludf.DUMMYFUNCTION("IF(M839=1,IFERROR(IMPORTXML(G839, ""//p[@class='status-date']""), ""Not deployed""),"""")"),"")</f>
        <v/>
      </c>
      <c r="L839" s="48"/>
      <c r="M839" s="48">
        <f t="shared" si="21"/>
        <v>0</v>
      </c>
      <c r="N839" s="49" t="str">
        <f>IFERROR(__xludf.DUMMYFUNCTION("split(G839,""/"")"),"#VALUE!")</f>
        <v>#VALUE!</v>
      </c>
      <c r="O839" s="50"/>
      <c r="P839" s="49"/>
      <c r="Q839" s="49"/>
      <c r="R839" s="49"/>
      <c r="S839" s="49"/>
    </row>
    <row r="840">
      <c r="J840" s="83" t="str">
        <f t="shared" si="20"/>
        <v/>
      </c>
      <c r="K840" s="49" t="str">
        <f>IFERROR(__xludf.DUMMYFUNCTION("IF(M840=1,IFERROR(IMPORTXML(G840, ""//p[@class='status-date']""), ""Not deployed""),"""")"),"")</f>
        <v/>
      </c>
      <c r="L840" s="48"/>
      <c r="M840" s="48">
        <f t="shared" si="21"/>
        <v>0</v>
      </c>
      <c r="N840" s="49" t="str">
        <f>IFERROR(__xludf.DUMMYFUNCTION("split(G840,""/"")"),"#VALUE!")</f>
        <v>#VALUE!</v>
      </c>
      <c r="O840" s="50"/>
      <c r="P840" s="49"/>
      <c r="Q840" s="49"/>
      <c r="R840" s="49"/>
      <c r="S840" s="49"/>
    </row>
    <row r="841">
      <c r="J841" s="83" t="str">
        <f t="shared" si="20"/>
        <v/>
      </c>
      <c r="K841" s="49" t="str">
        <f>IFERROR(__xludf.DUMMYFUNCTION("IF(M841=1,IFERROR(IMPORTXML(G841, ""//p[@class='status-date']""), ""Not deployed""),"""")"),"")</f>
        <v/>
      </c>
      <c r="L841" s="48"/>
      <c r="M841" s="48">
        <f t="shared" si="21"/>
        <v>0</v>
      </c>
      <c r="N841" s="49" t="str">
        <f>IFERROR(__xludf.DUMMYFUNCTION("split(G841,""/"")"),"#VALUE!")</f>
        <v>#VALUE!</v>
      </c>
      <c r="O841" s="50"/>
      <c r="P841" s="49"/>
      <c r="Q841" s="49"/>
      <c r="R841" s="49"/>
      <c r="S841" s="49"/>
    </row>
    <row r="842">
      <c r="J842" s="83" t="str">
        <f t="shared" si="20"/>
        <v/>
      </c>
      <c r="K842" s="49" t="str">
        <f>IFERROR(__xludf.DUMMYFUNCTION("IF(M842=1,IFERROR(IMPORTXML(G842, ""//p[@class='status-date']""), ""Not deployed""),"""")"),"")</f>
        <v/>
      </c>
      <c r="L842" s="48"/>
      <c r="M842" s="48">
        <f t="shared" si="21"/>
        <v>0</v>
      </c>
      <c r="N842" s="49" t="str">
        <f>IFERROR(__xludf.DUMMYFUNCTION("split(G842,""/"")"),"#VALUE!")</f>
        <v>#VALUE!</v>
      </c>
      <c r="O842" s="50"/>
      <c r="P842" s="49"/>
      <c r="Q842" s="49"/>
      <c r="R842" s="49"/>
      <c r="S842" s="49"/>
    </row>
    <row r="843">
      <c r="J843" s="83" t="str">
        <f t="shared" si="20"/>
        <v/>
      </c>
      <c r="K843" s="49" t="str">
        <f>IFERROR(__xludf.DUMMYFUNCTION("IF(M843=1,IFERROR(IMPORTXML(G843, ""//p[@class='status-date']""), ""Not deployed""),"""")"),"")</f>
        <v/>
      </c>
      <c r="L843" s="48"/>
      <c r="M843" s="48">
        <f t="shared" si="21"/>
        <v>0</v>
      </c>
      <c r="N843" s="49" t="str">
        <f>IFERROR(__xludf.DUMMYFUNCTION("split(G843,""/"")"),"#VALUE!")</f>
        <v>#VALUE!</v>
      </c>
      <c r="O843" s="50"/>
      <c r="P843" s="49"/>
      <c r="Q843" s="49"/>
      <c r="R843" s="49"/>
      <c r="S843" s="49"/>
    </row>
    <row r="844">
      <c r="J844" s="83" t="str">
        <f t="shared" si="20"/>
        <v/>
      </c>
      <c r="K844" s="49" t="str">
        <f>IFERROR(__xludf.DUMMYFUNCTION("IF(M844=1,IFERROR(IMPORTXML(G844, ""//p[@class='status-date']""), ""Not deployed""),"""")"),"")</f>
        <v/>
      </c>
      <c r="L844" s="48"/>
      <c r="M844" s="48">
        <f t="shared" si="21"/>
        <v>0</v>
      </c>
      <c r="N844" s="49" t="str">
        <f>IFERROR(__xludf.DUMMYFUNCTION("split(G844,""/"")"),"#VALUE!")</f>
        <v>#VALUE!</v>
      </c>
      <c r="O844" s="50"/>
      <c r="P844" s="49"/>
      <c r="Q844" s="49"/>
      <c r="R844" s="49"/>
      <c r="S844" s="49"/>
    </row>
    <row r="845">
      <c r="J845" s="83" t="str">
        <f t="shared" si="20"/>
        <v/>
      </c>
      <c r="K845" s="49" t="str">
        <f>IFERROR(__xludf.DUMMYFUNCTION("IF(M845=1,IFERROR(IMPORTXML(G845, ""//p[@class='status-date']""), ""Not deployed""),"""")"),"")</f>
        <v/>
      </c>
      <c r="L845" s="48"/>
      <c r="M845" s="48">
        <f t="shared" si="21"/>
        <v>0</v>
      </c>
      <c r="N845" s="49" t="str">
        <f>IFERROR(__xludf.DUMMYFUNCTION("split(G845,""/"")"),"#VALUE!")</f>
        <v>#VALUE!</v>
      </c>
      <c r="O845" s="50"/>
      <c r="P845" s="49"/>
      <c r="Q845" s="49"/>
      <c r="R845" s="49"/>
      <c r="S845" s="49"/>
    </row>
    <row r="846">
      <c r="J846" s="83" t="str">
        <f t="shared" si="20"/>
        <v/>
      </c>
      <c r="K846" s="49" t="str">
        <f>IFERROR(__xludf.DUMMYFUNCTION("IF(M846=1,IFERROR(IMPORTXML(G846, ""//p[@class='status-date']""), ""Not deployed""),"""")"),"")</f>
        <v/>
      </c>
      <c r="L846" s="48"/>
      <c r="M846" s="48">
        <f t="shared" si="21"/>
        <v>0</v>
      </c>
      <c r="N846" s="49" t="str">
        <f>IFERROR(__xludf.DUMMYFUNCTION("split(G846,""/"")"),"#VALUE!")</f>
        <v>#VALUE!</v>
      </c>
      <c r="O846" s="50"/>
      <c r="P846" s="49"/>
      <c r="Q846" s="49"/>
      <c r="R846" s="49"/>
      <c r="S846" s="49"/>
    </row>
    <row r="847">
      <c r="J847" s="83" t="str">
        <f t="shared" si="20"/>
        <v/>
      </c>
      <c r="K847" s="49" t="str">
        <f>IFERROR(__xludf.DUMMYFUNCTION("IF(M847=1,IFERROR(IMPORTXML(G847, ""//p[@class='status-date']""), ""Not deployed""),"""")"),"")</f>
        <v/>
      </c>
      <c r="L847" s="48"/>
      <c r="M847" s="48">
        <f t="shared" si="21"/>
        <v>0</v>
      </c>
      <c r="N847" s="49" t="str">
        <f>IFERROR(__xludf.DUMMYFUNCTION("split(G847,""/"")"),"#VALUE!")</f>
        <v>#VALUE!</v>
      </c>
      <c r="O847" s="50"/>
      <c r="P847" s="49"/>
      <c r="Q847" s="49"/>
      <c r="R847" s="49"/>
      <c r="S847" s="49"/>
    </row>
    <row r="848">
      <c r="J848" s="83" t="str">
        <f t="shared" si="20"/>
        <v/>
      </c>
      <c r="K848" s="49" t="str">
        <f>IFERROR(__xludf.DUMMYFUNCTION("IF(M848=1,IFERROR(IMPORTXML(G848, ""//p[@class='status-date']""), ""Not deployed""),"""")"),"")</f>
        <v/>
      </c>
      <c r="L848" s="48"/>
      <c r="M848" s="48">
        <f t="shared" si="21"/>
        <v>0</v>
      </c>
      <c r="N848" s="49" t="str">
        <f>IFERROR(__xludf.DUMMYFUNCTION("split(G848,""/"")"),"#VALUE!")</f>
        <v>#VALUE!</v>
      </c>
      <c r="O848" s="50"/>
      <c r="P848" s="49"/>
      <c r="Q848" s="49"/>
      <c r="R848" s="49"/>
      <c r="S848" s="49"/>
    </row>
    <row r="849">
      <c r="J849" s="83" t="str">
        <f t="shared" si="20"/>
        <v/>
      </c>
      <c r="K849" s="49" t="str">
        <f>IFERROR(__xludf.DUMMYFUNCTION("IF(M849=1,IFERROR(IMPORTXML(G849, ""//p[@class='status-date']""), ""Not deployed""),"""")"),"")</f>
        <v/>
      </c>
      <c r="L849" s="48"/>
      <c r="M849" s="48">
        <f t="shared" si="21"/>
        <v>0</v>
      </c>
      <c r="N849" s="49" t="str">
        <f>IFERROR(__xludf.DUMMYFUNCTION("split(G849,""/"")"),"#VALUE!")</f>
        <v>#VALUE!</v>
      </c>
      <c r="O849" s="50"/>
      <c r="P849" s="49"/>
      <c r="Q849" s="49"/>
      <c r="R849" s="49"/>
      <c r="S849" s="49"/>
    </row>
    <row r="850">
      <c r="J850" s="83" t="str">
        <f t="shared" si="20"/>
        <v/>
      </c>
      <c r="K850" s="49" t="str">
        <f>IFERROR(__xludf.DUMMYFUNCTION("IF(M850=1,IFERROR(IMPORTXML(G850, ""//p[@class='status-date']""), ""Not deployed""),"""")"),"")</f>
        <v/>
      </c>
      <c r="L850" s="48"/>
      <c r="M850" s="48">
        <f t="shared" si="21"/>
        <v>0</v>
      </c>
      <c r="N850" s="49" t="str">
        <f>IFERROR(__xludf.DUMMYFUNCTION("split(G850,""/"")"),"#VALUE!")</f>
        <v>#VALUE!</v>
      </c>
      <c r="O850" s="50"/>
      <c r="P850" s="49"/>
      <c r="Q850" s="49"/>
      <c r="R850" s="49"/>
      <c r="S850" s="49"/>
    </row>
    <row r="851">
      <c r="J851" s="83" t="str">
        <f t="shared" si="20"/>
        <v/>
      </c>
      <c r="K851" s="49" t="str">
        <f>IFERROR(__xludf.DUMMYFUNCTION("IF(M851=1,IFERROR(IMPORTXML(G851, ""//p[@class='status-date']""), ""Not deployed""),"""")"),"")</f>
        <v/>
      </c>
      <c r="L851" s="48"/>
      <c r="M851" s="48">
        <f t="shared" si="21"/>
        <v>0</v>
      </c>
      <c r="N851" s="49" t="str">
        <f>IFERROR(__xludf.DUMMYFUNCTION("split(G851,""/"")"),"#VALUE!")</f>
        <v>#VALUE!</v>
      </c>
      <c r="O851" s="50"/>
      <c r="P851" s="49"/>
      <c r="Q851" s="49"/>
      <c r="R851" s="49"/>
      <c r="S851" s="49"/>
    </row>
    <row r="852">
      <c r="J852" s="83" t="str">
        <f t="shared" si="20"/>
        <v/>
      </c>
      <c r="K852" s="49" t="str">
        <f>IFERROR(__xludf.DUMMYFUNCTION("IF(M852=1,IFERROR(IMPORTXML(G852, ""//p[@class='status-date']""), ""Not deployed""),"""")"),"")</f>
        <v/>
      </c>
      <c r="L852" s="48"/>
      <c r="M852" s="48">
        <f t="shared" si="21"/>
        <v>0</v>
      </c>
      <c r="N852" s="49" t="str">
        <f>IFERROR(__xludf.DUMMYFUNCTION("split(G852,""/"")"),"#VALUE!")</f>
        <v>#VALUE!</v>
      </c>
      <c r="O852" s="50"/>
      <c r="P852" s="49"/>
      <c r="Q852" s="49"/>
      <c r="R852" s="49"/>
      <c r="S852" s="49"/>
    </row>
    <row r="853">
      <c r="J853" s="83" t="str">
        <f t="shared" si="20"/>
        <v/>
      </c>
      <c r="K853" s="49" t="str">
        <f>IFERROR(__xludf.DUMMYFUNCTION("IF(M853=1,IFERROR(IMPORTXML(G853, ""//p[@class='status-date']""), ""Not deployed""),"""")"),"")</f>
        <v/>
      </c>
      <c r="L853" s="48"/>
      <c r="M853" s="48">
        <f t="shared" si="21"/>
        <v>0</v>
      </c>
      <c r="N853" s="49" t="str">
        <f>IFERROR(__xludf.DUMMYFUNCTION("split(G853,""/"")"),"#VALUE!")</f>
        <v>#VALUE!</v>
      </c>
      <c r="O853" s="50"/>
      <c r="P853" s="49"/>
      <c r="Q853" s="49"/>
      <c r="R853" s="49"/>
      <c r="S853" s="49"/>
    </row>
    <row r="854">
      <c r="J854" s="83" t="str">
        <f t="shared" si="20"/>
        <v/>
      </c>
      <c r="K854" s="49" t="str">
        <f>IFERROR(__xludf.DUMMYFUNCTION("IF(M854=1,IFERROR(IMPORTXML(G854, ""//p[@class='status-date']""), ""Not deployed""),"""")"),"")</f>
        <v/>
      </c>
      <c r="L854" s="48"/>
      <c r="M854" s="48">
        <f t="shared" si="21"/>
        <v>0</v>
      </c>
      <c r="N854" s="49" t="str">
        <f>IFERROR(__xludf.DUMMYFUNCTION("split(G854,""/"")"),"#VALUE!")</f>
        <v>#VALUE!</v>
      </c>
      <c r="O854" s="50"/>
      <c r="P854" s="49"/>
      <c r="Q854" s="49"/>
      <c r="R854" s="49"/>
      <c r="S854" s="49"/>
    </row>
    <row r="855">
      <c r="J855" s="83" t="str">
        <f t="shared" si="20"/>
        <v/>
      </c>
      <c r="K855" s="49" t="str">
        <f>IFERROR(__xludf.DUMMYFUNCTION("IF(M855=1,IFERROR(IMPORTXML(G855, ""//p[@class='status-date']""), ""Not deployed""),"""")"),"")</f>
        <v/>
      </c>
      <c r="L855" s="48"/>
      <c r="M855" s="48">
        <f t="shared" si="21"/>
        <v>0</v>
      </c>
      <c r="N855" s="49" t="str">
        <f>IFERROR(__xludf.DUMMYFUNCTION("split(G855,""/"")"),"#VALUE!")</f>
        <v>#VALUE!</v>
      </c>
      <c r="O855" s="50"/>
      <c r="P855" s="49"/>
      <c r="Q855" s="49"/>
      <c r="R855" s="49"/>
      <c r="S855" s="49"/>
    </row>
    <row r="856">
      <c r="J856" s="83" t="str">
        <f t="shared" si="20"/>
        <v/>
      </c>
      <c r="K856" s="49" t="str">
        <f>IFERROR(__xludf.DUMMYFUNCTION("IF(M856=1,IFERROR(IMPORTXML(G856, ""//p[@class='status-date']""), ""Not deployed""),"""")"),"")</f>
        <v/>
      </c>
      <c r="L856" s="48"/>
      <c r="M856" s="48">
        <f t="shared" si="21"/>
        <v>0</v>
      </c>
      <c r="N856" s="49" t="str">
        <f>IFERROR(__xludf.DUMMYFUNCTION("split(G856,""/"")"),"#VALUE!")</f>
        <v>#VALUE!</v>
      </c>
      <c r="O856" s="50"/>
      <c r="P856" s="49"/>
      <c r="Q856" s="49"/>
      <c r="R856" s="49"/>
      <c r="S856" s="49"/>
    </row>
    <row r="857">
      <c r="J857" s="83" t="str">
        <f t="shared" si="20"/>
        <v/>
      </c>
      <c r="K857" s="49" t="str">
        <f>IFERROR(__xludf.DUMMYFUNCTION("IF(M857=1,IFERROR(IMPORTXML(G857, ""//p[@class='status-date']""), ""Not deployed""),"""")"),"")</f>
        <v/>
      </c>
      <c r="L857" s="48"/>
      <c r="M857" s="48">
        <f t="shared" si="21"/>
        <v>0</v>
      </c>
      <c r="N857" s="49" t="str">
        <f>IFERROR(__xludf.DUMMYFUNCTION("split(G857,""/"")"),"#VALUE!")</f>
        <v>#VALUE!</v>
      </c>
      <c r="O857" s="50"/>
      <c r="P857" s="49"/>
      <c r="Q857" s="49"/>
      <c r="R857" s="49"/>
      <c r="S857" s="49"/>
    </row>
    <row r="858">
      <c r="J858" s="83" t="str">
        <f t="shared" si="20"/>
        <v/>
      </c>
      <c r="K858" s="49" t="str">
        <f>IFERROR(__xludf.DUMMYFUNCTION("IF(M858=1,IFERROR(IMPORTXML(G858, ""//p[@class='status-date']""), ""Not deployed""),"""")"),"")</f>
        <v/>
      </c>
      <c r="L858" s="48"/>
      <c r="M858" s="48">
        <f t="shared" si="21"/>
        <v>0</v>
      </c>
      <c r="N858" s="49" t="str">
        <f>IFERROR(__xludf.DUMMYFUNCTION("split(G858,""/"")"),"#VALUE!")</f>
        <v>#VALUE!</v>
      </c>
      <c r="O858" s="50"/>
      <c r="P858" s="49"/>
      <c r="Q858" s="49"/>
      <c r="R858" s="49"/>
      <c r="S858" s="49"/>
    </row>
    <row r="859">
      <c r="J859" s="83" t="str">
        <f t="shared" si="20"/>
        <v/>
      </c>
      <c r="K859" s="49" t="str">
        <f>IFERROR(__xludf.DUMMYFUNCTION("IF(M859=1,IFERROR(IMPORTXML(G859, ""//p[@class='status-date']""), ""Not deployed""),"""")"),"")</f>
        <v/>
      </c>
      <c r="L859" s="48"/>
      <c r="M859" s="48">
        <f t="shared" si="21"/>
        <v>0</v>
      </c>
      <c r="N859" s="49" t="str">
        <f>IFERROR(__xludf.DUMMYFUNCTION("split(G859,""/"")"),"#VALUE!")</f>
        <v>#VALUE!</v>
      </c>
      <c r="O859" s="50"/>
      <c r="P859" s="49"/>
      <c r="Q859" s="49"/>
      <c r="R859" s="49"/>
      <c r="S859" s="49"/>
    </row>
    <row r="860">
      <c r="J860" s="83" t="str">
        <f t="shared" si="20"/>
        <v/>
      </c>
      <c r="K860" s="49" t="str">
        <f>IFERROR(__xludf.DUMMYFUNCTION("IF(M860=1,IFERROR(IMPORTXML(G860, ""//p[@class='status-date']""), ""Not deployed""),"""")"),"")</f>
        <v/>
      </c>
      <c r="L860" s="48"/>
      <c r="M860" s="48">
        <f t="shared" si="21"/>
        <v>0</v>
      </c>
      <c r="N860" s="49" t="str">
        <f>IFERROR(__xludf.DUMMYFUNCTION("split(G860,""/"")"),"#VALUE!")</f>
        <v>#VALUE!</v>
      </c>
      <c r="O860" s="50"/>
      <c r="P860" s="49"/>
      <c r="Q860" s="49"/>
      <c r="R860" s="49"/>
      <c r="S860" s="49"/>
    </row>
    <row r="861">
      <c r="J861" s="83" t="str">
        <f t="shared" si="20"/>
        <v/>
      </c>
      <c r="K861" s="49" t="str">
        <f>IFERROR(__xludf.DUMMYFUNCTION("IF(M861=1,IFERROR(IMPORTXML(G861, ""//p[@class='status-date']""), ""Not deployed""),"""")"),"")</f>
        <v/>
      </c>
      <c r="L861" s="48"/>
      <c r="M861" s="48">
        <f t="shared" si="21"/>
        <v>0</v>
      </c>
      <c r="N861" s="49" t="str">
        <f>IFERROR(__xludf.DUMMYFUNCTION("split(G861,""/"")"),"#VALUE!")</f>
        <v>#VALUE!</v>
      </c>
      <c r="O861" s="50"/>
      <c r="P861" s="49"/>
      <c r="Q861" s="49"/>
      <c r="R861" s="49"/>
      <c r="S861" s="49"/>
    </row>
    <row r="862">
      <c r="J862" s="83" t="str">
        <f t="shared" si="20"/>
        <v/>
      </c>
      <c r="K862" s="49" t="str">
        <f>IFERROR(__xludf.DUMMYFUNCTION("IF(M862=1,IFERROR(IMPORTXML(G862, ""//p[@class='status-date']""), ""Not deployed""),"""")"),"")</f>
        <v/>
      </c>
      <c r="L862" s="48"/>
      <c r="M862" s="48">
        <f t="shared" si="21"/>
        <v>0</v>
      </c>
      <c r="N862" s="49" t="str">
        <f>IFERROR(__xludf.DUMMYFUNCTION("split(G862,""/"")"),"#VALUE!")</f>
        <v>#VALUE!</v>
      </c>
      <c r="O862" s="50"/>
      <c r="P862" s="49"/>
      <c r="Q862" s="49"/>
      <c r="R862" s="49"/>
      <c r="S862" s="49"/>
    </row>
    <row r="863">
      <c r="J863" s="83" t="str">
        <f t="shared" si="20"/>
        <v/>
      </c>
      <c r="K863" s="49" t="str">
        <f>IFERROR(__xludf.DUMMYFUNCTION("IF(M863=1,IFERROR(IMPORTXML(G863, ""//p[@class='status-date']""), ""Not deployed""),"""")"),"")</f>
        <v/>
      </c>
      <c r="L863" s="48"/>
      <c r="M863" s="48">
        <f t="shared" si="21"/>
        <v>0</v>
      </c>
      <c r="N863" s="49" t="str">
        <f>IFERROR(__xludf.DUMMYFUNCTION("split(G863,""/"")"),"#VALUE!")</f>
        <v>#VALUE!</v>
      </c>
      <c r="O863" s="50"/>
      <c r="P863" s="49"/>
      <c r="Q863" s="49"/>
      <c r="R863" s="49"/>
      <c r="S863" s="49"/>
    </row>
    <row r="864">
      <c r="J864" s="83" t="str">
        <f t="shared" si="20"/>
        <v/>
      </c>
      <c r="K864" s="49" t="str">
        <f>IFERROR(__xludf.DUMMYFUNCTION("IF(M864=1,IFERROR(IMPORTXML(G864, ""//p[@class='status-date']""), ""Not deployed""),"""")"),"")</f>
        <v/>
      </c>
      <c r="L864" s="48"/>
      <c r="M864" s="48">
        <f t="shared" si="21"/>
        <v>0</v>
      </c>
      <c r="N864" s="49" t="str">
        <f>IFERROR(__xludf.DUMMYFUNCTION("split(G864,""/"")"),"#VALUE!")</f>
        <v>#VALUE!</v>
      </c>
      <c r="O864" s="50"/>
      <c r="P864" s="49"/>
      <c r="Q864" s="49"/>
      <c r="R864" s="49"/>
      <c r="S864" s="49"/>
    </row>
    <row r="865">
      <c r="J865" s="83" t="str">
        <f t="shared" si="20"/>
        <v/>
      </c>
      <c r="K865" s="49" t="str">
        <f>IFERROR(__xludf.DUMMYFUNCTION("IF(M865=1,IFERROR(IMPORTXML(G865, ""//p[@class='status-date']""), ""Not deployed""),"""")"),"")</f>
        <v/>
      </c>
      <c r="L865" s="48"/>
      <c r="M865" s="48">
        <f t="shared" si="21"/>
        <v>0</v>
      </c>
      <c r="N865" s="49" t="str">
        <f>IFERROR(__xludf.DUMMYFUNCTION("split(G865,""/"")"),"#VALUE!")</f>
        <v>#VALUE!</v>
      </c>
      <c r="O865" s="50"/>
      <c r="P865" s="49"/>
      <c r="Q865" s="49"/>
      <c r="R865" s="49"/>
      <c r="S865" s="49"/>
    </row>
    <row r="866">
      <c r="J866" s="83" t="str">
        <f t="shared" si="20"/>
        <v/>
      </c>
      <c r="K866" s="49" t="str">
        <f>IFERROR(__xludf.DUMMYFUNCTION("IF(M866=1,IFERROR(IMPORTXML(G866, ""//p[@class='status-date']""), ""Not deployed""),"""")"),"")</f>
        <v/>
      </c>
      <c r="L866" s="48"/>
      <c r="M866" s="48">
        <f t="shared" si="21"/>
        <v>0</v>
      </c>
      <c r="N866" s="49" t="str">
        <f>IFERROR(__xludf.DUMMYFUNCTION("split(G866,""/"")"),"#VALUE!")</f>
        <v>#VALUE!</v>
      </c>
      <c r="O866" s="50"/>
      <c r="P866" s="49"/>
      <c r="Q866" s="49"/>
      <c r="R866" s="49"/>
      <c r="S866" s="49"/>
    </row>
    <row r="867">
      <c r="J867" s="83" t="str">
        <f t="shared" si="20"/>
        <v/>
      </c>
      <c r="K867" s="49" t="str">
        <f>IFERROR(__xludf.DUMMYFUNCTION("IF(M867=1,IFERROR(IMPORTXML(G867, ""//p[@class='status-date']""), ""Not deployed""),"""")"),"")</f>
        <v/>
      </c>
      <c r="L867" s="48"/>
      <c r="M867" s="48">
        <f t="shared" si="21"/>
        <v>0</v>
      </c>
      <c r="N867" s="49" t="str">
        <f>IFERROR(__xludf.DUMMYFUNCTION("split(G867,""/"")"),"#VALUE!")</f>
        <v>#VALUE!</v>
      </c>
      <c r="O867" s="50"/>
      <c r="P867" s="49"/>
      <c r="Q867" s="49"/>
      <c r="R867" s="49"/>
      <c r="S867" s="49"/>
    </row>
    <row r="868">
      <c r="J868" s="83" t="str">
        <f t="shared" si="20"/>
        <v/>
      </c>
      <c r="K868" s="49" t="str">
        <f>IFERROR(__xludf.DUMMYFUNCTION("IF(M868=1,IFERROR(IMPORTXML(G868, ""//p[@class='status-date']""), ""Not deployed""),"""")"),"")</f>
        <v/>
      </c>
      <c r="L868" s="48"/>
      <c r="M868" s="48">
        <f t="shared" si="21"/>
        <v>0</v>
      </c>
      <c r="N868" s="49" t="str">
        <f>IFERROR(__xludf.DUMMYFUNCTION("split(G868,""/"")"),"#VALUE!")</f>
        <v>#VALUE!</v>
      </c>
      <c r="O868" s="50"/>
      <c r="P868" s="49"/>
      <c r="Q868" s="49"/>
      <c r="R868" s="49"/>
      <c r="S868" s="49"/>
    </row>
    <row r="869">
      <c r="J869" s="83" t="str">
        <f t="shared" si="20"/>
        <v/>
      </c>
      <c r="K869" s="49" t="str">
        <f>IFERROR(__xludf.DUMMYFUNCTION("IF(M869=1,IFERROR(IMPORTXML(G869, ""//p[@class='status-date']""), ""Not deployed""),"""")"),"")</f>
        <v/>
      </c>
      <c r="L869" s="48"/>
      <c r="M869" s="48">
        <f t="shared" si="21"/>
        <v>0</v>
      </c>
      <c r="N869" s="49" t="str">
        <f>IFERROR(__xludf.DUMMYFUNCTION("split(G869,""/"")"),"#VALUE!")</f>
        <v>#VALUE!</v>
      </c>
      <c r="O869" s="50"/>
      <c r="P869" s="49"/>
      <c r="Q869" s="49"/>
      <c r="R869" s="49"/>
      <c r="S869" s="49"/>
    </row>
    <row r="870">
      <c r="J870" s="83" t="str">
        <f t="shared" si="20"/>
        <v/>
      </c>
      <c r="K870" s="49" t="str">
        <f>IFERROR(__xludf.DUMMYFUNCTION("IF(M870=1,IFERROR(IMPORTXML(G870, ""//p[@class='status-date']""), ""Not deployed""),"""")"),"")</f>
        <v/>
      </c>
      <c r="L870" s="48"/>
      <c r="M870" s="48">
        <f t="shared" si="21"/>
        <v>0</v>
      </c>
      <c r="N870" s="49" t="str">
        <f>IFERROR(__xludf.DUMMYFUNCTION("split(G870,""/"")"),"#VALUE!")</f>
        <v>#VALUE!</v>
      </c>
      <c r="O870" s="50"/>
      <c r="P870" s="49"/>
      <c r="Q870" s="49"/>
      <c r="R870" s="49"/>
      <c r="S870" s="49"/>
    </row>
    <row r="871">
      <c r="J871" s="83" t="str">
        <f t="shared" si="20"/>
        <v/>
      </c>
      <c r="K871" s="49" t="str">
        <f>IFERROR(__xludf.DUMMYFUNCTION("IF(M871=1,IFERROR(IMPORTXML(G871, ""//p[@class='status-date']""), ""Not deployed""),"""")"),"")</f>
        <v/>
      </c>
      <c r="L871" s="48"/>
      <c r="M871" s="48">
        <f t="shared" si="21"/>
        <v>0</v>
      </c>
      <c r="N871" s="49" t="str">
        <f>IFERROR(__xludf.DUMMYFUNCTION("split(G871,""/"")"),"#VALUE!")</f>
        <v>#VALUE!</v>
      </c>
      <c r="O871" s="50"/>
      <c r="P871" s="49"/>
      <c r="Q871" s="49"/>
      <c r="R871" s="49"/>
      <c r="S871" s="49"/>
    </row>
    <row r="872">
      <c r="J872" s="83" t="str">
        <f t="shared" si="20"/>
        <v/>
      </c>
      <c r="K872" s="49" t="str">
        <f>IFERROR(__xludf.DUMMYFUNCTION("IF(M872=1,IFERROR(IMPORTXML(G872, ""//p[@class='status-date']""), ""Not deployed""),"""")"),"")</f>
        <v/>
      </c>
      <c r="L872" s="48"/>
      <c r="M872" s="48">
        <f t="shared" si="21"/>
        <v>0</v>
      </c>
      <c r="N872" s="49" t="str">
        <f>IFERROR(__xludf.DUMMYFUNCTION("split(G872,""/"")"),"#VALUE!")</f>
        <v>#VALUE!</v>
      </c>
      <c r="O872" s="50"/>
      <c r="P872" s="49"/>
      <c r="Q872" s="49"/>
      <c r="R872" s="49"/>
      <c r="S872" s="49"/>
    </row>
    <row r="873">
      <c r="J873" s="83" t="str">
        <f t="shared" si="20"/>
        <v/>
      </c>
      <c r="K873" s="49" t="str">
        <f>IFERROR(__xludf.DUMMYFUNCTION("IF(M873=1,IFERROR(IMPORTXML(G873, ""//p[@class='status-date']""), ""Not deployed""),"""")"),"")</f>
        <v/>
      </c>
      <c r="L873" s="48"/>
      <c r="M873" s="48">
        <f t="shared" si="21"/>
        <v>0</v>
      </c>
      <c r="N873" s="49" t="str">
        <f>IFERROR(__xludf.DUMMYFUNCTION("split(G873,""/"")"),"#VALUE!")</f>
        <v>#VALUE!</v>
      </c>
      <c r="O873" s="50"/>
      <c r="P873" s="49"/>
      <c r="Q873" s="49"/>
      <c r="R873" s="49"/>
      <c r="S873" s="49"/>
    </row>
    <row r="874">
      <c r="J874" s="83" t="str">
        <f t="shared" si="20"/>
        <v/>
      </c>
      <c r="K874" s="49" t="str">
        <f>IFERROR(__xludf.DUMMYFUNCTION("IF(M874=1,IFERROR(IMPORTXML(G874, ""//p[@class='status-date']""), ""Not deployed""),"""")"),"")</f>
        <v/>
      </c>
      <c r="L874" s="48"/>
      <c r="M874" s="48">
        <f t="shared" si="21"/>
        <v>0</v>
      </c>
      <c r="N874" s="49" t="str">
        <f>IFERROR(__xludf.DUMMYFUNCTION("split(G874,""/"")"),"#VALUE!")</f>
        <v>#VALUE!</v>
      </c>
      <c r="O874" s="50"/>
      <c r="P874" s="49"/>
      <c r="Q874" s="49"/>
      <c r="R874" s="49"/>
      <c r="S874" s="49"/>
    </row>
    <row r="875">
      <c r="J875" s="83" t="str">
        <f t="shared" si="20"/>
        <v/>
      </c>
      <c r="K875" s="49" t="str">
        <f>IFERROR(__xludf.DUMMYFUNCTION("IF(M875=1,IFERROR(IMPORTXML(G875, ""//p[@class='status-date']""), ""Not deployed""),"""")"),"")</f>
        <v/>
      </c>
      <c r="L875" s="48"/>
      <c r="M875" s="48">
        <f t="shared" si="21"/>
        <v>0</v>
      </c>
      <c r="N875" s="49" t="str">
        <f>IFERROR(__xludf.DUMMYFUNCTION("split(G875,""/"")"),"#VALUE!")</f>
        <v>#VALUE!</v>
      </c>
      <c r="O875" s="50"/>
      <c r="P875" s="49"/>
      <c r="Q875" s="49"/>
      <c r="R875" s="49"/>
      <c r="S875" s="49"/>
    </row>
    <row r="876">
      <c r="J876" s="83" t="str">
        <f t="shared" si="20"/>
        <v/>
      </c>
      <c r="K876" s="49" t="str">
        <f>IFERROR(__xludf.DUMMYFUNCTION("IF(M876=1,IFERROR(IMPORTXML(G876, ""//p[@class='status-date']""), ""Not deployed""),"""")"),"")</f>
        <v/>
      </c>
      <c r="L876" s="48"/>
      <c r="M876" s="48">
        <f t="shared" si="21"/>
        <v>0</v>
      </c>
      <c r="N876" s="49" t="str">
        <f>IFERROR(__xludf.DUMMYFUNCTION("split(G876,""/"")"),"#VALUE!")</f>
        <v>#VALUE!</v>
      </c>
      <c r="O876" s="50"/>
      <c r="P876" s="49"/>
      <c r="Q876" s="49"/>
      <c r="R876" s="49"/>
      <c r="S876" s="49"/>
    </row>
    <row r="877">
      <c r="J877" s="83" t="str">
        <f t="shared" si="20"/>
        <v/>
      </c>
      <c r="K877" s="49" t="str">
        <f>IFERROR(__xludf.DUMMYFUNCTION("IF(M877=1,IFERROR(IMPORTXML(G877, ""//p[@class='status-date']""), ""Not deployed""),"""")"),"")</f>
        <v/>
      </c>
      <c r="L877" s="48"/>
      <c r="M877" s="48">
        <f t="shared" si="21"/>
        <v>0</v>
      </c>
      <c r="N877" s="49" t="str">
        <f>IFERROR(__xludf.DUMMYFUNCTION("split(G877,""/"")"),"#VALUE!")</f>
        <v>#VALUE!</v>
      </c>
      <c r="O877" s="50"/>
      <c r="P877" s="49"/>
      <c r="Q877" s="49"/>
      <c r="R877" s="49"/>
      <c r="S877" s="49"/>
    </row>
    <row r="878">
      <c r="J878" s="83" t="str">
        <f t="shared" si="20"/>
        <v/>
      </c>
      <c r="K878" s="49" t="str">
        <f>IFERROR(__xludf.DUMMYFUNCTION("IF(M878=1,IFERROR(IMPORTXML(G878, ""//p[@class='status-date']""), ""Not deployed""),"""")"),"")</f>
        <v/>
      </c>
      <c r="L878" s="48"/>
      <c r="M878" s="48">
        <f t="shared" si="21"/>
        <v>0</v>
      </c>
      <c r="N878" s="49" t="str">
        <f>IFERROR(__xludf.DUMMYFUNCTION("split(G878,""/"")"),"#VALUE!")</f>
        <v>#VALUE!</v>
      </c>
      <c r="O878" s="57"/>
      <c r="P878" s="49"/>
      <c r="Q878" s="49"/>
      <c r="R878" s="49"/>
      <c r="S878" s="49"/>
    </row>
    <row r="879">
      <c r="J879" s="83" t="str">
        <f t="shared" si="20"/>
        <v/>
      </c>
      <c r="K879" s="49" t="str">
        <f>IFERROR(__xludf.DUMMYFUNCTION("IF(M879=1,IFERROR(IMPORTXML(G879, ""//p[@class='status-date']""), ""Not deployed""),"""")"),"")</f>
        <v/>
      </c>
      <c r="L879" s="48"/>
      <c r="M879" s="48">
        <f t="shared" si="21"/>
        <v>0</v>
      </c>
      <c r="N879" s="49" t="str">
        <f>IFERROR(__xludf.DUMMYFUNCTION("split(G879,""/"")"),"#VALUE!")</f>
        <v>#VALUE!</v>
      </c>
      <c r="O879" s="50"/>
      <c r="P879" s="49"/>
      <c r="Q879" s="49"/>
      <c r="R879" s="49"/>
      <c r="S879" s="49"/>
    </row>
    <row r="880">
      <c r="J880" s="83" t="str">
        <f t="shared" si="20"/>
        <v/>
      </c>
      <c r="K880" s="49" t="str">
        <f>IFERROR(__xludf.DUMMYFUNCTION("IF(M880=1,IFERROR(IMPORTXML(G880, ""//p[@class='status-date']""), ""Not deployed""),"""")"),"")</f>
        <v/>
      </c>
      <c r="L880" s="48"/>
      <c r="M880" s="48">
        <f t="shared" si="21"/>
        <v>0</v>
      </c>
      <c r="N880" s="49" t="str">
        <f>IFERROR(__xludf.DUMMYFUNCTION("split(G880,""/"")"),"#VALUE!")</f>
        <v>#VALUE!</v>
      </c>
      <c r="O880" s="50"/>
      <c r="P880" s="49"/>
      <c r="Q880" s="49"/>
      <c r="R880" s="49"/>
      <c r="S880" s="49"/>
    </row>
    <row r="881">
      <c r="J881" s="83" t="str">
        <f t="shared" si="20"/>
        <v/>
      </c>
      <c r="K881" s="49" t="str">
        <f>IFERROR(__xludf.DUMMYFUNCTION("IF(M881=1,IFERROR(IMPORTXML(G881, ""//p[@class='status-date']""), ""Not deployed""),"""")"),"")</f>
        <v/>
      </c>
      <c r="L881" s="48"/>
      <c r="M881" s="48">
        <f t="shared" si="21"/>
        <v>0</v>
      </c>
      <c r="N881" s="49" t="str">
        <f>IFERROR(__xludf.DUMMYFUNCTION("split(G881,""/"")"),"#VALUE!")</f>
        <v>#VALUE!</v>
      </c>
      <c r="O881" s="50"/>
      <c r="P881" s="49"/>
      <c r="Q881" s="49"/>
      <c r="R881" s="49"/>
      <c r="S881" s="49"/>
    </row>
    <row r="882">
      <c r="J882" s="83" t="str">
        <f t="shared" si="20"/>
        <v/>
      </c>
      <c r="K882" s="49" t="str">
        <f>IFERROR(__xludf.DUMMYFUNCTION("IF(M882=1,IFERROR(IMPORTXML(G882, ""//p[@class='status-date']""), ""Not deployed""),"""")"),"")</f>
        <v/>
      </c>
      <c r="L882" s="48"/>
      <c r="M882" s="48">
        <f t="shared" si="21"/>
        <v>0</v>
      </c>
      <c r="N882" s="49" t="str">
        <f>IFERROR(__xludf.DUMMYFUNCTION("split(G882,""/"")"),"#VALUE!")</f>
        <v>#VALUE!</v>
      </c>
      <c r="O882" s="50"/>
      <c r="P882" s="49"/>
      <c r="Q882" s="49"/>
      <c r="R882" s="49"/>
      <c r="S882" s="49"/>
    </row>
    <row r="883">
      <c r="J883" s="83" t="str">
        <f t="shared" si="20"/>
        <v/>
      </c>
      <c r="K883" s="49" t="str">
        <f>IFERROR(__xludf.DUMMYFUNCTION("IF(M883=1,IFERROR(IMPORTXML(G883, ""//p[@class='status-date']""), ""Not deployed""),"""")"),"")</f>
        <v/>
      </c>
      <c r="L883" s="48"/>
      <c r="M883" s="48">
        <f t="shared" si="21"/>
        <v>0</v>
      </c>
      <c r="N883" s="49" t="str">
        <f>IFERROR(__xludf.DUMMYFUNCTION("split(G883,""/"")"),"#VALUE!")</f>
        <v>#VALUE!</v>
      </c>
      <c r="O883" s="50"/>
      <c r="P883" s="49"/>
      <c r="Q883" s="49"/>
      <c r="R883" s="49"/>
      <c r="S883" s="49"/>
    </row>
    <row r="884">
      <c r="J884" s="83" t="str">
        <f t="shared" si="20"/>
        <v/>
      </c>
      <c r="K884" s="49" t="str">
        <f>IFERROR(__xludf.DUMMYFUNCTION("IF(M884=1,IFERROR(IMPORTXML(G884, ""//p[@class='status-date']""), ""Not deployed""),"""")"),"")</f>
        <v/>
      </c>
      <c r="L884" s="48"/>
      <c r="M884" s="48">
        <f t="shared" si="21"/>
        <v>0</v>
      </c>
      <c r="N884" s="49" t="str">
        <f>IFERROR(__xludf.DUMMYFUNCTION("split(G884,""/"")"),"#VALUE!")</f>
        <v>#VALUE!</v>
      </c>
      <c r="O884" s="50"/>
      <c r="P884" s="49"/>
      <c r="Q884" s="49"/>
      <c r="R884" s="49"/>
      <c r="S884" s="49"/>
    </row>
    <row r="885">
      <c r="J885" s="83" t="str">
        <f t="shared" si="20"/>
        <v/>
      </c>
      <c r="K885" s="49" t="str">
        <f>IFERROR(__xludf.DUMMYFUNCTION("IF(M885=1,IFERROR(IMPORTXML(G885, ""//p[@class='status-date']""), ""Not deployed""),"""")"),"")</f>
        <v/>
      </c>
      <c r="L885" s="48"/>
      <c r="M885" s="48">
        <f t="shared" si="21"/>
        <v>0</v>
      </c>
      <c r="N885" s="49" t="str">
        <f>IFERROR(__xludf.DUMMYFUNCTION("split(G885,""/"")"),"#VALUE!")</f>
        <v>#VALUE!</v>
      </c>
      <c r="O885" s="50"/>
      <c r="P885" s="49"/>
      <c r="Q885" s="49"/>
      <c r="R885" s="49"/>
      <c r="S885" s="49"/>
    </row>
    <row r="886">
      <c r="J886" s="83" t="str">
        <f t="shared" si="20"/>
        <v/>
      </c>
      <c r="K886" s="49" t="str">
        <f>IFERROR(__xludf.DUMMYFUNCTION("IF(M886=1,IFERROR(IMPORTXML(G886, ""//p[@class='status-date']""), ""Not deployed""),"""")"),"")</f>
        <v/>
      </c>
      <c r="L886" s="48"/>
      <c r="M886" s="48">
        <f t="shared" si="21"/>
        <v>0</v>
      </c>
      <c r="N886" s="49" t="str">
        <f>IFERROR(__xludf.DUMMYFUNCTION("split(G886,""/"")"),"#VALUE!")</f>
        <v>#VALUE!</v>
      </c>
      <c r="O886" s="50"/>
      <c r="P886" s="49"/>
      <c r="Q886" s="49"/>
      <c r="R886" s="49"/>
      <c r="S886" s="49"/>
    </row>
    <row r="887">
      <c r="J887" s="83" t="str">
        <f t="shared" si="20"/>
        <v/>
      </c>
      <c r="K887" s="49" t="str">
        <f>IFERROR(__xludf.DUMMYFUNCTION("IF(M887=1,IFERROR(IMPORTXML(G887, ""//p[@class='status-date']""), ""Not deployed""),"""")"),"")</f>
        <v/>
      </c>
      <c r="L887" s="48"/>
      <c r="M887" s="48">
        <f t="shared" si="21"/>
        <v>0</v>
      </c>
      <c r="N887" s="49" t="str">
        <f>IFERROR(__xludf.DUMMYFUNCTION("split(G887,""/"")"),"#VALUE!")</f>
        <v>#VALUE!</v>
      </c>
      <c r="O887" s="50"/>
      <c r="P887" s="49"/>
      <c r="Q887" s="49"/>
      <c r="R887" s="49"/>
      <c r="S887" s="49"/>
    </row>
    <row r="888">
      <c r="J888" s="83"/>
    </row>
    <row r="889">
      <c r="J889" s="83"/>
    </row>
    <row r="890">
      <c r="J890" s="83"/>
    </row>
    <row r="891">
      <c r="J891" s="83"/>
    </row>
    <row r="892">
      <c r="J892" s="83"/>
    </row>
    <row r="893">
      <c r="J893" s="83"/>
    </row>
    <row r="894">
      <c r="J894" s="83"/>
    </row>
    <row r="895">
      <c r="J895" s="83"/>
    </row>
    <row r="896">
      <c r="J896" s="83"/>
    </row>
    <row r="897">
      <c r="J897" s="83"/>
    </row>
    <row r="898">
      <c r="J898" s="83"/>
    </row>
    <row r="899">
      <c r="J899" s="83"/>
    </row>
    <row r="900">
      <c r="J900" s="83"/>
    </row>
    <row r="901">
      <c r="J901" s="83"/>
    </row>
    <row r="902">
      <c r="J902" s="83"/>
    </row>
    <row r="903">
      <c r="J903" s="83"/>
    </row>
    <row r="904">
      <c r="J904" s="83"/>
    </row>
    <row r="905">
      <c r="J905" s="83"/>
    </row>
    <row r="906">
      <c r="J906" s="83"/>
    </row>
    <row r="907">
      <c r="J907" s="83"/>
    </row>
    <row r="908">
      <c r="J908" s="83"/>
    </row>
    <row r="909">
      <c r="J909" s="83"/>
    </row>
    <row r="910">
      <c r="J910" s="83"/>
    </row>
    <row r="911">
      <c r="J911" s="83"/>
    </row>
    <row r="912">
      <c r="J912" s="83"/>
    </row>
    <row r="913">
      <c r="J913" s="83"/>
    </row>
    <row r="914">
      <c r="J914" s="83"/>
    </row>
    <row r="915">
      <c r="J915" s="83"/>
    </row>
    <row r="916">
      <c r="J916" s="83"/>
    </row>
    <row r="917">
      <c r="J917" s="83"/>
    </row>
    <row r="918">
      <c r="J918" s="83"/>
    </row>
    <row r="919">
      <c r="J919" s="83"/>
    </row>
    <row r="920">
      <c r="J920" s="83"/>
    </row>
    <row r="921">
      <c r="J921" s="83"/>
    </row>
    <row r="922">
      <c r="J922" s="83"/>
    </row>
    <row r="923">
      <c r="J923" s="83"/>
    </row>
    <row r="924">
      <c r="J924" s="83"/>
    </row>
    <row r="925">
      <c r="J925" s="83"/>
    </row>
    <row r="926">
      <c r="J926" s="83"/>
    </row>
    <row r="927">
      <c r="J927" s="83"/>
    </row>
    <row r="928">
      <c r="J928" s="83"/>
    </row>
    <row r="929">
      <c r="J929" s="83"/>
    </row>
    <row r="930">
      <c r="J930" s="83"/>
    </row>
    <row r="931">
      <c r="J931" s="83"/>
    </row>
    <row r="932">
      <c r="J932" s="83"/>
    </row>
    <row r="933">
      <c r="J933" s="83"/>
    </row>
    <row r="934">
      <c r="J934" s="83"/>
    </row>
    <row r="935">
      <c r="J935" s="83"/>
    </row>
    <row r="936">
      <c r="J936" s="83"/>
    </row>
    <row r="937">
      <c r="J937" s="83"/>
    </row>
    <row r="938">
      <c r="J938" s="83"/>
    </row>
    <row r="939">
      <c r="J939" s="83"/>
    </row>
    <row r="940">
      <c r="J940" s="83"/>
    </row>
    <row r="941">
      <c r="J941" s="83"/>
    </row>
    <row r="942">
      <c r="J942" s="83"/>
    </row>
    <row r="943">
      <c r="J943" s="83"/>
    </row>
    <row r="944">
      <c r="J944" s="83"/>
    </row>
    <row r="945">
      <c r="J945" s="83"/>
    </row>
    <row r="946">
      <c r="J946" s="83"/>
    </row>
    <row r="947">
      <c r="J947" s="83"/>
    </row>
    <row r="948">
      <c r="J948" s="83"/>
    </row>
    <row r="949">
      <c r="J949" s="83"/>
    </row>
    <row r="950">
      <c r="J950" s="83"/>
    </row>
    <row r="951">
      <c r="J951" s="83"/>
    </row>
    <row r="952">
      <c r="J952" s="83"/>
    </row>
    <row r="953">
      <c r="J953" s="83"/>
    </row>
    <row r="954">
      <c r="J954" s="83"/>
    </row>
    <row r="955">
      <c r="J955" s="83"/>
    </row>
    <row r="956">
      <c r="J956" s="83"/>
    </row>
    <row r="957">
      <c r="J957" s="83"/>
    </row>
    <row r="958">
      <c r="J958" s="83"/>
    </row>
    <row r="959">
      <c r="J959" s="83"/>
    </row>
    <row r="960">
      <c r="J960" s="83"/>
    </row>
    <row r="961">
      <c r="J961" s="83"/>
    </row>
    <row r="962">
      <c r="J962" s="83"/>
    </row>
    <row r="963">
      <c r="J963" s="83"/>
    </row>
    <row r="964">
      <c r="J964" s="83"/>
    </row>
    <row r="965">
      <c r="J965" s="83"/>
    </row>
    <row r="966">
      <c r="J966" s="83"/>
    </row>
    <row r="967">
      <c r="J967" s="83"/>
    </row>
    <row r="968">
      <c r="J968" s="83"/>
    </row>
    <row r="969">
      <c r="J969" s="83"/>
    </row>
    <row r="970">
      <c r="J970" s="83"/>
    </row>
    <row r="971">
      <c r="J971" s="83"/>
    </row>
    <row r="972">
      <c r="J972" s="83"/>
    </row>
    <row r="973">
      <c r="J973" s="83"/>
    </row>
    <row r="974">
      <c r="J974" s="83"/>
    </row>
    <row r="975">
      <c r="J975" s="83"/>
    </row>
    <row r="976">
      <c r="J976" s="83"/>
    </row>
    <row r="977">
      <c r="J977" s="83"/>
    </row>
    <row r="978">
      <c r="J978" s="83"/>
    </row>
    <row r="979">
      <c r="J979" s="83"/>
    </row>
    <row r="980">
      <c r="J980" s="83"/>
    </row>
    <row r="981">
      <c r="J981" s="83"/>
    </row>
    <row r="982">
      <c r="J982" s="83"/>
    </row>
    <row r="983">
      <c r="J983" s="83"/>
    </row>
    <row r="984">
      <c r="J984" s="83"/>
    </row>
    <row r="985">
      <c r="J985" s="83"/>
    </row>
    <row r="986">
      <c r="J986" s="83"/>
    </row>
    <row r="987">
      <c r="J987" s="83"/>
    </row>
    <row r="988">
      <c r="J988" s="83"/>
    </row>
    <row r="989">
      <c r="J989" s="83"/>
    </row>
    <row r="990">
      <c r="J990" s="83"/>
    </row>
    <row r="991">
      <c r="J991" s="83"/>
    </row>
    <row r="992">
      <c r="J992" s="83"/>
    </row>
    <row r="993">
      <c r="J993" s="83"/>
    </row>
    <row r="994">
      <c r="J994" s="83"/>
    </row>
    <row r="995">
      <c r="J995" s="83"/>
    </row>
    <row r="996">
      <c r="J996" s="83"/>
    </row>
    <row r="997">
      <c r="J997" s="83"/>
    </row>
    <row r="998">
      <c r="J998" s="83"/>
    </row>
    <row r="999">
      <c r="J999" s="83"/>
    </row>
    <row r="1000">
      <c r="J1000" s="83"/>
    </row>
    <row r="1001">
      <c r="J1001" s="83"/>
    </row>
  </sheetData>
  <mergeCells count="12">
    <mergeCell ref="N467:S467"/>
    <mergeCell ref="N559:S559"/>
    <mergeCell ref="N651:S651"/>
    <mergeCell ref="N743:S743"/>
    <mergeCell ref="N835:S835"/>
    <mergeCell ref="B1:C1"/>
    <mergeCell ref="I1:I2"/>
    <mergeCell ref="N7:S7"/>
    <mergeCell ref="N99:S99"/>
    <mergeCell ref="N191:S191"/>
    <mergeCell ref="N283:S283"/>
    <mergeCell ref="N375:S375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  <hyperlink r:id="rId107" ref="O100"/>
    <hyperlink r:id="rId108" ref="O101"/>
    <hyperlink r:id="rId109" ref="O102"/>
    <hyperlink r:id="rId110" ref="O103"/>
    <hyperlink r:id="rId111" ref="O104"/>
    <hyperlink r:id="rId112" ref="O105"/>
    <hyperlink r:id="rId113" ref="O106"/>
    <hyperlink r:id="rId114" ref="O107"/>
    <hyperlink r:id="rId115" ref="O108"/>
    <hyperlink r:id="rId116" ref="O109"/>
    <hyperlink r:id="rId117" ref="O110"/>
    <hyperlink r:id="rId118" ref="O111"/>
    <hyperlink r:id="rId119" ref="O112"/>
    <hyperlink r:id="rId120" ref="O113"/>
    <hyperlink r:id="rId121" ref="O114"/>
    <hyperlink r:id="rId122" ref="O115"/>
    <hyperlink r:id="rId123" ref="O116"/>
    <hyperlink r:id="rId124" ref="O117"/>
    <hyperlink r:id="rId125" ref="O118"/>
    <hyperlink r:id="rId126" ref="O119"/>
    <hyperlink r:id="rId127" ref="O120"/>
    <hyperlink r:id="rId128" ref="O121"/>
    <hyperlink r:id="rId129" ref="O122"/>
    <hyperlink r:id="rId130" ref="O123"/>
    <hyperlink r:id="rId131" ref="O124"/>
    <hyperlink r:id="rId132" ref="O125"/>
    <hyperlink r:id="rId133" ref="O126"/>
    <hyperlink r:id="rId134" ref="O127"/>
    <hyperlink r:id="rId135" ref="O128"/>
    <hyperlink r:id="rId136" ref="O129"/>
    <hyperlink r:id="rId137" ref="O130"/>
    <hyperlink r:id="rId138" ref="O131"/>
    <hyperlink r:id="rId139" ref="O132"/>
    <hyperlink r:id="rId140" ref="O133"/>
    <hyperlink r:id="rId141" ref="O134"/>
    <hyperlink r:id="rId142" ref="O135"/>
    <hyperlink r:id="rId143" ref="O136"/>
    <hyperlink r:id="rId144" ref="O137"/>
    <hyperlink r:id="rId145" ref="O138"/>
    <hyperlink r:id="rId146" ref="O139"/>
    <hyperlink r:id="rId147" ref="O140"/>
    <hyperlink r:id="rId148" ref="O141"/>
    <hyperlink r:id="rId149" ref="O143"/>
    <hyperlink r:id="rId150" ref="O144"/>
    <hyperlink r:id="rId151" ref="O145"/>
    <hyperlink r:id="rId152" ref="O146"/>
    <hyperlink r:id="rId153" ref="O147"/>
    <hyperlink r:id="rId154" ref="O148"/>
    <hyperlink r:id="rId155" ref="O149"/>
    <hyperlink r:id="rId156" ref="O150"/>
    <hyperlink r:id="rId157" ref="O151"/>
    <hyperlink r:id="rId158" ref="O192"/>
    <hyperlink r:id="rId159" ref="O193"/>
    <hyperlink r:id="rId160" ref="O194"/>
    <hyperlink r:id="rId161" ref="O195"/>
    <hyperlink r:id="rId162" ref="O196"/>
    <hyperlink r:id="rId163" ref="O197"/>
    <hyperlink r:id="rId164" ref="O198"/>
    <hyperlink r:id="rId165" ref="O199"/>
    <hyperlink r:id="rId166" ref="O200"/>
    <hyperlink r:id="rId167" ref="O201"/>
    <hyperlink r:id="rId168" ref="O202"/>
    <hyperlink r:id="rId169" ref="O203"/>
    <hyperlink r:id="rId170" ref="O204"/>
    <hyperlink r:id="rId171" ref="O205"/>
    <hyperlink r:id="rId172" ref="O206"/>
    <hyperlink r:id="rId173" ref="O207"/>
    <hyperlink r:id="rId174" ref="O208"/>
    <hyperlink r:id="rId175" ref="O209"/>
    <hyperlink r:id="rId176" ref="O210"/>
    <hyperlink r:id="rId177" ref="O211"/>
    <hyperlink r:id="rId178" ref="O212"/>
    <hyperlink r:id="rId179" ref="O213"/>
    <hyperlink r:id="rId180" ref="O214"/>
    <hyperlink r:id="rId181" ref="O215"/>
    <hyperlink r:id="rId182" ref="O216"/>
    <hyperlink r:id="rId183" ref="O217"/>
    <hyperlink r:id="rId184" ref="O218"/>
    <hyperlink r:id="rId185" ref="O219"/>
    <hyperlink r:id="rId186" ref="O220"/>
    <hyperlink r:id="rId187" ref="O221"/>
    <hyperlink r:id="rId188" ref="O222"/>
    <hyperlink r:id="rId189" ref="O223"/>
    <hyperlink r:id="rId190" ref="O224"/>
    <hyperlink r:id="rId191" ref="O225"/>
    <hyperlink r:id="rId192" ref="O226"/>
    <hyperlink r:id="rId193" ref="O227"/>
    <hyperlink r:id="rId194" ref="O228"/>
    <hyperlink r:id="rId195" ref="O229"/>
    <hyperlink r:id="rId196" ref="O230"/>
    <hyperlink r:id="rId197" ref="O231"/>
    <hyperlink r:id="rId198" ref="O232"/>
    <hyperlink r:id="rId199" ref="O233"/>
    <hyperlink r:id="rId200" ref="O235"/>
    <hyperlink r:id="rId201" ref="O236"/>
    <hyperlink r:id="rId202" ref="O237"/>
    <hyperlink r:id="rId203" ref="O238"/>
    <hyperlink r:id="rId204" ref="O239"/>
    <hyperlink r:id="rId205" ref="O240"/>
    <hyperlink r:id="rId206" ref="O241"/>
    <hyperlink r:id="rId207" ref="O242"/>
    <hyperlink r:id="rId208" ref="O243"/>
    <hyperlink r:id="rId209" ref="O284"/>
    <hyperlink r:id="rId210" ref="O285"/>
    <hyperlink r:id="rId211" ref="O286"/>
    <hyperlink r:id="rId212" ref="O287"/>
    <hyperlink r:id="rId213" ref="O288"/>
    <hyperlink r:id="rId214" ref="O289"/>
    <hyperlink r:id="rId215" ref="O290"/>
    <hyperlink r:id="rId216" ref="O291"/>
    <hyperlink r:id="rId217" ref="O292"/>
    <hyperlink r:id="rId218" ref="O293"/>
    <hyperlink r:id="rId219" ref="O294"/>
    <hyperlink r:id="rId220" ref="O295"/>
    <hyperlink r:id="rId221" ref="O296"/>
    <hyperlink r:id="rId222" ref="O297"/>
    <hyperlink r:id="rId223" ref="O298"/>
    <hyperlink r:id="rId224" ref="O299"/>
    <hyperlink r:id="rId225" ref="O300"/>
    <hyperlink r:id="rId226" ref="O301"/>
    <hyperlink r:id="rId227" ref="O302"/>
    <hyperlink r:id="rId228" ref="O303"/>
    <hyperlink r:id="rId229" ref="O304"/>
    <hyperlink r:id="rId230" ref="O305"/>
    <hyperlink r:id="rId231" ref="O306"/>
    <hyperlink r:id="rId232" ref="O307"/>
    <hyperlink r:id="rId233" ref="O308"/>
    <hyperlink r:id="rId234" ref="O309"/>
    <hyperlink r:id="rId235" ref="O310"/>
    <hyperlink r:id="rId236" ref="O311"/>
    <hyperlink r:id="rId237" ref="O312"/>
    <hyperlink r:id="rId238" ref="O313"/>
    <hyperlink r:id="rId239" ref="O314"/>
    <hyperlink r:id="rId240" ref="O315"/>
    <hyperlink r:id="rId241" ref="O316"/>
    <hyperlink r:id="rId242" ref="O317"/>
    <hyperlink r:id="rId243" ref="O318"/>
    <hyperlink r:id="rId244" ref="O319"/>
    <hyperlink r:id="rId245" ref="O320"/>
    <hyperlink r:id="rId246" ref="O321"/>
    <hyperlink r:id="rId247" ref="O322"/>
    <hyperlink r:id="rId248" ref="O323"/>
    <hyperlink r:id="rId249" ref="O324"/>
    <hyperlink r:id="rId250" ref="O325"/>
    <hyperlink r:id="rId251" ref="O327"/>
    <hyperlink r:id="rId252" ref="O328"/>
    <hyperlink r:id="rId253" ref="O329"/>
    <hyperlink r:id="rId254" ref="O330"/>
    <hyperlink r:id="rId255" ref="O331"/>
    <hyperlink r:id="rId256" ref="O332"/>
    <hyperlink r:id="rId257" ref="O333"/>
    <hyperlink r:id="rId258" ref="O334"/>
    <hyperlink r:id="rId259" ref="O335"/>
    <hyperlink r:id="rId260" ref="O376"/>
    <hyperlink r:id="rId261" ref="O377"/>
    <hyperlink r:id="rId262" ref="O378"/>
    <hyperlink r:id="rId263" ref="O379"/>
    <hyperlink r:id="rId264" ref="O380"/>
    <hyperlink r:id="rId265" ref="O381"/>
    <hyperlink r:id="rId266" ref="O382"/>
    <hyperlink r:id="rId267" ref="O383"/>
    <hyperlink r:id="rId268" ref="O384"/>
    <hyperlink r:id="rId269" ref="O385"/>
    <hyperlink r:id="rId270" ref="O386"/>
    <hyperlink r:id="rId271" ref="O387"/>
    <hyperlink r:id="rId272" ref="O388"/>
    <hyperlink r:id="rId273" ref="O389"/>
    <hyperlink r:id="rId274" ref="O390"/>
    <hyperlink r:id="rId275" ref="O391"/>
    <hyperlink r:id="rId276" ref="O392"/>
    <hyperlink r:id="rId277" ref="O393"/>
    <hyperlink r:id="rId278" ref="O394"/>
    <hyperlink r:id="rId279" ref="O395"/>
    <hyperlink r:id="rId280" ref="O396"/>
    <hyperlink r:id="rId281" ref="O397"/>
    <hyperlink r:id="rId282" ref="O398"/>
    <hyperlink r:id="rId283" ref="O399"/>
    <hyperlink r:id="rId284" ref="O400"/>
    <hyperlink r:id="rId285" ref="O401"/>
    <hyperlink r:id="rId286" ref="O402"/>
    <hyperlink r:id="rId287" ref="O403"/>
    <hyperlink r:id="rId288" ref="O404"/>
    <hyperlink r:id="rId289" ref="O405"/>
    <hyperlink r:id="rId290" ref="O406"/>
    <hyperlink r:id="rId291" ref="O407"/>
    <hyperlink r:id="rId292" ref="O408"/>
    <hyperlink r:id="rId293" ref="O409"/>
    <hyperlink r:id="rId294" ref="O410"/>
    <hyperlink r:id="rId295" ref="O411"/>
    <hyperlink r:id="rId296" ref="O412"/>
    <hyperlink r:id="rId297" ref="O413"/>
    <hyperlink r:id="rId298" ref="O414"/>
    <hyperlink r:id="rId299" ref="O415"/>
    <hyperlink r:id="rId300" ref="O416"/>
    <hyperlink r:id="rId301" ref="O417"/>
    <hyperlink r:id="rId302" ref="O419"/>
    <hyperlink r:id="rId303" ref="O420"/>
    <hyperlink r:id="rId304" ref="O421"/>
    <hyperlink r:id="rId305" ref="O422"/>
    <hyperlink r:id="rId306" ref="O423"/>
    <hyperlink r:id="rId307" ref="O424"/>
    <hyperlink r:id="rId308" ref="O425"/>
    <hyperlink r:id="rId309" ref="O426"/>
    <hyperlink r:id="rId310" ref="O427"/>
    <hyperlink r:id="rId311" ref="O468"/>
    <hyperlink r:id="rId312" ref="O469"/>
    <hyperlink r:id="rId313" ref="O470"/>
    <hyperlink r:id="rId314" ref="O471"/>
    <hyperlink r:id="rId315" ref="O472"/>
    <hyperlink r:id="rId316" ref="O473"/>
    <hyperlink r:id="rId317" ref="O474"/>
    <hyperlink r:id="rId318" ref="O475"/>
    <hyperlink r:id="rId319" ref="O476"/>
    <hyperlink r:id="rId320" ref="O477"/>
    <hyperlink r:id="rId321" ref="O478"/>
    <hyperlink r:id="rId322" ref="O479"/>
    <hyperlink r:id="rId323" ref="O480"/>
    <hyperlink r:id="rId324" ref="O481"/>
    <hyperlink r:id="rId325" ref="O482"/>
    <hyperlink r:id="rId326" ref="O483"/>
    <hyperlink r:id="rId327" ref="O484"/>
    <hyperlink r:id="rId328" ref="O485"/>
    <hyperlink r:id="rId329" ref="O486"/>
    <hyperlink r:id="rId330" ref="O487"/>
    <hyperlink r:id="rId331" ref="O488"/>
    <hyperlink r:id="rId332" ref="O489"/>
    <hyperlink r:id="rId333" ref="O490"/>
    <hyperlink r:id="rId334" ref="O491"/>
    <hyperlink r:id="rId335" ref="O492"/>
    <hyperlink r:id="rId336" ref="O493"/>
    <hyperlink r:id="rId337" ref="O494"/>
    <hyperlink r:id="rId338" ref="O495"/>
    <hyperlink r:id="rId339" ref="O496"/>
    <hyperlink r:id="rId340" ref="O497"/>
    <hyperlink r:id="rId341" ref="O498"/>
    <hyperlink r:id="rId342" ref="O499"/>
    <hyperlink r:id="rId343" ref="O500"/>
    <hyperlink r:id="rId344" ref="O501"/>
    <hyperlink r:id="rId345" ref="O502"/>
    <hyperlink r:id="rId346" ref="O503"/>
    <hyperlink r:id="rId347" ref="O504"/>
    <hyperlink r:id="rId348" ref="O505"/>
    <hyperlink r:id="rId349" ref="O506"/>
    <hyperlink r:id="rId350" ref="O507"/>
    <hyperlink r:id="rId351" ref="O508"/>
    <hyperlink r:id="rId352" ref="O509"/>
    <hyperlink r:id="rId353" ref="O511"/>
    <hyperlink r:id="rId354" ref="O512"/>
    <hyperlink r:id="rId355" ref="O513"/>
    <hyperlink r:id="rId356" ref="O514"/>
    <hyperlink r:id="rId357" ref="O515"/>
    <hyperlink r:id="rId358" ref="O516"/>
    <hyperlink r:id="rId359" ref="O517"/>
    <hyperlink r:id="rId360" ref="O518"/>
    <hyperlink r:id="rId361" ref="O519"/>
    <hyperlink r:id="rId362" ref="O560"/>
    <hyperlink r:id="rId363" ref="O561"/>
    <hyperlink r:id="rId364" ref="O562"/>
    <hyperlink r:id="rId365" ref="O563"/>
    <hyperlink r:id="rId366" ref="O564"/>
    <hyperlink r:id="rId367" ref="O565"/>
    <hyperlink r:id="rId368" ref="O566"/>
    <hyperlink r:id="rId369" ref="O567"/>
    <hyperlink r:id="rId370" ref="O568"/>
    <hyperlink r:id="rId371" ref="O569"/>
    <hyperlink r:id="rId372" ref="O570"/>
    <hyperlink r:id="rId373" ref="O571"/>
    <hyperlink r:id="rId374" ref="O572"/>
    <hyperlink r:id="rId375" ref="O573"/>
    <hyperlink r:id="rId376" ref="O574"/>
    <hyperlink r:id="rId377" ref="O575"/>
    <hyperlink r:id="rId378" ref="O576"/>
    <hyperlink r:id="rId379" ref="O577"/>
    <hyperlink r:id="rId380" ref="O578"/>
    <hyperlink r:id="rId381" ref="O579"/>
    <hyperlink r:id="rId382" ref="O580"/>
    <hyperlink r:id="rId383" ref="O581"/>
    <hyperlink r:id="rId384" ref="O582"/>
    <hyperlink r:id="rId385" ref="O583"/>
    <hyperlink r:id="rId386" ref="O584"/>
    <hyperlink r:id="rId387" ref="O585"/>
    <hyperlink r:id="rId388" ref="O586"/>
    <hyperlink r:id="rId389" ref="O587"/>
    <hyperlink r:id="rId390" ref="O588"/>
    <hyperlink r:id="rId391" ref="O589"/>
    <hyperlink r:id="rId392" ref="O590"/>
    <hyperlink r:id="rId393" ref="O591"/>
    <hyperlink r:id="rId394" ref="O592"/>
    <hyperlink r:id="rId395" ref="O593"/>
    <hyperlink r:id="rId396" ref="O594"/>
    <hyperlink r:id="rId397" ref="O595"/>
    <hyperlink r:id="rId398" ref="O596"/>
    <hyperlink r:id="rId399" ref="O597"/>
    <hyperlink r:id="rId400" ref="O598"/>
    <hyperlink r:id="rId401" ref="O599"/>
    <hyperlink r:id="rId402" ref="O600"/>
    <hyperlink r:id="rId403" ref="O601"/>
    <hyperlink r:id="rId404" ref="O603"/>
    <hyperlink r:id="rId405" ref="O604"/>
    <hyperlink r:id="rId406" ref="O605"/>
    <hyperlink r:id="rId407" ref="O606"/>
    <hyperlink r:id="rId408" ref="O607"/>
    <hyperlink r:id="rId409" ref="O608"/>
    <hyperlink r:id="rId410" ref="O609"/>
    <hyperlink r:id="rId411" ref="O610"/>
    <hyperlink r:id="rId412" ref="O611"/>
    <hyperlink r:id="rId413" ref="O652"/>
    <hyperlink r:id="rId414" ref="O653"/>
    <hyperlink r:id="rId415" ref="O654"/>
    <hyperlink r:id="rId416" ref="O655"/>
    <hyperlink r:id="rId417" ref="O656"/>
    <hyperlink r:id="rId418" ref="O657"/>
    <hyperlink r:id="rId419" ref="O658"/>
    <hyperlink r:id="rId420" ref="O659"/>
    <hyperlink r:id="rId421" ref="O660"/>
    <hyperlink r:id="rId422" ref="O661"/>
    <hyperlink r:id="rId423" ref="O662"/>
    <hyperlink r:id="rId424" ref="O663"/>
    <hyperlink r:id="rId425" ref="O664"/>
    <hyperlink r:id="rId426" ref="O665"/>
    <hyperlink r:id="rId427" ref="O666"/>
    <hyperlink r:id="rId428" ref="O667"/>
    <hyperlink r:id="rId429" ref="O668"/>
    <hyperlink r:id="rId430" ref="O669"/>
    <hyperlink r:id="rId431" ref="O670"/>
    <hyperlink r:id="rId432" ref="O671"/>
    <hyperlink r:id="rId433" ref="O672"/>
    <hyperlink r:id="rId434" ref="O673"/>
    <hyperlink r:id="rId435" ref="O674"/>
    <hyperlink r:id="rId436" ref="O675"/>
    <hyperlink r:id="rId437" ref="O676"/>
    <hyperlink r:id="rId438" ref="O677"/>
    <hyperlink r:id="rId439" ref="O678"/>
    <hyperlink r:id="rId440" ref="O679"/>
    <hyperlink r:id="rId441" ref="O680"/>
    <hyperlink r:id="rId442" ref="O681"/>
    <hyperlink r:id="rId443" ref="O682"/>
    <hyperlink r:id="rId444" ref="O683"/>
    <hyperlink r:id="rId445" ref="O684"/>
    <hyperlink r:id="rId446" ref="O685"/>
    <hyperlink r:id="rId447" ref="O686"/>
    <hyperlink r:id="rId448" ref="O687"/>
    <hyperlink r:id="rId449" ref="O688"/>
    <hyperlink r:id="rId450" ref="O689"/>
    <hyperlink r:id="rId451" ref="O690"/>
    <hyperlink r:id="rId452" ref="O691"/>
    <hyperlink r:id="rId453" ref="O692"/>
    <hyperlink r:id="rId454" ref="O693"/>
    <hyperlink r:id="rId455" ref="O695"/>
    <hyperlink r:id="rId456" ref="O696"/>
    <hyperlink r:id="rId457" ref="O697"/>
    <hyperlink r:id="rId458" ref="O698"/>
    <hyperlink r:id="rId459" ref="O699"/>
    <hyperlink r:id="rId460" ref="O700"/>
    <hyperlink r:id="rId461" ref="O701"/>
    <hyperlink r:id="rId462" ref="O702"/>
    <hyperlink r:id="rId463" ref="O703"/>
    <hyperlink r:id="rId464" ref="O744"/>
    <hyperlink r:id="rId465" ref="O745"/>
    <hyperlink r:id="rId466" ref="O746"/>
    <hyperlink r:id="rId467" ref="O747"/>
    <hyperlink r:id="rId468" ref="O748"/>
    <hyperlink r:id="rId469" ref="O749"/>
    <hyperlink r:id="rId470" ref="O750"/>
    <hyperlink r:id="rId471" ref="O751"/>
    <hyperlink r:id="rId472" ref="O752"/>
    <hyperlink r:id="rId473" ref="O753"/>
    <hyperlink r:id="rId474" ref="O754"/>
    <hyperlink r:id="rId475" ref="O755"/>
    <hyperlink r:id="rId476" ref="O756"/>
    <hyperlink r:id="rId477" ref="O757"/>
    <hyperlink r:id="rId478" ref="O758"/>
    <hyperlink r:id="rId479" ref="O759"/>
    <hyperlink r:id="rId480" ref="O760"/>
    <hyperlink r:id="rId481" ref="O761"/>
    <hyperlink r:id="rId482" ref="O762"/>
    <hyperlink r:id="rId483" ref="O763"/>
    <hyperlink r:id="rId484" ref="O764"/>
    <hyperlink r:id="rId485" ref="O765"/>
    <hyperlink r:id="rId486" ref="O766"/>
    <hyperlink r:id="rId487" ref="O767"/>
    <hyperlink r:id="rId488" ref="O768"/>
    <hyperlink r:id="rId489" ref="O769"/>
    <hyperlink r:id="rId490" ref="O770"/>
    <hyperlink r:id="rId491" ref="O771"/>
    <hyperlink r:id="rId492" ref="O772"/>
    <hyperlink r:id="rId493" ref="O773"/>
    <hyperlink r:id="rId494" ref="O774"/>
    <hyperlink r:id="rId495" ref="O775"/>
    <hyperlink r:id="rId496" ref="O776"/>
    <hyperlink r:id="rId497" ref="O777"/>
    <hyperlink r:id="rId498" ref="O778"/>
    <hyperlink r:id="rId499" ref="O779"/>
    <hyperlink r:id="rId500" ref="O780"/>
    <hyperlink r:id="rId501" ref="O781"/>
    <hyperlink r:id="rId502" ref="O782"/>
    <hyperlink r:id="rId503" ref="O783"/>
    <hyperlink r:id="rId504" ref="O784"/>
    <hyperlink r:id="rId505" ref="O785"/>
    <hyperlink r:id="rId506" ref="O787"/>
    <hyperlink r:id="rId507" ref="O788"/>
    <hyperlink r:id="rId508" ref="O789"/>
    <hyperlink r:id="rId509" ref="O790"/>
    <hyperlink r:id="rId510" ref="O791"/>
    <hyperlink r:id="rId511" ref="O792"/>
    <hyperlink r:id="rId512" ref="O793"/>
    <hyperlink r:id="rId513" ref="O794"/>
    <hyperlink r:id="rId514" ref="O795"/>
    <hyperlink r:id="rId515" ref="O836"/>
    <hyperlink r:id="rId516" ref="O837"/>
    <hyperlink r:id="rId517" ref="O838"/>
    <hyperlink r:id="rId518" ref="O839"/>
    <hyperlink r:id="rId519" ref="O840"/>
    <hyperlink r:id="rId520" ref="O841"/>
    <hyperlink r:id="rId521" ref="O842"/>
    <hyperlink r:id="rId522" ref="O843"/>
    <hyperlink r:id="rId523" ref="O844"/>
    <hyperlink r:id="rId524" ref="O845"/>
    <hyperlink r:id="rId525" ref="O846"/>
    <hyperlink r:id="rId526" ref="O847"/>
    <hyperlink r:id="rId527" ref="O848"/>
    <hyperlink r:id="rId528" ref="O849"/>
    <hyperlink r:id="rId529" ref="O850"/>
    <hyperlink r:id="rId530" ref="O851"/>
    <hyperlink r:id="rId531" ref="O852"/>
    <hyperlink r:id="rId532" ref="O853"/>
    <hyperlink r:id="rId533" ref="O854"/>
    <hyperlink r:id="rId534" ref="O855"/>
    <hyperlink r:id="rId535" ref="O856"/>
    <hyperlink r:id="rId536" ref="O857"/>
    <hyperlink r:id="rId537" ref="O858"/>
    <hyperlink r:id="rId538" ref="O859"/>
    <hyperlink r:id="rId539" ref="O860"/>
    <hyperlink r:id="rId540" ref="O861"/>
    <hyperlink r:id="rId541" ref="O862"/>
    <hyperlink r:id="rId542" ref="O863"/>
    <hyperlink r:id="rId543" ref="O864"/>
    <hyperlink r:id="rId544" ref="O865"/>
    <hyperlink r:id="rId545" ref="O866"/>
    <hyperlink r:id="rId546" ref="O867"/>
    <hyperlink r:id="rId547" ref="O868"/>
    <hyperlink r:id="rId548" ref="O869"/>
    <hyperlink r:id="rId549" ref="O870"/>
    <hyperlink r:id="rId550" ref="O871"/>
    <hyperlink r:id="rId551" ref="O872"/>
    <hyperlink r:id="rId552" ref="O873"/>
    <hyperlink r:id="rId553" ref="O874"/>
    <hyperlink r:id="rId554" ref="O875"/>
    <hyperlink r:id="rId555" ref="O876"/>
    <hyperlink r:id="rId556" ref="O877"/>
    <hyperlink r:id="rId557" ref="O879"/>
    <hyperlink r:id="rId558" ref="O880"/>
    <hyperlink r:id="rId559" ref="O881"/>
    <hyperlink r:id="rId560" ref="O882"/>
    <hyperlink r:id="rId561" ref="O883"/>
    <hyperlink r:id="rId562" ref="O884"/>
    <hyperlink r:id="rId563" ref="O885"/>
    <hyperlink r:id="rId564" ref="O886"/>
    <hyperlink r:id="rId565" ref="O887"/>
  </hyperlinks>
  <drawing r:id="rId566"/>
  <tableParts count="1">
    <tablePart r:id="rId568"/>
  </tableParts>
</worksheet>
</file>

<file path=xl/worksheets/sheet3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63"/>
    <col customWidth="1" min="2" max="2" width="8.63"/>
    <col customWidth="1" min="3" max="3" width="15.0"/>
    <col customWidth="1" min="4" max="4" width="15.5"/>
    <col customWidth="1" min="5" max="5" width="17.5"/>
    <col customWidth="1" min="6" max="6" width="13.75"/>
    <col customWidth="1" min="7" max="7" width="46.13"/>
    <col customWidth="1" min="8" max="8" width="20.88"/>
    <col customWidth="1" min="9" max="9" width="11.13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20</v>
      </c>
      <c r="B1" s="37" t="s">
        <v>27</v>
      </c>
      <c r="D1" s="106"/>
      <c r="E1" s="2" t="s">
        <v>79</v>
      </c>
      <c r="F1" s="24" t="s">
        <v>101</v>
      </c>
      <c r="G1" s="69" t="s">
        <v>1953</v>
      </c>
      <c r="H1" s="97" t="s">
        <v>769</v>
      </c>
      <c r="I1" s="2"/>
      <c r="J1" s="5"/>
      <c r="K1" s="5"/>
      <c r="L1" s="5"/>
      <c r="M1" s="5"/>
      <c r="N1" s="5"/>
      <c r="O1" s="5"/>
      <c r="P1" s="5"/>
      <c r="Q1" s="5"/>
      <c r="R1" s="5"/>
      <c r="S1" s="75">
        <v>44055.76140967592</v>
      </c>
    </row>
    <row r="2">
      <c r="A2" s="2"/>
      <c r="B2" s="2"/>
      <c r="C2" s="108"/>
      <c r="D2" s="108"/>
      <c r="E2" s="2" t="s">
        <v>82</v>
      </c>
      <c r="F2" s="2"/>
      <c r="G2" s="4" t="s">
        <v>1954</v>
      </c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108"/>
      <c r="D3" s="108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108"/>
      <c r="D4" s="108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109"/>
      <c r="D5" s="109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109"/>
      <c r="D6" s="109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110" t="s">
        <v>87</v>
      </c>
      <c r="D7" s="110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152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111">
        <v>35.609756179709</v>
      </c>
      <c r="D8" s="111">
        <v>-78.7938778612143</v>
      </c>
      <c r="E8" s="43" t="s">
        <v>98</v>
      </c>
      <c r="F8" s="44" t="s">
        <v>922</v>
      </c>
      <c r="G8" s="45" t="s">
        <v>1955</v>
      </c>
      <c r="H8" s="46"/>
      <c r="I8" s="11" t="b">
        <v>1</v>
      </c>
      <c r="J8" s="159" t="str">
        <f t="shared" ref="J8:J38" si="1">if(I8=true,"",S8)</f>
        <v/>
      </c>
      <c r="K8" s="49" t="str">
        <f>IFERROR(__xludf.DUMMYFUNCTION("IF(M8=1,IFERROR(IMPORTXML(G8, ""//p[@class='status-date']""),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IFERROR(__xludf.DUMMYFUNCTION("""COMPUTED_VALUE"""),"DHitz")</f>
        <v>DHitz</v>
      </c>
      <c r="R8" s="49">
        <f>IFERROR(__xludf.DUMMYFUNCTION("""COMPUTED_VALUE"""),3700.0)</f>
        <v>3700</v>
      </c>
    </row>
    <row r="9">
      <c r="A9" s="43">
        <v>1.0</v>
      </c>
      <c r="B9" s="43">
        <v>4.0</v>
      </c>
      <c r="C9" s="111">
        <v>35.6097561795799</v>
      </c>
      <c r="D9" s="111">
        <v>-78.7937010713523</v>
      </c>
      <c r="E9" s="43" t="s">
        <v>98</v>
      </c>
      <c r="F9" s="44" t="s">
        <v>920</v>
      </c>
      <c r="G9" s="65" t="s">
        <v>1956</v>
      </c>
      <c r="H9" s="46"/>
      <c r="I9" s="11" t="b">
        <v>1</v>
      </c>
      <c r="J9" s="159" t="str">
        <f t="shared" si="1"/>
        <v/>
      </c>
      <c r="K9" s="49" t="str">
        <f>IFERROR(__xludf.DUMMYFUNCTION("IF(M9=1,IFERROR(IMPORTXML(G9, ""//p[@class='status-date']""),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IFERROR(__xludf.DUMMYFUNCTION("""COMPUTED_VALUE"""),"FromTheTardis")</f>
        <v>FromTheTardis</v>
      </c>
      <c r="R9" s="49">
        <f>IFERROR(__xludf.DUMMYFUNCTION("""COMPUTED_VALUE"""),1339.0)</f>
        <v>1339</v>
      </c>
      <c r="S9" s="11"/>
    </row>
    <row r="10">
      <c r="A10" s="43">
        <v>1.0</v>
      </c>
      <c r="B10" s="43">
        <v>5.0</v>
      </c>
      <c r="C10" s="111">
        <v>35.6097561794507</v>
      </c>
      <c r="D10" s="111">
        <v>-78.7935242814902</v>
      </c>
      <c r="E10" s="43" t="s">
        <v>103</v>
      </c>
      <c r="F10" s="44" t="s">
        <v>178</v>
      </c>
      <c r="G10" s="45" t="s">
        <v>1957</v>
      </c>
      <c r="H10" s="46"/>
      <c r="I10" s="11" t="b">
        <v>1</v>
      </c>
      <c r="J10" s="159" t="str">
        <f t="shared" si="1"/>
        <v/>
      </c>
      <c r="K10" s="49" t="str">
        <f>IFERROR(__xludf.DUMMYFUNCTION("IF(M10=1,IFERROR(IMPORTXML(G10, ""//p[@class='status-date']""),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IFERROR(__xludf.DUMMYFUNCTION("""COMPUTED_VALUE"""),"lison55")</f>
        <v>lison55</v>
      </c>
      <c r="R10" s="49">
        <f>IFERROR(__xludf.DUMMYFUNCTION("""COMPUTED_VALUE"""),5165.0)</f>
        <v>5165</v>
      </c>
    </row>
    <row r="11">
      <c r="A11" s="43">
        <v>1.0</v>
      </c>
      <c r="B11" s="43">
        <v>6.0</v>
      </c>
      <c r="C11" s="111">
        <v>35.6097561793216</v>
      </c>
      <c r="D11" s="111">
        <v>-78.7933474916282</v>
      </c>
      <c r="E11" s="43" t="s">
        <v>103</v>
      </c>
      <c r="F11" s="44" t="s">
        <v>608</v>
      </c>
      <c r="G11" s="65" t="s">
        <v>1958</v>
      </c>
      <c r="H11" s="46"/>
      <c r="I11" s="11" t="b">
        <v>1</v>
      </c>
      <c r="J11" s="159" t="str">
        <f t="shared" si="1"/>
        <v/>
      </c>
      <c r="K11" s="49" t="str">
        <f>IFERROR(__xludf.DUMMYFUNCTION("IF(M11=1,IFERROR(IMPORTXML(G11, ""//p[@class='status-date']""),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IFERROR(__xludf.DUMMYFUNCTION("""COMPUTED_VALUE"""),"Andrew81")</f>
        <v>Andrew81</v>
      </c>
      <c r="R11" s="49">
        <f>IFERROR(__xludf.DUMMYFUNCTION("""COMPUTED_VALUE"""),1362.0)</f>
        <v>1362</v>
      </c>
    </row>
    <row r="12">
      <c r="A12" s="43">
        <v>2.0</v>
      </c>
      <c r="B12" s="43">
        <v>2.0</v>
      </c>
      <c r="C12" s="111">
        <v>35.6096124493926</v>
      </c>
      <c r="D12" s="111">
        <v>-78.7940546596521</v>
      </c>
      <c r="E12" s="43" t="s">
        <v>98</v>
      </c>
      <c r="F12" s="44" t="s">
        <v>926</v>
      </c>
      <c r="G12" s="45" t="s">
        <v>1959</v>
      </c>
      <c r="H12" s="44"/>
      <c r="I12" s="11" t="b">
        <v>1</v>
      </c>
      <c r="J12" s="159" t="str">
        <f t="shared" si="1"/>
        <v/>
      </c>
      <c r="K12" s="49" t="str">
        <f>IFERROR(__xludf.DUMMYFUNCTION("IF(M12=1,IFERROR(IMPORTXML(G12, ""//p[@class='status-date']""),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IFERROR(__xludf.DUMMYFUNCTION("""COMPUTED_VALUE"""),"Lanyasummer")</f>
        <v>Lanyasummer</v>
      </c>
      <c r="R12" s="49">
        <f>IFERROR(__xludf.DUMMYFUNCTION("""COMPUTED_VALUE"""),4103.0)</f>
        <v>4103</v>
      </c>
    </row>
    <row r="13">
      <c r="A13" s="43">
        <v>2.0</v>
      </c>
      <c r="B13" s="43">
        <v>3.0</v>
      </c>
      <c r="C13" s="111">
        <v>35.6096124492635</v>
      </c>
      <c r="D13" s="111">
        <v>-78.7938778701076</v>
      </c>
      <c r="E13" s="43" t="s">
        <v>98</v>
      </c>
      <c r="F13" s="44" t="s">
        <v>114</v>
      </c>
      <c r="G13" s="65" t="s">
        <v>1960</v>
      </c>
      <c r="H13" s="44"/>
      <c r="I13" s="11" t="b">
        <v>1</v>
      </c>
      <c r="J13" s="159" t="str">
        <f t="shared" si="1"/>
        <v/>
      </c>
      <c r="K13" s="49" t="str">
        <f>IFERROR(__xludf.DUMMYFUNCTION("IF(M13=1,IFERROR(IMPORTXML(G13, ""//p[@class='status-date']""),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IFERROR(__xludf.DUMMYFUNCTION("""COMPUTED_VALUE"""),"J1Huisman")</f>
        <v>J1Huisman</v>
      </c>
      <c r="R13" s="49">
        <f>IFERROR(__xludf.DUMMYFUNCTION("""COMPUTED_VALUE"""),11167.0)</f>
        <v>11167</v>
      </c>
    </row>
    <row r="14">
      <c r="A14" s="43">
        <v>2.0</v>
      </c>
      <c r="B14" s="43">
        <v>4.0</v>
      </c>
      <c r="C14" s="111">
        <v>35.6096124491344</v>
      </c>
      <c r="D14" s="111">
        <v>-78.7937010805632</v>
      </c>
      <c r="E14" s="43" t="s">
        <v>98</v>
      </c>
      <c r="F14" s="44" t="s">
        <v>169</v>
      </c>
      <c r="G14" s="45" t="s">
        <v>1961</v>
      </c>
      <c r="H14" s="44"/>
      <c r="I14" s="11" t="b">
        <v>1</v>
      </c>
      <c r="J14" s="159" t="str">
        <f t="shared" si="1"/>
        <v/>
      </c>
      <c r="K14" s="49" t="str">
        <f>IFERROR(__xludf.DUMMYFUNCTION("IF(M14=1,IFERROR(IMPORTXML(G14, ""//p[@class='status-date']""),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IFERROR(__xludf.DUMMYFUNCTION("""COMPUTED_VALUE"""),"Pinkeltje")</f>
        <v>Pinkeltje</v>
      </c>
      <c r="R14" s="49">
        <f>IFERROR(__xludf.DUMMYFUNCTION("""COMPUTED_VALUE"""),1066.0)</f>
        <v>1066</v>
      </c>
    </row>
    <row r="15">
      <c r="A15" s="43">
        <v>2.0</v>
      </c>
      <c r="B15" s="43">
        <v>5.0</v>
      </c>
      <c r="C15" s="111">
        <v>35.6096124490053</v>
      </c>
      <c r="D15" s="111">
        <v>-78.7935242910188</v>
      </c>
      <c r="E15" s="43" t="s">
        <v>103</v>
      </c>
      <c r="F15" s="44" t="s">
        <v>933</v>
      </c>
      <c r="G15" s="52" t="s">
        <v>1962</v>
      </c>
      <c r="H15" s="120"/>
      <c r="I15" s="11" t="b">
        <v>1</v>
      </c>
      <c r="J15" s="159" t="str">
        <f t="shared" si="1"/>
        <v/>
      </c>
      <c r="K15" s="49" t="str">
        <f>IFERROR(__xludf.DUMMYFUNCTION("IF(M15=1,IFERROR(IMPORTXML(G15, ""//p[@class='status-date']""),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IFERROR(__xludf.DUMMYFUNCTION("""COMPUTED_VALUE"""),"Bambinacattiva")</f>
        <v>Bambinacattiva</v>
      </c>
      <c r="R15" s="49">
        <f>IFERROR(__xludf.DUMMYFUNCTION("""COMPUTED_VALUE"""),667.0)</f>
        <v>667</v>
      </c>
    </row>
    <row r="16">
      <c r="A16" s="43">
        <v>2.0</v>
      </c>
      <c r="B16" s="43">
        <v>6.0</v>
      </c>
      <c r="C16" s="111">
        <v>35.6096124488762</v>
      </c>
      <c r="D16" s="111">
        <v>-78.7933475014743</v>
      </c>
      <c r="E16" s="43" t="s">
        <v>98</v>
      </c>
      <c r="F16" s="44" t="s">
        <v>101</v>
      </c>
      <c r="G16" s="45" t="s">
        <v>1963</v>
      </c>
      <c r="H16" s="46"/>
      <c r="I16" s="11" t="b">
        <v>1</v>
      </c>
      <c r="J16" s="159" t="str">
        <f t="shared" si="1"/>
        <v/>
      </c>
      <c r="K16" s="49" t="str">
        <f>IFERROR(__xludf.DUMMYFUNCTION("IF(M16=1,IFERROR(IMPORTXML(G16, ""//p[@class='status-date']""),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IFERROR(__xludf.DUMMYFUNCTION("""COMPUTED_VALUE"""),"sverlaan")</f>
        <v>sverlaan</v>
      </c>
      <c r="R16" s="49">
        <f>IFERROR(__xludf.DUMMYFUNCTION("""COMPUTED_VALUE"""),4124.0)</f>
        <v>4124</v>
      </c>
      <c r="S16" s="131"/>
    </row>
    <row r="17">
      <c r="A17" s="43">
        <v>2.0</v>
      </c>
      <c r="B17" s="43">
        <v>7.0</v>
      </c>
      <c r="C17" s="111">
        <v>35.609612448747</v>
      </c>
      <c r="D17" s="111">
        <v>-78.7931707119299</v>
      </c>
      <c r="E17" s="43" t="s">
        <v>98</v>
      </c>
      <c r="F17" s="44" t="s">
        <v>774</v>
      </c>
      <c r="G17" s="45" t="s">
        <v>1964</v>
      </c>
      <c r="H17" s="46"/>
      <c r="I17" s="11" t="b">
        <v>1</v>
      </c>
      <c r="J17" s="159" t="str">
        <f t="shared" si="1"/>
        <v/>
      </c>
      <c r="K17" s="49" t="str">
        <f>IFERROR(__xludf.DUMMYFUNCTION("IF(M17=1,IFERROR(IMPORTXML(G17, ""//p[@class='status-date']""),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IFERROR(__xludf.DUMMYFUNCTION("""COMPUTED_VALUE"""),"EmileP68")</f>
        <v>EmileP68</v>
      </c>
      <c r="R17" s="49">
        <f>IFERROR(__xludf.DUMMYFUNCTION("""COMPUTED_VALUE"""),2896.0)</f>
        <v>2896</v>
      </c>
      <c r="S17" s="131"/>
    </row>
    <row r="18">
      <c r="A18" s="43">
        <v>3.0</v>
      </c>
      <c r="B18" s="43">
        <v>1.0</v>
      </c>
      <c r="C18" s="111">
        <v>35.6094687190763</v>
      </c>
      <c r="D18" s="111">
        <v>-78.7942314574543</v>
      </c>
      <c r="E18" s="43" t="s">
        <v>98</v>
      </c>
      <c r="F18" s="44" t="s">
        <v>323</v>
      </c>
      <c r="G18" s="45" t="s">
        <v>1965</v>
      </c>
      <c r="H18" s="46"/>
      <c r="I18" s="11" t="b">
        <v>1</v>
      </c>
      <c r="J18" s="159" t="str">
        <f t="shared" si="1"/>
        <v/>
      </c>
      <c r="K18" s="49" t="str">
        <f>IFERROR(__xludf.DUMMYFUNCTION("IF(M18=1,IFERROR(IMPORTXML(G18, ""//p[@class='status-date']""),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IFERROR(__xludf.DUMMYFUNCTION("""COMPUTED_VALUE"""),"PawPatrolThomas")</f>
        <v>PawPatrolThomas</v>
      </c>
      <c r="R18" s="49">
        <f>IFERROR(__xludf.DUMMYFUNCTION("""COMPUTED_VALUE"""),2199.0)</f>
        <v>2199</v>
      </c>
      <c r="S18" s="131"/>
    </row>
    <row r="19">
      <c r="A19" s="43">
        <v>3.0</v>
      </c>
      <c r="B19" s="43">
        <v>2.0</v>
      </c>
      <c r="C19" s="111">
        <v>35.6094687189472</v>
      </c>
      <c r="D19" s="111">
        <v>-78.7940546682274</v>
      </c>
      <c r="E19" s="43" t="s">
        <v>98</v>
      </c>
      <c r="F19" s="44" t="s">
        <v>942</v>
      </c>
      <c r="G19" s="52" t="s">
        <v>1966</v>
      </c>
      <c r="H19" s="120"/>
      <c r="I19" s="11" t="b">
        <v>1</v>
      </c>
      <c r="J19" s="159" t="str">
        <f t="shared" si="1"/>
        <v/>
      </c>
      <c r="K19" s="49" t="str">
        <f>IFERROR(__xludf.DUMMYFUNCTION("IF(M19=1,IFERROR(IMPORTXML(G19, ""//p[@class='status-date']""),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IFERROR(__xludf.DUMMYFUNCTION("""COMPUTED_VALUE"""),"hoekraam")</f>
        <v>hoekraam</v>
      </c>
      <c r="R19" s="49">
        <f>IFERROR(__xludf.DUMMYFUNCTION("""COMPUTED_VALUE"""),7004.0)</f>
        <v>7004</v>
      </c>
    </row>
    <row r="20">
      <c r="A20" s="43">
        <v>3.0</v>
      </c>
      <c r="B20" s="43">
        <v>3.0</v>
      </c>
      <c r="C20" s="111">
        <v>35.6094687188181</v>
      </c>
      <c r="D20" s="111">
        <v>-78.7938778790006</v>
      </c>
      <c r="E20" s="43" t="s">
        <v>98</v>
      </c>
      <c r="F20" s="44" t="s">
        <v>120</v>
      </c>
      <c r="G20" s="45" t="s">
        <v>1967</v>
      </c>
      <c r="H20" s="46"/>
      <c r="I20" s="11" t="b">
        <v>1</v>
      </c>
      <c r="J20" s="159" t="str">
        <f t="shared" si="1"/>
        <v/>
      </c>
      <c r="K20" s="49" t="str">
        <f>IFERROR(__xludf.DUMMYFUNCTION("IF(M20=1,IFERROR(IMPORTXML(G20, ""//p[@class='status-date']""),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IFERROR(__xludf.DUMMYFUNCTION("""COMPUTED_VALUE"""),"xrayneex")</f>
        <v>xrayneex</v>
      </c>
      <c r="R20" s="49">
        <f>IFERROR(__xludf.DUMMYFUNCTION("""COMPUTED_VALUE"""),1292.0)</f>
        <v>1292</v>
      </c>
    </row>
    <row r="21">
      <c r="A21" s="43">
        <v>3.0</v>
      </c>
      <c r="B21" s="43">
        <v>4.0</v>
      </c>
      <c r="C21" s="111">
        <v>35.609468718689</v>
      </c>
      <c r="D21" s="111">
        <v>-78.7937010897738</v>
      </c>
      <c r="E21" s="43" t="s">
        <v>98</v>
      </c>
      <c r="F21" s="44" t="s">
        <v>940</v>
      </c>
      <c r="G21" s="45" t="s">
        <v>1968</v>
      </c>
      <c r="H21" s="46"/>
      <c r="I21" s="11" t="b">
        <v>1</v>
      </c>
      <c r="J21" s="159" t="str">
        <f t="shared" si="1"/>
        <v/>
      </c>
      <c r="K21" s="49" t="str">
        <f>IFERROR(__xludf.DUMMYFUNCTION("IF(M21=1,IFERROR(IMPORTXML(G21, ""//p[@class='status-date']""),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IFERROR(__xludf.DUMMYFUNCTION("""COMPUTED_VALUE"""),"WiseOldWizard")</f>
        <v>WiseOldWizard</v>
      </c>
      <c r="R21" s="49">
        <f>IFERROR(__xludf.DUMMYFUNCTION("""COMPUTED_VALUE"""),3956.0)</f>
        <v>3956</v>
      </c>
    </row>
    <row r="22">
      <c r="A22" s="43">
        <v>3.0</v>
      </c>
      <c r="B22" s="43">
        <v>5.0</v>
      </c>
      <c r="C22" s="111">
        <v>35.6094687185599</v>
      </c>
      <c r="D22" s="111">
        <v>-78.793524300547</v>
      </c>
      <c r="E22" s="43" t="s">
        <v>98</v>
      </c>
      <c r="F22" s="44" t="s">
        <v>110</v>
      </c>
      <c r="G22" s="52" t="s">
        <v>1969</v>
      </c>
      <c r="H22" s="120"/>
      <c r="I22" s="11" t="b">
        <v>1</v>
      </c>
      <c r="J22" s="159" t="str">
        <f t="shared" si="1"/>
        <v/>
      </c>
      <c r="K22" s="49" t="str">
        <f>IFERROR(__xludf.DUMMYFUNCTION("IF(M22=1,IFERROR(IMPORTXML(G22, ""//p[@class='status-date']""),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IFERROR(__xludf.DUMMYFUNCTION("""COMPUTED_VALUE"""),"BrotherWilliam")</f>
        <v>BrotherWilliam</v>
      </c>
      <c r="R22" s="49">
        <f>IFERROR(__xludf.DUMMYFUNCTION("""COMPUTED_VALUE"""),3871.0)</f>
        <v>3871</v>
      </c>
      <c r="S22" s="131">
        <v>44081.0</v>
      </c>
    </row>
    <row r="23">
      <c r="A23" s="43">
        <v>3.0</v>
      </c>
      <c r="B23" s="43">
        <v>6.0</v>
      </c>
      <c r="C23" s="111">
        <v>35.6094687184308</v>
      </c>
      <c r="D23" s="111">
        <v>-78.7933475113201</v>
      </c>
      <c r="E23" s="43" t="s">
        <v>98</v>
      </c>
      <c r="F23" s="44" t="s">
        <v>122</v>
      </c>
      <c r="G23" s="52" t="s">
        <v>1970</v>
      </c>
      <c r="H23" s="56"/>
      <c r="I23" s="11" t="b">
        <v>1</v>
      </c>
      <c r="J23" s="159" t="str">
        <f t="shared" si="1"/>
        <v/>
      </c>
      <c r="K23" s="49" t="str">
        <f>IFERROR(__xludf.DUMMYFUNCTION("IF(M23=1,IFERROR(IMPORTXML(G23, ""//p[@class='status-date']""),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IFERROR(__xludf.DUMMYFUNCTION("""COMPUTED_VALUE"""),"Drazoria")</f>
        <v>Drazoria</v>
      </c>
      <c r="R23" s="49">
        <f>IFERROR(__xludf.DUMMYFUNCTION("""COMPUTED_VALUE"""),712.0)</f>
        <v>712</v>
      </c>
      <c r="S23" s="131">
        <v>44081.0</v>
      </c>
    </row>
    <row r="24">
      <c r="A24" s="43">
        <v>3.0</v>
      </c>
      <c r="B24" s="43">
        <v>7.0</v>
      </c>
      <c r="C24" s="111">
        <v>35.6094687183017</v>
      </c>
      <c r="D24" s="111">
        <v>-78.7931707220933</v>
      </c>
      <c r="E24" s="43" t="s">
        <v>98</v>
      </c>
      <c r="F24" s="44" t="s">
        <v>124</v>
      </c>
      <c r="G24" s="45" t="s">
        <v>1971</v>
      </c>
      <c r="H24" s="44"/>
      <c r="I24" s="11" t="b">
        <v>1</v>
      </c>
      <c r="J24" s="159" t="str">
        <f t="shared" si="1"/>
        <v/>
      </c>
      <c r="K24" s="49" t="str">
        <f>IFERROR(__xludf.DUMMYFUNCTION("IF(M24=1,IFERROR(IMPORTXML(G24, ""//p[@class='status-date']""),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IFERROR(__xludf.DUMMYFUNCTION("""COMPUTED_VALUE"""),"Tinake1309")</f>
        <v>Tinake1309</v>
      </c>
      <c r="R24" s="49">
        <f>IFERROR(__xludf.DUMMYFUNCTION("""COMPUTED_VALUE"""),688.0)</f>
        <v>688</v>
      </c>
      <c r="S24" s="131">
        <v>44081.0</v>
      </c>
    </row>
    <row r="25">
      <c r="A25" s="43">
        <v>3.0</v>
      </c>
      <c r="B25" s="43">
        <v>8.0</v>
      </c>
      <c r="C25" s="111">
        <v>35.6094687181725</v>
      </c>
      <c r="D25" s="111">
        <v>-78.7929939328665</v>
      </c>
      <c r="E25" s="43" t="s">
        <v>98</v>
      </c>
      <c r="F25" s="44" t="s">
        <v>1276</v>
      </c>
      <c r="G25" s="45" t="s">
        <v>1972</v>
      </c>
      <c r="H25" s="44"/>
      <c r="I25" s="11" t="b">
        <v>1</v>
      </c>
      <c r="J25" s="159" t="str">
        <f t="shared" si="1"/>
        <v/>
      </c>
      <c r="K25" s="49" t="str">
        <f>IFERROR(__xludf.DUMMYFUNCTION("IF(M25=1,IFERROR(IMPORTXML(G25, ""//p[@class='status-date']""),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IFERROR(__xludf.DUMMYFUNCTION("""COMPUTED_VALUE"""),"Berg14")</f>
        <v>Berg14</v>
      </c>
      <c r="R25" s="49">
        <f>IFERROR(__xludf.DUMMYFUNCTION("""COMPUTED_VALUE"""),541.0)</f>
        <v>541</v>
      </c>
      <c r="S25" s="131">
        <v>44081.0</v>
      </c>
    </row>
    <row r="26">
      <c r="A26" s="43">
        <v>4.0</v>
      </c>
      <c r="B26" s="43">
        <v>1.0</v>
      </c>
      <c r="C26" s="111">
        <v>35.6093249886309</v>
      </c>
      <c r="D26" s="111">
        <v>-78.7942314657125</v>
      </c>
      <c r="E26" s="43" t="s">
        <v>98</v>
      </c>
      <c r="F26" s="44" t="s">
        <v>128</v>
      </c>
      <c r="G26" s="45" t="s">
        <v>1973</v>
      </c>
      <c r="H26" s="44"/>
      <c r="I26" s="11" t="b">
        <v>1</v>
      </c>
      <c r="J26" s="159" t="str">
        <f t="shared" si="1"/>
        <v/>
      </c>
      <c r="K26" s="49" t="str">
        <f>IFERROR(__xludf.DUMMYFUNCTION("IF(M26=1,IFERROR(IMPORTXML(G26, ""//p[@class='status-date']""),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IFERROR(__xludf.DUMMYFUNCTION("""COMPUTED_VALUE"""),"Niks13")</f>
        <v>Niks13</v>
      </c>
      <c r="R26" s="49">
        <f>IFERROR(__xludf.DUMMYFUNCTION("""COMPUTED_VALUE"""),461.0)</f>
        <v>461</v>
      </c>
      <c r="S26" s="131">
        <v>44081.0</v>
      </c>
    </row>
    <row r="27">
      <c r="A27" s="43">
        <v>4.0</v>
      </c>
      <c r="B27" s="43">
        <v>2.0</v>
      </c>
      <c r="C27" s="111">
        <v>35.6093249885018</v>
      </c>
      <c r="D27" s="111">
        <v>-78.7940546768033</v>
      </c>
      <c r="E27" s="43" t="s">
        <v>103</v>
      </c>
      <c r="F27" s="44" t="s">
        <v>950</v>
      </c>
      <c r="G27" s="45" t="s">
        <v>1974</v>
      </c>
      <c r="H27" s="114"/>
      <c r="I27" s="11" t="b">
        <v>1</v>
      </c>
      <c r="J27" s="159" t="str">
        <f t="shared" si="1"/>
        <v/>
      </c>
      <c r="K27" s="49" t="str">
        <f>IFERROR(__xludf.DUMMYFUNCTION("IF(M27=1,IFERROR(IMPORTXML(G27, ""//p[@class='status-date']""),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IFERROR(__xludf.DUMMYFUNCTION("""COMPUTED_VALUE"""),"babyw")</f>
        <v>babyw</v>
      </c>
      <c r="R27" s="49">
        <f>IFERROR(__xludf.DUMMYFUNCTION("""COMPUTED_VALUE"""),2727.0)</f>
        <v>2727</v>
      </c>
      <c r="S27" s="167"/>
    </row>
    <row r="28">
      <c r="A28" s="43">
        <v>4.0</v>
      </c>
      <c r="B28" s="43">
        <v>3.0</v>
      </c>
      <c r="C28" s="111">
        <v>35.6093249883727</v>
      </c>
      <c r="D28" s="111">
        <v>-78.7938778878941</v>
      </c>
      <c r="E28" s="43" t="s">
        <v>98</v>
      </c>
      <c r="F28" s="44" t="s">
        <v>112</v>
      </c>
      <c r="G28" s="52" t="s">
        <v>1975</v>
      </c>
      <c r="H28" s="120"/>
      <c r="I28" s="11" t="b">
        <v>1</v>
      </c>
      <c r="J28" s="159" t="str">
        <f t="shared" si="1"/>
        <v/>
      </c>
      <c r="K28" s="49" t="str">
        <f>IFERROR(__xludf.DUMMYFUNCTION("IF(M28=1,IFERROR(IMPORTXML(G28, ""//p[@class='status-date']""),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IFERROR(__xludf.DUMMYFUNCTION("""COMPUTED_VALUE"""),"ArtofEco")</f>
        <v>ArtofEco</v>
      </c>
      <c r="R28" s="49">
        <f>IFERROR(__xludf.DUMMYFUNCTION("""COMPUTED_VALUE"""),2894.0)</f>
        <v>2894</v>
      </c>
      <c r="S28" s="167" t="s">
        <v>1976</v>
      </c>
    </row>
    <row r="29">
      <c r="A29" s="43">
        <v>4.0</v>
      </c>
      <c r="B29" s="43">
        <v>4.0</v>
      </c>
      <c r="C29" s="111">
        <v>35.6093249882435</v>
      </c>
      <c r="D29" s="111">
        <v>-78.7937010989849</v>
      </c>
      <c r="E29" s="43" t="s">
        <v>98</v>
      </c>
      <c r="F29" s="44" t="s">
        <v>138</v>
      </c>
      <c r="G29" s="45" t="s">
        <v>1977</v>
      </c>
      <c r="H29" s="46"/>
      <c r="I29" s="11" t="b">
        <v>1</v>
      </c>
      <c r="J29" s="159" t="str">
        <f t="shared" si="1"/>
        <v/>
      </c>
      <c r="K29" s="49" t="str">
        <f>IFERROR(__xludf.DUMMYFUNCTION("IF(M29=1,IFERROR(IMPORTXML(G29, ""//p[@class='status-date']""),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IFERROR(__xludf.DUMMYFUNCTION("""COMPUTED_VALUE"""),2538.0)</f>
        <v>2538</v>
      </c>
      <c r="S29" s="131"/>
    </row>
    <row r="30">
      <c r="A30" s="43">
        <v>4.0</v>
      </c>
      <c r="B30" s="43">
        <v>5.0</v>
      </c>
      <c r="C30" s="111">
        <v>35.6093249881144</v>
      </c>
      <c r="D30" s="111">
        <v>-78.7935243100757</v>
      </c>
      <c r="E30" s="43" t="s">
        <v>98</v>
      </c>
      <c r="F30" s="44" t="s">
        <v>116</v>
      </c>
      <c r="G30" s="45" t="s">
        <v>1978</v>
      </c>
      <c r="H30" s="46"/>
      <c r="I30" s="11" t="b">
        <v>1</v>
      </c>
      <c r="J30" s="159" t="str">
        <f t="shared" si="1"/>
        <v/>
      </c>
      <c r="K30" s="49" t="str">
        <f>IFERROR(__xludf.DUMMYFUNCTION("IF(M30=1,IFERROR(IMPORTXML(G30, ""//p[@class='status-date']""),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IFERROR(__xludf.DUMMYFUNCTION("""COMPUTED_VALUE"""),"fsafranek")</f>
        <v>fsafranek</v>
      </c>
      <c r="R30" s="49">
        <f>IFERROR(__xludf.DUMMYFUNCTION("""COMPUTED_VALUE"""),4125.0)</f>
        <v>4125</v>
      </c>
    </row>
    <row r="31">
      <c r="A31" s="43">
        <v>4.0</v>
      </c>
      <c r="B31" s="43">
        <v>6.0</v>
      </c>
      <c r="C31" s="111">
        <v>35.6093249879853</v>
      </c>
      <c r="D31" s="111">
        <v>-78.7933475211666</v>
      </c>
      <c r="E31" s="43" t="s">
        <v>103</v>
      </c>
      <c r="F31" s="44" t="s">
        <v>629</v>
      </c>
      <c r="G31" s="54" t="s">
        <v>1979</v>
      </c>
      <c r="H31" s="120"/>
      <c r="I31" s="11" t="b">
        <v>1</v>
      </c>
      <c r="J31" s="159" t="str">
        <f t="shared" si="1"/>
        <v/>
      </c>
      <c r="K31" s="49" t="str">
        <f>IFERROR(__xludf.DUMMYFUNCTION("IF(M31=1,IFERROR(IMPORTXML(G31, ""//p[@class='status-date']""),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IFERROR(__xludf.DUMMYFUNCTION("""COMPUTED_VALUE"""),"IggiePiggie")</f>
        <v>IggiePiggie</v>
      </c>
      <c r="R31" s="49">
        <f>IFERROR(__xludf.DUMMYFUNCTION("""COMPUTED_VALUE"""),1779.0)</f>
        <v>1779</v>
      </c>
    </row>
    <row r="32">
      <c r="A32" s="43">
        <v>4.0</v>
      </c>
      <c r="B32" s="43">
        <v>7.0</v>
      </c>
      <c r="C32" s="111">
        <v>35.6093249878562</v>
      </c>
      <c r="D32" s="111">
        <v>-78.7931707322574</v>
      </c>
      <c r="E32" s="43" t="s">
        <v>98</v>
      </c>
      <c r="F32" s="44" t="s">
        <v>1980</v>
      </c>
      <c r="G32" s="45" t="s">
        <v>1981</v>
      </c>
      <c r="H32" s="46"/>
      <c r="I32" s="11" t="b">
        <v>1</v>
      </c>
      <c r="J32" s="159" t="str">
        <f t="shared" si="1"/>
        <v/>
      </c>
      <c r="K32" s="49" t="str">
        <f>IFERROR(__xludf.DUMMYFUNCTION("IF(M32=1,IFERROR(IMPORTXML(G32, ""//p[@class='status-date']""),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IFERROR(__xludf.DUMMYFUNCTION("""COMPUTED_VALUE"""),"JackSparrow")</f>
        <v>JackSparrow</v>
      </c>
      <c r="R32" s="49">
        <f>IFERROR(__xludf.DUMMYFUNCTION("""COMPUTED_VALUE"""),19353.0)</f>
        <v>19353</v>
      </c>
    </row>
    <row r="33">
      <c r="A33" s="43">
        <v>4.0</v>
      </c>
      <c r="B33" s="43">
        <v>8.0</v>
      </c>
      <c r="C33" s="111">
        <v>35.6093249877271</v>
      </c>
      <c r="D33" s="111">
        <v>-78.7929939433482</v>
      </c>
      <c r="E33" s="43" t="s">
        <v>98</v>
      </c>
      <c r="F33" s="44" t="s">
        <v>157</v>
      </c>
      <c r="G33" s="45" t="s">
        <v>1982</v>
      </c>
      <c r="H33" s="46"/>
      <c r="I33" s="11" t="b">
        <v>1</v>
      </c>
      <c r="J33" s="159" t="str">
        <f t="shared" si="1"/>
        <v/>
      </c>
      <c r="K33" s="49" t="str">
        <f>IFERROR(__xludf.DUMMYFUNCTION("IF(M33=1,IFERROR(IMPORTXML(G33, ""//p[@class='status-date']""),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IFERROR(__xludf.DUMMYFUNCTION("""COMPUTED_VALUE"""),"barefootguru")</f>
        <v>barefootguru</v>
      </c>
      <c r="R33" s="49">
        <f>IFERROR(__xludf.DUMMYFUNCTION("""COMPUTED_VALUE"""),3094.0)</f>
        <v>3094</v>
      </c>
      <c r="S33" s="131"/>
    </row>
    <row r="34">
      <c r="A34" s="43">
        <v>5.0</v>
      </c>
      <c r="B34" s="43">
        <v>1.0</v>
      </c>
      <c r="C34" s="111">
        <v>35.6091812581855</v>
      </c>
      <c r="D34" s="111">
        <v>-78.7942314739701</v>
      </c>
      <c r="E34" s="43" t="s">
        <v>103</v>
      </c>
      <c r="F34" s="44" t="s">
        <v>956</v>
      </c>
      <c r="G34" s="45" t="s">
        <v>1983</v>
      </c>
      <c r="H34" s="46"/>
      <c r="I34" s="11" t="b">
        <v>1</v>
      </c>
      <c r="J34" s="159" t="str">
        <f t="shared" si="1"/>
        <v/>
      </c>
      <c r="K34" s="49" t="str">
        <f>IFERROR(__xludf.DUMMYFUNCTION("IF(M34=1,IFERROR(IMPORTXML(G34, ""//p[@class='status-date']""),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IFERROR(__xludf.DUMMYFUNCTION("""COMPUTED_VALUE"""),"benotje")</f>
        <v>benotje</v>
      </c>
      <c r="R34" s="49">
        <f>IFERROR(__xludf.DUMMYFUNCTION("""COMPUTED_VALUE"""),1356.0)</f>
        <v>1356</v>
      </c>
    </row>
    <row r="35">
      <c r="A35" s="43">
        <v>5.0</v>
      </c>
      <c r="B35" s="43">
        <v>2.0</v>
      </c>
      <c r="C35" s="111">
        <v>35.6091812580564</v>
      </c>
      <c r="D35" s="111">
        <v>-78.7940546853785</v>
      </c>
      <c r="E35" s="43" t="s">
        <v>98</v>
      </c>
      <c r="F35" s="44" t="s">
        <v>141</v>
      </c>
      <c r="G35" s="54" t="s">
        <v>1984</v>
      </c>
      <c r="H35" s="120"/>
      <c r="I35" s="11" t="b">
        <v>1</v>
      </c>
      <c r="J35" s="159" t="str">
        <f t="shared" si="1"/>
        <v/>
      </c>
      <c r="K35" s="49" t="str">
        <f>IFERROR(__xludf.DUMMYFUNCTION("IF(M35=1,IFERROR(IMPORTXML(G35, ""//p[@class='status-date']""),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IFERROR(__xludf.DUMMYFUNCTION("""COMPUTED_VALUE"""),2253.0)</f>
        <v>2253</v>
      </c>
    </row>
    <row r="36">
      <c r="A36" s="43">
        <v>5.0</v>
      </c>
      <c r="B36" s="43">
        <v>3.0</v>
      </c>
      <c r="C36" s="111">
        <v>35.6091812579273</v>
      </c>
      <c r="D36" s="111">
        <v>-78.7938778967869</v>
      </c>
      <c r="E36" s="43" t="s">
        <v>103</v>
      </c>
      <c r="F36" s="44" t="s">
        <v>243</v>
      </c>
      <c r="G36" s="45" t="s">
        <v>1985</v>
      </c>
      <c r="H36" s="46"/>
      <c r="I36" s="11" t="b">
        <v>1</v>
      </c>
      <c r="J36" s="159" t="str">
        <f t="shared" si="1"/>
        <v/>
      </c>
      <c r="K36" s="49" t="str">
        <f>IFERROR(__xludf.DUMMYFUNCTION("IF(M36=1,IFERROR(IMPORTXML(G36, ""//p[@class='status-date']""),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IFERROR(__xludf.DUMMYFUNCTION("""COMPUTED_VALUE"""),"Aniara")</f>
        <v>Aniara</v>
      </c>
      <c r="R36" s="49">
        <f>IFERROR(__xludf.DUMMYFUNCTION("""COMPUTED_VALUE"""),6429.0)</f>
        <v>6429</v>
      </c>
    </row>
    <row r="37">
      <c r="A37" s="43">
        <v>5.0</v>
      </c>
      <c r="B37" s="43">
        <v>4.0</v>
      </c>
      <c r="C37" s="111">
        <v>35.6091812577981</v>
      </c>
      <c r="D37" s="111">
        <v>-78.7937011081953</v>
      </c>
      <c r="E37" s="43" t="s">
        <v>98</v>
      </c>
      <c r="F37" s="44" t="s">
        <v>933</v>
      </c>
      <c r="G37" s="45" t="s">
        <v>1986</v>
      </c>
      <c r="H37" s="46"/>
      <c r="I37" s="11" t="b">
        <v>1</v>
      </c>
      <c r="J37" s="159" t="str">
        <f t="shared" si="1"/>
        <v/>
      </c>
      <c r="K37" s="49" t="str">
        <f>IFERROR(__xludf.DUMMYFUNCTION("IF(M37=1,IFERROR(IMPORTXML(G37, ""//p[@class='status-date']""),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IFERROR(__xludf.DUMMYFUNCTION("""COMPUTED_VALUE"""),"Bambinacattiva")</f>
        <v>Bambinacattiva</v>
      </c>
      <c r="R37" s="49">
        <f>IFERROR(__xludf.DUMMYFUNCTION("""COMPUTED_VALUE"""),659.0)</f>
        <v>659</v>
      </c>
    </row>
    <row r="38">
      <c r="A38" s="43">
        <v>5.0</v>
      </c>
      <c r="B38" s="43">
        <v>5.0</v>
      </c>
      <c r="C38" s="111">
        <v>35.609181257669</v>
      </c>
      <c r="D38" s="111">
        <v>-78.7935243196037</v>
      </c>
      <c r="E38" s="43" t="s">
        <v>98</v>
      </c>
      <c r="F38" s="44" t="s">
        <v>190</v>
      </c>
      <c r="G38" s="52" t="s">
        <v>1987</v>
      </c>
      <c r="H38" s="120"/>
      <c r="I38" s="11" t="b">
        <v>1</v>
      </c>
      <c r="J38" s="159" t="str">
        <f t="shared" si="1"/>
        <v/>
      </c>
      <c r="K38" s="49" t="str">
        <f>IFERROR(__xludf.DUMMYFUNCTION("IF(M38=1,IFERROR(IMPORTXML(G38, ""//p[@class='status-date']""),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IFERROR(__xludf.DUMMYFUNCTION("""COMPUTED_VALUE"""),"GroteSufferd")</f>
        <v>GroteSufferd</v>
      </c>
      <c r="R38" s="49">
        <f>IFERROR(__xludf.DUMMYFUNCTION("""COMPUTED_VALUE"""),321.0)</f>
        <v>321</v>
      </c>
    </row>
    <row r="39">
      <c r="A39" s="43">
        <v>5.0</v>
      </c>
      <c r="B39" s="43">
        <v>6.0</v>
      </c>
      <c r="C39" s="111">
        <v>35.6091812575399</v>
      </c>
      <c r="D39" s="111">
        <v>-78.7933475310121</v>
      </c>
      <c r="E39" s="43" t="s">
        <v>98</v>
      </c>
      <c r="F39" s="44" t="s">
        <v>149</v>
      </c>
      <c r="G39" s="65" t="s">
        <v>1988</v>
      </c>
      <c r="H39" s="118"/>
      <c r="I39" s="11" t="b">
        <v>1</v>
      </c>
      <c r="J39" s="167"/>
      <c r="K39" s="49" t="str">
        <f>IFERROR(__xludf.DUMMYFUNCTION("IF(M39=1,IFERROR(IMPORTXML(G39, ""//p[@class='status-date']""),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IFERROR(__xludf.DUMMYFUNCTION("""COMPUTED_VALUE"""),"Bisquick2")</f>
        <v>Bisquick2</v>
      </c>
      <c r="R39" s="49">
        <f>IFERROR(__xludf.DUMMYFUNCTION("""COMPUTED_VALUE"""),4230.0)</f>
        <v>4230</v>
      </c>
    </row>
    <row r="40">
      <c r="A40" s="43">
        <v>5.0</v>
      </c>
      <c r="B40" s="43">
        <v>7.0</v>
      </c>
      <c r="C40" s="111">
        <v>35.6091812574108</v>
      </c>
      <c r="D40" s="111">
        <v>-78.7931707424205</v>
      </c>
      <c r="E40" s="43" t="s">
        <v>98</v>
      </c>
      <c r="F40" s="44" t="s">
        <v>136</v>
      </c>
      <c r="G40" s="45" t="s">
        <v>1989</v>
      </c>
      <c r="H40" s="118"/>
      <c r="I40" s="11" t="b">
        <v>1</v>
      </c>
      <c r="J40" s="159" t="str">
        <f t="shared" ref="J40:J46" si="3">if(I40=true,"",S40)</f>
        <v/>
      </c>
      <c r="K40" s="49" t="str">
        <f>IFERROR(__xludf.DUMMYFUNCTION("IF(M40=1,IFERROR(IMPORTXML(G40, ""//p[@class='status-date']""),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IFERROR(__xludf.DUMMYFUNCTION("""COMPUTED_VALUE"""),"OdinsFiRe")</f>
        <v>OdinsFiRe</v>
      </c>
      <c r="R40" s="49">
        <f>IFERROR(__xludf.DUMMYFUNCTION("""COMPUTED_VALUE"""),1533.0)</f>
        <v>1533</v>
      </c>
    </row>
    <row r="41">
      <c r="A41" s="43">
        <v>5.0</v>
      </c>
      <c r="B41" s="43">
        <v>8.0</v>
      </c>
      <c r="C41" s="111">
        <v>35.6091812572817</v>
      </c>
      <c r="D41" s="111">
        <v>-78.7929939538289</v>
      </c>
      <c r="E41" s="43" t="s">
        <v>98</v>
      </c>
      <c r="F41" s="44" t="s">
        <v>918</v>
      </c>
      <c r="G41" s="65" t="s">
        <v>1990</v>
      </c>
      <c r="H41" s="46"/>
      <c r="I41" s="11" t="b">
        <v>1</v>
      </c>
      <c r="J41" s="159" t="str">
        <f t="shared" si="3"/>
        <v/>
      </c>
      <c r="K41" s="49" t="str">
        <f>IFERROR(__xludf.DUMMYFUNCTION("IF(M41=1,IFERROR(IMPORTXML(G41, ""//p[@class='status-date']""),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IFERROR(__xludf.DUMMYFUNCTION("""COMPUTED_VALUE"""),"5Star")</f>
        <v>5Star</v>
      </c>
      <c r="R41" s="49">
        <f>IFERROR(__xludf.DUMMYFUNCTION("""COMPUTED_VALUE"""),5720.0)</f>
        <v>5720</v>
      </c>
    </row>
    <row r="42">
      <c r="A42" s="43">
        <v>6.0</v>
      </c>
      <c r="B42" s="43">
        <v>1.0</v>
      </c>
      <c r="C42" s="111">
        <v>35.60903752774</v>
      </c>
      <c r="D42" s="111">
        <v>-78.7942314822288</v>
      </c>
      <c r="E42" s="43" t="s">
        <v>98</v>
      </c>
      <c r="F42" s="44" t="s">
        <v>134</v>
      </c>
      <c r="G42" s="45" t="s">
        <v>1991</v>
      </c>
      <c r="H42" s="46"/>
      <c r="I42" s="11" t="b">
        <v>1</v>
      </c>
      <c r="J42" s="159" t="str">
        <f t="shared" si="3"/>
        <v/>
      </c>
      <c r="K42" s="49" t="str">
        <f>IFERROR(__xludf.DUMMYFUNCTION("IF(M42=1,IFERROR(IMPORTXML(G42, ""//p[@class='status-date']""),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IFERROR(__xludf.DUMMYFUNCTION("""COMPUTED_VALUE"""),"Wangotango")</f>
        <v>Wangotango</v>
      </c>
      <c r="R42" s="49">
        <f>IFERROR(__xludf.DUMMYFUNCTION("""COMPUTED_VALUE"""),1210.0)</f>
        <v>1210</v>
      </c>
    </row>
    <row r="43">
      <c r="A43" s="43">
        <v>6.0</v>
      </c>
      <c r="B43" s="43">
        <v>2.0</v>
      </c>
      <c r="C43" s="111">
        <v>35.6090375276109</v>
      </c>
      <c r="D43" s="111">
        <v>-78.7940546939548</v>
      </c>
      <c r="E43" s="43" t="s">
        <v>98</v>
      </c>
      <c r="F43" s="44" t="s">
        <v>319</v>
      </c>
      <c r="G43" s="45" t="s">
        <v>1992</v>
      </c>
      <c r="H43" s="46"/>
      <c r="I43" s="11" t="b">
        <v>1</v>
      </c>
      <c r="J43" s="159" t="str">
        <f t="shared" si="3"/>
        <v/>
      </c>
      <c r="K43" s="49" t="str">
        <f>IFERROR(__xludf.DUMMYFUNCTION("IF(M43=1,IFERROR(IMPORTXML(G43, ""//p[@class='status-date']""),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IFERROR(__xludf.DUMMYFUNCTION("""COMPUTED_VALUE"""),"belladivadee")</f>
        <v>belladivadee</v>
      </c>
      <c r="R43" s="49">
        <f>IFERROR(__xludf.DUMMYFUNCTION("""COMPUTED_VALUE"""),2975.0)</f>
        <v>2975</v>
      </c>
    </row>
    <row r="44">
      <c r="A44" s="43">
        <v>6.0</v>
      </c>
      <c r="B44" s="43">
        <v>3.0</v>
      </c>
      <c r="C44" s="111">
        <v>35.6090375274818</v>
      </c>
      <c r="D44" s="111">
        <v>-78.7938779056809</v>
      </c>
      <c r="E44" s="43" t="s">
        <v>103</v>
      </c>
      <c r="F44" s="44" t="s">
        <v>1993</v>
      </c>
      <c r="G44" s="45" t="s">
        <v>1994</v>
      </c>
      <c r="H44" s="46"/>
      <c r="I44" s="11" t="b">
        <v>1</v>
      </c>
      <c r="J44" s="159" t="str">
        <f t="shared" si="3"/>
        <v/>
      </c>
      <c r="K44" s="49" t="str">
        <f>IFERROR(__xludf.DUMMYFUNCTION("IF(M44=1,IFERROR(IMPORTXML(G44, ""//p[@class='status-date']""),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IFERROR(__xludf.DUMMYFUNCTION("""COMPUTED_VALUE"""),"pikespice")</f>
        <v>pikespice</v>
      </c>
      <c r="R44" s="49">
        <f>IFERROR(__xludf.DUMMYFUNCTION("""COMPUTED_VALUE"""),6074.0)</f>
        <v>6074</v>
      </c>
    </row>
    <row r="45">
      <c r="A45" s="43">
        <v>6.0</v>
      </c>
      <c r="B45" s="43">
        <v>4.0</v>
      </c>
      <c r="C45" s="111">
        <v>35.6090375273527</v>
      </c>
      <c r="D45" s="111">
        <v>-78.7937011174069</v>
      </c>
      <c r="E45" s="43" t="s">
        <v>98</v>
      </c>
      <c r="F45" s="44" t="s">
        <v>1315</v>
      </c>
      <c r="G45" s="45" t="s">
        <v>1995</v>
      </c>
      <c r="H45" s="46"/>
      <c r="I45" s="11" t="b">
        <v>1</v>
      </c>
      <c r="J45" s="159" t="str">
        <f t="shared" si="3"/>
        <v/>
      </c>
      <c r="K45" s="49" t="str">
        <f>IFERROR(__xludf.DUMMYFUNCTION("IF(M45=1,IFERROR(IMPORTXML(G45, ""//p[@class='status-date']""),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IFERROR(__xludf.DUMMYFUNCTION("""COMPUTED_VALUE"""),"jwg68")</f>
        <v>jwg68</v>
      </c>
      <c r="R45" s="49">
        <f>IFERROR(__xludf.DUMMYFUNCTION("""COMPUTED_VALUE"""),1251.0)</f>
        <v>1251</v>
      </c>
    </row>
    <row r="46">
      <c r="A46" s="43">
        <v>6.0</v>
      </c>
      <c r="B46" s="43">
        <v>5.0</v>
      </c>
      <c r="C46" s="111">
        <v>35.6090375272235</v>
      </c>
      <c r="D46" s="111">
        <v>-78.7935243291329</v>
      </c>
      <c r="E46" s="43" t="s">
        <v>98</v>
      </c>
      <c r="F46" s="44" t="s">
        <v>1230</v>
      </c>
      <c r="G46" s="65" t="s">
        <v>1996</v>
      </c>
      <c r="H46" s="46"/>
      <c r="I46" s="11" t="b">
        <v>1</v>
      </c>
      <c r="J46" s="159" t="str">
        <f t="shared" si="3"/>
        <v/>
      </c>
      <c r="K46" s="49" t="str">
        <f>IFERROR(__xludf.DUMMYFUNCTION("IF(M46=1,IFERROR(IMPORTXML(G46, ""//p[@class='status-date']""),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IFERROR(__xludf.DUMMYFUNCTION("""COMPUTED_VALUE"""),"FlatBlack")</f>
        <v>FlatBlack</v>
      </c>
      <c r="R46" s="49">
        <f>IFERROR(__xludf.DUMMYFUNCTION("""COMPUTED_VALUE"""),722.0)</f>
        <v>722</v>
      </c>
    </row>
    <row r="47">
      <c r="A47" s="43">
        <v>6.0</v>
      </c>
      <c r="B47" s="43">
        <v>6.0</v>
      </c>
      <c r="C47" s="111">
        <v>35.6090375270944</v>
      </c>
      <c r="D47" s="111">
        <v>-78.793347540859</v>
      </c>
      <c r="E47" s="43" t="s">
        <v>103</v>
      </c>
      <c r="F47" s="44" t="s">
        <v>254</v>
      </c>
      <c r="G47" s="45" t="s">
        <v>1997</v>
      </c>
      <c r="H47" s="46"/>
      <c r="I47" s="11" t="b">
        <v>1</v>
      </c>
      <c r="J47" s="167"/>
      <c r="K47" s="49" t="str">
        <f>IFERROR(__xludf.DUMMYFUNCTION("IF(M47=1,IFERROR(IMPORTXML(G47, ""//p[@class='status-date']""),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IFERROR(__xludf.DUMMYFUNCTION("""COMPUTED_VALUE"""),"wally62")</f>
        <v>wally62</v>
      </c>
      <c r="R47" s="49">
        <f>IFERROR(__xludf.DUMMYFUNCTION("""COMPUTED_VALUE"""),4798.0)</f>
        <v>4798</v>
      </c>
    </row>
    <row r="48">
      <c r="A48" s="43">
        <v>6.0</v>
      </c>
      <c r="B48" s="43">
        <v>7.0</v>
      </c>
      <c r="C48" s="111">
        <v>35.6090375269653</v>
      </c>
      <c r="D48" s="111">
        <v>-78.793170752585</v>
      </c>
      <c r="E48" s="43" t="s">
        <v>98</v>
      </c>
      <c r="F48" s="44" t="s">
        <v>145</v>
      </c>
      <c r="G48" s="52" t="s">
        <v>1998</v>
      </c>
      <c r="H48" s="120"/>
      <c r="I48" s="11" t="b">
        <v>1</v>
      </c>
      <c r="J48" s="159" t="str">
        <f t="shared" ref="J48:J59" si="4">if(I48=true,"",S48)</f>
        <v/>
      </c>
      <c r="K48" s="49" t="str">
        <f>IFERROR(__xludf.DUMMYFUNCTION("IF(M48=1,IFERROR(IMPORTXML(G48, ""//p[@class='status-date']""),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IFERROR(__xludf.DUMMYFUNCTION("""COMPUTED_VALUE"""),4071.0)</f>
        <v>4071</v>
      </c>
    </row>
    <row r="49">
      <c r="A49" s="43">
        <v>6.0</v>
      </c>
      <c r="B49" s="43">
        <v>8.0</v>
      </c>
      <c r="C49" s="111">
        <v>35.6090375268362</v>
      </c>
      <c r="D49" s="111">
        <v>-78.7929939643111</v>
      </c>
      <c r="E49" s="43" t="s">
        <v>98</v>
      </c>
      <c r="F49" s="44" t="s">
        <v>147</v>
      </c>
      <c r="G49" s="52" t="s">
        <v>1999</v>
      </c>
      <c r="H49" s="120"/>
      <c r="I49" s="11" t="b">
        <v>1</v>
      </c>
      <c r="J49" s="159" t="str">
        <f t="shared" si="4"/>
        <v/>
      </c>
      <c r="K49" s="49" t="str">
        <f>IFERROR(__xludf.DUMMYFUNCTION("IF(M49=1,IFERROR(IMPORTXML(G49, ""//p[@class='status-date']""),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IFERROR(__xludf.DUMMYFUNCTION("""COMPUTED_VALUE"""),6713.0)</f>
        <v>6713</v>
      </c>
    </row>
    <row r="50">
      <c r="A50" s="43">
        <v>7.0</v>
      </c>
      <c r="B50" s="43">
        <v>2.0</v>
      </c>
      <c r="C50" s="111">
        <v>35.6088937971654</v>
      </c>
      <c r="D50" s="111">
        <v>-78.7940547025297</v>
      </c>
      <c r="E50" s="43" t="s">
        <v>103</v>
      </c>
      <c r="F50" s="44" t="s">
        <v>314</v>
      </c>
      <c r="G50" s="45" t="s">
        <v>2000</v>
      </c>
      <c r="H50" s="46"/>
      <c r="I50" s="11" t="b">
        <v>1</v>
      </c>
      <c r="J50" s="159" t="str">
        <f t="shared" si="4"/>
        <v/>
      </c>
      <c r="K50" s="49" t="str">
        <f>IFERROR(__xludf.DUMMYFUNCTION("IF(M50=1,IFERROR(IMPORTXML(G50, ""//p[@class='status-date']""),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IFERROR(__xludf.DUMMYFUNCTION("""COMPUTED_VALUE"""),"Trappertje")</f>
        <v>Trappertje</v>
      </c>
      <c r="R50" s="49">
        <f>IFERROR(__xludf.DUMMYFUNCTION("""COMPUTED_VALUE"""),4596.0)</f>
        <v>4596</v>
      </c>
    </row>
    <row r="51">
      <c r="A51" s="43">
        <v>7.0</v>
      </c>
      <c r="B51" s="43">
        <v>3.0</v>
      </c>
      <c r="C51" s="111">
        <v>35.6088937970363</v>
      </c>
      <c r="D51" s="111">
        <v>-78.7938779145733</v>
      </c>
      <c r="E51" s="43" t="s">
        <v>98</v>
      </c>
      <c r="F51" s="44" t="s">
        <v>217</v>
      </c>
      <c r="G51" s="45" t="s">
        <v>2001</v>
      </c>
      <c r="H51" s="46"/>
      <c r="I51" s="11" t="b">
        <v>1</v>
      </c>
      <c r="J51" s="159" t="str">
        <f t="shared" si="4"/>
        <v/>
      </c>
      <c r="K51" s="49" t="str">
        <f>IFERROR(__xludf.DUMMYFUNCTION("IF(M51=1,IFERROR(IMPORTXML(G51, ""//p[@class='status-date']""),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IFERROR(__xludf.DUMMYFUNCTION("""COMPUTED_VALUE"""),"EmileP68")</f>
        <v>EmileP68</v>
      </c>
      <c r="R51" s="49">
        <f>IFERROR(__xludf.DUMMYFUNCTION("""COMPUTED_VALUE"""),3088.0)</f>
        <v>3088</v>
      </c>
      <c r="S51" s="123">
        <v>44055.7566144213</v>
      </c>
    </row>
    <row r="52">
      <c r="A52" s="43">
        <v>7.0</v>
      </c>
      <c r="B52" s="43">
        <v>4.0</v>
      </c>
      <c r="C52" s="111">
        <v>35.6088937969072</v>
      </c>
      <c r="D52" s="111">
        <v>-78.7937011266169</v>
      </c>
      <c r="E52" s="43" t="s">
        <v>98</v>
      </c>
      <c r="F52" s="44" t="s">
        <v>101</v>
      </c>
      <c r="G52" s="45" t="s">
        <v>2002</v>
      </c>
      <c r="H52" s="118"/>
      <c r="I52" s="11" t="b">
        <v>1</v>
      </c>
      <c r="J52" s="159" t="str">
        <f t="shared" si="4"/>
        <v/>
      </c>
      <c r="K52" s="49" t="str">
        <f>IFERROR(__xludf.DUMMYFUNCTION("IF(M52=1,IFERROR(IMPORTXML(G52, ""//p[@class='status-date']""),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IFERROR(__xludf.DUMMYFUNCTION("""COMPUTED_VALUE"""),"sverlaan")</f>
        <v>sverlaan</v>
      </c>
      <c r="R52" s="49">
        <f>IFERROR(__xludf.DUMMYFUNCTION("""COMPUTED_VALUE"""),4104.0)</f>
        <v>4104</v>
      </c>
      <c r="S52" s="123">
        <v>44043.55390883102</v>
      </c>
    </row>
    <row r="53">
      <c r="A53" s="43">
        <v>7.0</v>
      </c>
      <c r="B53" s="43">
        <v>5.0</v>
      </c>
      <c r="C53" s="111">
        <v>35.6088937967781</v>
      </c>
      <c r="D53" s="111">
        <v>-78.7935243386605</v>
      </c>
      <c r="E53" s="43" t="s">
        <v>98</v>
      </c>
      <c r="F53" s="44" t="s">
        <v>1119</v>
      </c>
      <c r="G53" s="45" t="s">
        <v>2003</v>
      </c>
      <c r="H53" s="46"/>
      <c r="I53" s="11" t="b">
        <v>1</v>
      </c>
      <c r="J53" s="159" t="str">
        <f t="shared" si="4"/>
        <v/>
      </c>
      <c r="K53" s="49" t="str">
        <f>IFERROR(__xludf.DUMMYFUNCTION("IF(M53=1,IFERROR(IMPORTXML(G53, ""//p[@class='status-date']""),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IFERROR(__xludf.DUMMYFUNCTION("""COMPUTED_VALUE"""),"PawPatrolThomas")</f>
        <v>PawPatrolThomas</v>
      </c>
      <c r="R53" s="49">
        <f>IFERROR(__xludf.DUMMYFUNCTION("""COMPUTED_VALUE"""),2278.0)</f>
        <v>2278</v>
      </c>
      <c r="S53" s="123">
        <v>44047.92460229166</v>
      </c>
    </row>
    <row r="54">
      <c r="A54" s="43">
        <v>7.0</v>
      </c>
      <c r="B54" s="43">
        <v>6.0</v>
      </c>
      <c r="C54" s="111">
        <v>35.608893796649</v>
      </c>
      <c r="D54" s="111">
        <v>-78.7933475507042</v>
      </c>
      <c r="E54" s="43" t="s">
        <v>98</v>
      </c>
      <c r="F54" s="44" t="s">
        <v>1094</v>
      </c>
      <c r="G54" s="45" t="s">
        <v>2004</v>
      </c>
      <c r="H54" s="46"/>
      <c r="I54" s="11" t="b">
        <v>1</v>
      </c>
      <c r="J54" s="159" t="str">
        <f t="shared" si="4"/>
        <v/>
      </c>
      <c r="K54" s="49" t="str">
        <f>IFERROR(__xludf.DUMMYFUNCTION("IF(M54=1,IFERROR(IMPORTXML(G54, ""//p[@class='status-date']""),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IFERROR(__xludf.DUMMYFUNCTION("""COMPUTED_VALUE"""),"Questing4")</f>
        <v>Questing4</v>
      </c>
      <c r="R54" s="49">
        <f>IFERROR(__xludf.DUMMYFUNCTION("""COMPUTED_VALUE"""),7052.0)</f>
        <v>7052</v>
      </c>
    </row>
    <row r="55">
      <c r="A55" s="43">
        <v>7.0</v>
      </c>
      <c r="B55" s="43">
        <v>7.0</v>
      </c>
      <c r="C55" s="111">
        <v>35.6088937965198</v>
      </c>
      <c r="D55" s="111">
        <v>-78.7931707627478</v>
      </c>
      <c r="E55" s="43" t="s">
        <v>98</v>
      </c>
      <c r="F55" s="44" t="s">
        <v>140</v>
      </c>
      <c r="G55" s="65" t="s">
        <v>2005</v>
      </c>
      <c r="H55" s="46"/>
      <c r="I55" s="11" t="b">
        <v>1</v>
      </c>
      <c r="J55" s="159" t="str">
        <f t="shared" si="4"/>
        <v/>
      </c>
      <c r="K55" s="49" t="str">
        <f>IFERROR(__xludf.DUMMYFUNCTION("IF(M55=1,IFERROR(IMPORTXML(G55, ""//p[@class='status-date']""),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IFERROR(__xludf.DUMMYFUNCTION("""COMPUTED_VALUE"""),"Fossillady")</f>
        <v>Fossillady</v>
      </c>
      <c r="R55" s="49">
        <f>IFERROR(__xludf.DUMMYFUNCTION("""COMPUTED_VALUE"""),3331.0)</f>
        <v>3331</v>
      </c>
    </row>
    <row r="56">
      <c r="A56" s="43">
        <v>8.0</v>
      </c>
      <c r="B56" s="43">
        <v>3.0</v>
      </c>
      <c r="C56" s="111">
        <v>35.608750066591</v>
      </c>
      <c r="D56" s="111">
        <v>-78.7938779234658</v>
      </c>
      <c r="E56" s="43" t="s">
        <v>98</v>
      </c>
      <c r="F56" s="44" t="s">
        <v>2006</v>
      </c>
      <c r="G56" s="45" t="s">
        <v>2007</v>
      </c>
      <c r="H56" s="46"/>
      <c r="I56" s="11" t="b">
        <v>1</v>
      </c>
      <c r="J56" s="159" t="str">
        <f t="shared" si="4"/>
        <v/>
      </c>
      <c r="K56" s="49" t="str">
        <f>IFERROR(__xludf.DUMMYFUNCTION("IF(M56=1,IFERROR(IMPORTXML(G56, ""//p[@class='status-date']""),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IFERROR(__xludf.DUMMYFUNCTION("""COMPUTED_VALUE"""),"ivwarrior")</f>
        <v>ivwarrior</v>
      </c>
      <c r="R56" s="49">
        <f>IFERROR(__xludf.DUMMYFUNCTION("""COMPUTED_VALUE"""),4736.0)</f>
        <v>4736</v>
      </c>
    </row>
    <row r="57">
      <c r="A57" s="43">
        <v>8.0</v>
      </c>
      <c r="B57" s="43">
        <v>4.0</v>
      </c>
      <c r="C57" s="111">
        <v>35.6087500664619</v>
      </c>
      <c r="D57" s="111">
        <v>-78.7937011358271</v>
      </c>
      <c r="E57" s="43" t="s">
        <v>103</v>
      </c>
      <c r="F57" s="44" t="s">
        <v>1025</v>
      </c>
      <c r="G57" s="65" t="s">
        <v>2008</v>
      </c>
      <c r="H57" s="46"/>
      <c r="I57" s="11" t="b">
        <v>1</v>
      </c>
      <c r="J57" s="159" t="str">
        <f t="shared" si="4"/>
        <v/>
      </c>
      <c r="K57" s="49" t="str">
        <f>IFERROR(__xludf.DUMMYFUNCTION("IF(M57=1,IFERROR(IMPORTXML(G57, ""//p[@class='status-date']""),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IFERROR(__xludf.DUMMYFUNCTION("""COMPUTED_VALUE"""),"upapou")</f>
        <v>upapou</v>
      </c>
      <c r="R57" s="49">
        <f>IFERROR(__xludf.DUMMYFUNCTION("""COMPUTED_VALUE"""),970.0)</f>
        <v>970</v>
      </c>
    </row>
    <row r="58">
      <c r="A58" s="43">
        <v>8.0</v>
      </c>
      <c r="B58" s="43">
        <v>5.0</v>
      </c>
      <c r="C58" s="111">
        <v>35.6087500663328</v>
      </c>
      <c r="D58" s="111">
        <v>-78.7935243481883</v>
      </c>
      <c r="E58" s="43" t="s">
        <v>103</v>
      </c>
      <c r="F58" s="44" t="s">
        <v>1084</v>
      </c>
      <c r="G58" s="52" t="s">
        <v>2009</v>
      </c>
      <c r="H58" s="120"/>
      <c r="I58" s="11" t="b">
        <v>1</v>
      </c>
      <c r="J58" s="159" t="str">
        <f t="shared" si="4"/>
        <v/>
      </c>
      <c r="K58" s="49" t="str">
        <f>IFERROR(__xludf.DUMMYFUNCTION("IF(M58=1,IFERROR(IMPORTXML(G58, ""//p[@class='status-date']""),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IFERROR(__xludf.DUMMYFUNCTION("""COMPUTED_VALUE"""),"cbf600")</f>
        <v>cbf600</v>
      </c>
      <c r="R58" s="49">
        <f>IFERROR(__xludf.DUMMYFUNCTION("""COMPUTED_VALUE"""),2252.0)</f>
        <v>2252</v>
      </c>
    </row>
    <row r="59">
      <c r="A59" s="43">
        <v>8.0</v>
      </c>
      <c r="B59" s="43">
        <v>6.0</v>
      </c>
      <c r="C59" s="111">
        <v>35.6087500662037</v>
      </c>
      <c r="D59" s="111">
        <v>-78.7933475605496</v>
      </c>
      <c r="E59" s="43" t="s">
        <v>98</v>
      </c>
      <c r="F59" s="44" t="s">
        <v>608</v>
      </c>
      <c r="G59" s="65" t="s">
        <v>2010</v>
      </c>
      <c r="H59" s="46"/>
      <c r="I59" s="11" t="b">
        <v>1</v>
      </c>
      <c r="J59" s="159" t="str">
        <f t="shared" si="4"/>
        <v/>
      </c>
      <c r="K59" s="49" t="str">
        <f>IFERROR(__xludf.DUMMYFUNCTION("IF(M59=1,IFERROR(IMPORTXML(G59, ""//p[@class='status-date']""),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IFERROR(__xludf.DUMMYFUNCTION("""COMPUTED_VALUE"""),"Andrew81")</f>
        <v>Andrew81</v>
      </c>
      <c r="R59" s="49">
        <f>IFERROR(__xludf.DUMMYFUNCTION("""COMPUTED_VALUE"""),1359.0)</f>
        <v>1359</v>
      </c>
    </row>
    <row r="60">
      <c r="C60" s="116"/>
      <c r="D60" s="116"/>
      <c r="H60" s="134"/>
    </row>
    <row r="61" hidden="1">
      <c r="C61" s="116"/>
      <c r="D61" s="116"/>
      <c r="F61" s="47">
        <f t="shared" ref="F61:G61" si="5">COUNTIF(F8:F59,"")</f>
        <v>0</v>
      </c>
      <c r="G61" s="47">
        <f t="shared" si="5"/>
        <v>0</v>
      </c>
      <c r="I61" s="47">
        <f>COUNTIF(I8:I59,TRUE)</f>
        <v>52</v>
      </c>
    </row>
    <row r="62" hidden="1">
      <c r="C62" s="116"/>
      <c r="D62" s="116"/>
    </row>
    <row r="63">
      <c r="C63" s="116"/>
      <c r="D63" s="116"/>
    </row>
    <row r="64">
      <c r="C64" s="116"/>
      <c r="D64" s="116"/>
    </row>
    <row r="65">
      <c r="C65" s="116"/>
      <c r="D65" s="116"/>
    </row>
    <row r="66">
      <c r="C66" s="116"/>
      <c r="D66" s="116"/>
    </row>
    <row r="67">
      <c r="C67" s="116"/>
      <c r="D67" s="116"/>
    </row>
    <row r="68">
      <c r="C68" s="116"/>
      <c r="D68" s="116"/>
    </row>
    <row r="69">
      <c r="C69" s="116"/>
      <c r="D69" s="116"/>
    </row>
    <row r="70">
      <c r="C70" s="116"/>
      <c r="D70" s="116"/>
    </row>
    <row r="71">
      <c r="C71" s="116"/>
      <c r="D71" s="116"/>
    </row>
    <row r="72">
      <c r="C72" s="116"/>
      <c r="D72" s="116"/>
    </row>
    <row r="73">
      <c r="C73" s="116"/>
      <c r="D73" s="116"/>
    </row>
    <row r="74">
      <c r="C74" s="116"/>
      <c r="D74" s="116"/>
    </row>
    <row r="75">
      <c r="C75" s="116"/>
      <c r="D75" s="116"/>
    </row>
    <row r="76">
      <c r="C76" s="116"/>
      <c r="D76" s="116"/>
    </row>
    <row r="77">
      <c r="C77" s="116"/>
      <c r="D77" s="116"/>
    </row>
    <row r="78">
      <c r="C78" s="116"/>
      <c r="D78" s="116"/>
    </row>
    <row r="79">
      <c r="C79" s="116"/>
      <c r="D79" s="116"/>
    </row>
    <row r="80">
      <c r="C80" s="116"/>
      <c r="D80" s="116"/>
    </row>
    <row r="81">
      <c r="C81" s="116"/>
      <c r="D81" s="116"/>
    </row>
    <row r="82">
      <c r="C82" s="116"/>
      <c r="D82" s="116"/>
    </row>
    <row r="83">
      <c r="C83" s="116"/>
      <c r="D83" s="116"/>
    </row>
    <row r="84">
      <c r="C84" s="116"/>
      <c r="D84" s="116"/>
    </row>
    <row r="85">
      <c r="C85" s="116"/>
      <c r="D85" s="116"/>
    </row>
    <row r="86">
      <c r="C86" s="116"/>
      <c r="D86" s="116"/>
    </row>
    <row r="87">
      <c r="C87" s="116"/>
      <c r="D87" s="116"/>
    </row>
    <row r="88">
      <c r="C88" s="116"/>
      <c r="D88" s="116"/>
    </row>
    <row r="89">
      <c r="C89" s="116"/>
      <c r="D89" s="116"/>
    </row>
    <row r="90">
      <c r="C90" s="116"/>
      <c r="D90" s="116"/>
    </row>
    <row r="91">
      <c r="C91" s="116"/>
      <c r="D91" s="116"/>
    </row>
    <row r="92">
      <c r="C92" s="116"/>
      <c r="D92" s="116"/>
    </row>
  </sheetData>
  <mergeCells count="3">
    <mergeCell ref="B1:C1"/>
    <mergeCell ref="H1:H2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3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6AA84F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25"/>
    <col customWidth="1" min="2" max="2" width="8.0"/>
    <col customWidth="1" min="3" max="3" width="14.38"/>
    <col customWidth="1" min="4" max="4" width="15.25"/>
    <col customWidth="1" min="5" max="5" width="19.0"/>
    <col customWidth="1" min="6" max="6" width="15.88"/>
    <col customWidth="1" min="7" max="7" width="37.88"/>
    <col customWidth="1" min="8" max="8" width="15.38"/>
    <col customWidth="1" min="10" max="10" width="12.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33</v>
      </c>
      <c r="B1" s="37" t="s">
        <v>54</v>
      </c>
      <c r="D1" s="37"/>
      <c r="E1" s="2" t="s">
        <v>79</v>
      </c>
      <c r="F1" s="168" t="s">
        <v>80</v>
      </c>
      <c r="G1" s="169" t="s">
        <v>2011</v>
      </c>
      <c r="H1" s="97" t="s">
        <v>769</v>
      </c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2012</v>
      </c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-36.3897614104135</v>
      </c>
      <c r="D8" s="43">
        <v>145.399729370412</v>
      </c>
      <c r="E8" s="43" t="s">
        <v>98</v>
      </c>
      <c r="F8" s="44" t="s">
        <v>161</v>
      </c>
      <c r="G8" s="45" t="s">
        <v>2013</v>
      </c>
      <c r="H8" s="46"/>
      <c r="I8" s="11" t="b">
        <v>1</v>
      </c>
      <c r="J8" s="47" t="str">
        <f t="shared" ref="J8:J25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25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IFERROR(__xludf.DUMMYFUNCTION("""COMPUTED_VALUE"""),3097.0)</f>
        <v>3097</v>
      </c>
      <c r="S8" s="51">
        <v>44138.70443225694</v>
      </c>
    </row>
    <row r="9">
      <c r="A9" s="43">
        <v>1.0</v>
      </c>
      <c r="B9" s="43">
        <v>4.0</v>
      </c>
      <c r="C9" s="43">
        <v>-36.3897614102806</v>
      </c>
      <c r="D9" s="43">
        <v>145.399907917588</v>
      </c>
      <c r="E9" s="43" t="s">
        <v>98</v>
      </c>
      <c r="F9" s="44" t="s">
        <v>101</v>
      </c>
      <c r="G9" s="45" t="s">
        <v>2014</v>
      </c>
      <c r="H9" s="46"/>
      <c r="I9" s="11" t="b">
        <v>1</v>
      </c>
      <c r="J9" s="47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IFERROR(__xludf.DUMMYFUNCTION("""COMPUTED_VALUE"""),4636.0)</f>
        <v>4636</v>
      </c>
      <c r="S9" s="51">
        <v>44138.704468888885</v>
      </c>
    </row>
    <row r="10">
      <c r="A10" s="43">
        <v>1.0</v>
      </c>
      <c r="B10" s="43">
        <v>5.0</v>
      </c>
      <c r="C10" s="43">
        <v>-36.3897614101478</v>
      </c>
      <c r="D10" s="43">
        <v>145.400086464763</v>
      </c>
      <c r="E10" s="43" t="s">
        <v>103</v>
      </c>
      <c r="F10" s="44" t="s">
        <v>106</v>
      </c>
      <c r="G10" s="52" t="s">
        <v>2015</v>
      </c>
      <c r="H10" s="46"/>
      <c r="I10" s="11" t="b">
        <v>1</v>
      </c>
      <c r="J10" s="47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IFERROR(__xludf.DUMMYFUNCTION("""COMPUTED_VALUE"""),"EmileP68")</f>
        <v>EmileP68</v>
      </c>
      <c r="R10" s="49">
        <f>IFERROR(__xludf.DUMMYFUNCTION("""COMPUTED_VALUE"""),3366.0)</f>
        <v>3366</v>
      </c>
      <c r="S10" s="51">
        <v>44138.70452590278</v>
      </c>
    </row>
    <row r="11">
      <c r="A11" s="43">
        <v>1.0</v>
      </c>
      <c r="B11" s="43">
        <v>6.0</v>
      </c>
      <c r="C11" s="43">
        <v>-36.3897614100149</v>
      </c>
      <c r="D11" s="43">
        <v>145.400265011939</v>
      </c>
      <c r="E11" s="43" t="s">
        <v>103</v>
      </c>
      <c r="F11" s="44" t="s">
        <v>104</v>
      </c>
      <c r="G11" s="54" t="s">
        <v>2016</v>
      </c>
      <c r="H11" s="46"/>
      <c r="I11" s="11" t="b">
        <v>1</v>
      </c>
      <c r="J11" s="47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IFERROR(__xludf.DUMMYFUNCTION("""COMPUTED_VALUE"""),"pawpatrolthomas")</f>
        <v>pawpatrolthomas</v>
      </c>
      <c r="R11" s="49">
        <f>IFERROR(__xludf.DUMMYFUNCTION("""COMPUTED_VALUE"""),2674.0)</f>
        <v>2674</v>
      </c>
      <c r="S11" s="51">
        <v>44138.704613657406</v>
      </c>
    </row>
    <row r="12">
      <c r="A12" s="43">
        <v>2.0</v>
      </c>
      <c r="B12" s="43">
        <v>2.0</v>
      </c>
      <c r="C12" s="43">
        <v>-36.3899051409918</v>
      </c>
      <c r="D12" s="43">
        <v>145.399550832148</v>
      </c>
      <c r="E12" s="43" t="s">
        <v>98</v>
      </c>
      <c r="F12" s="44" t="s">
        <v>80</v>
      </c>
      <c r="G12" s="45" t="s">
        <v>2017</v>
      </c>
      <c r="H12" s="44"/>
      <c r="I12" s="11" t="b">
        <v>1</v>
      </c>
      <c r="J12" s="47" t="str">
        <f t="shared" si="1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IFERROR(__xludf.DUMMYFUNCTION("""COMPUTED_VALUE"""),"Derlame")</f>
        <v>Derlame</v>
      </c>
      <c r="R12" s="49">
        <f>IFERROR(__xludf.DUMMYFUNCTION("""COMPUTED_VALUE"""),13867.0)</f>
        <v>13867</v>
      </c>
      <c r="S12" s="49"/>
    </row>
    <row r="13">
      <c r="A13" s="43">
        <v>2.0</v>
      </c>
      <c r="B13" s="43">
        <v>3.0</v>
      </c>
      <c r="C13" s="43">
        <v>-36.389905140859</v>
      </c>
      <c r="D13" s="43">
        <v>145.399729379654</v>
      </c>
      <c r="E13" s="43" t="s">
        <v>98</v>
      </c>
      <c r="F13" s="44" t="s">
        <v>122</v>
      </c>
      <c r="G13" s="45" t="s">
        <v>2018</v>
      </c>
      <c r="H13" s="44"/>
      <c r="I13" s="11" t="b">
        <v>1</v>
      </c>
      <c r="J13" s="47" t="str">
        <f t="shared" si="1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IFERROR(__xludf.DUMMYFUNCTION("""COMPUTED_VALUE"""),"Drazoria")</f>
        <v>Drazoria</v>
      </c>
      <c r="R13" s="49">
        <f>IFERROR(__xludf.DUMMYFUNCTION("""COMPUTED_VALUE"""),971.0)</f>
        <v>971</v>
      </c>
      <c r="S13" s="51">
        <v>44138.795991122686</v>
      </c>
    </row>
    <row r="14">
      <c r="A14" s="43">
        <v>2.0</v>
      </c>
      <c r="B14" s="43">
        <v>4.0</v>
      </c>
      <c r="C14" s="43">
        <v>-36.3899051407261</v>
      </c>
      <c r="D14" s="43">
        <v>145.399907927159</v>
      </c>
      <c r="E14" s="43" t="s">
        <v>98</v>
      </c>
      <c r="F14" s="44" t="s">
        <v>124</v>
      </c>
      <c r="G14" s="45" t="s">
        <v>2019</v>
      </c>
      <c r="H14" s="44"/>
      <c r="I14" s="11" t="b">
        <v>1</v>
      </c>
      <c r="J14" s="47" t="str">
        <f t="shared" si="1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IFERROR(__xludf.DUMMYFUNCTION("""COMPUTED_VALUE"""),"Tinake1309")</f>
        <v>Tinake1309</v>
      </c>
      <c r="R14" s="49">
        <f>IFERROR(__xludf.DUMMYFUNCTION("""COMPUTED_VALUE"""),860.0)</f>
        <v>860</v>
      </c>
      <c r="S14" s="51">
        <v>44138.79608782407</v>
      </c>
    </row>
    <row r="15">
      <c r="A15" s="43">
        <v>2.0</v>
      </c>
      <c r="B15" s="43">
        <v>5.0</v>
      </c>
      <c r="C15" s="43">
        <v>-36.3899051405933</v>
      </c>
      <c r="D15" s="43">
        <v>145.400086474665</v>
      </c>
      <c r="E15" s="43" t="s">
        <v>103</v>
      </c>
      <c r="F15" s="44" t="s">
        <v>126</v>
      </c>
      <c r="G15" s="45" t="s">
        <v>2020</v>
      </c>
      <c r="H15" s="44"/>
      <c r="I15" s="11" t="b">
        <v>1</v>
      </c>
      <c r="J15" s="47" t="str">
        <f t="shared" si="1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IFERROR(__xludf.DUMMYFUNCTION("""COMPUTED_VALUE"""),"Berg14")</f>
        <v>Berg14</v>
      </c>
      <c r="R15" s="49">
        <f>IFERROR(__xludf.DUMMYFUNCTION("""COMPUTED_VALUE"""),676.0)</f>
        <v>676</v>
      </c>
      <c r="S15" s="51">
        <v>44138.796126354166</v>
      </c>
    </row>
    <row r="16">
      <c r="A16" s="43">
        <v>2.0</v>
      </c>
      <c r="B16" s="43">
        <v>6.0</v>
      </c>
      <c r="C16" s="43">
        <v>-36.3899051404604</v>
      </c>
      <c r="D16" s="43">
        <v>145.400265022171</v>
      </c>
      <c r="E16" s="43" t="s">
        <v>98</v>
      </c>
      <c r="F16" s="44" t="s">
        <v>128</v>
      </c>
      <c r="G16" s="45" t="s">
        <v>2021</v>
      </c>
      <c r="H16" s="44"/>
      <c r="I16" s="11" t="b">
        <v>1</v>
      </c>
      <c r="J16" s="47" t="str">
        <f t="shared" si="1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IFERROR(__xludf.DUMMYFUNCTION("""COMPUTED_VALUE"""),"Niks13")</f>
        <v>Niks13</v>
      </c>
      <c r="R16" s="49">
        <f>IFERROR(__xludf.DUMMYFUNCTION("""COMPUTED_VALUE"""),642.0)</f>
        <v>642</v>
      </c>
      <c r="S16" s="51">
        <v>44138.79614677084</v>
      </c>
    </row>
    <row r="17">
      <c r="A17" s="43">
        <v>2.0</v>
      </c>
      <c r="B17" s="43">
        <v>7.0</v>
      </c>
      <c r="C17" s="43">
        <v>-36.3899051403275</v>
      </c>
      <c r="D17" s="43">
        <v>145.400443569676</v>
      </c>
      <c r="E17" s="43" t="s">
        <v>98</v>
      </c>
      <c r="F17" s="44" t="s">
        <v>120</v>
      </c>
      <c r="G17" s="45" t="s">
        <v>2022</v>
      </c>
      <c r="H17" s="46"/>
      <c r="I17" s="11" t="b">
        <v>1</v>
      </c>
      <c r="J17" s="47" t="str">
        <f t="shared" si="1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IFERROR(__xludf.DUMMYFUNCTION("""COMPUTED_VALUE"""),"xrayneex")</f>
        <v>xrayneex</v>
      </c>
      <c r="R17" s="49">
        <f>IFERROR(__xludf.DUMMYFUNCTION("""COMPUTED_VALUE"""),1639.0)</f>
        <v>1639</v>
      </c>
      <c r="S17" s="49"/>
    </row>
    <row r="18">
      <c r="A18" s="43">
        <v>3.0</v>
      </c>
      <c r="B18" s="43">
        <v>1.0</v>
      </c>
      <c r="C18" s="43">
        <v>-36.3900488715702</v>
      </c>
      <c r="D18" s="43">
        <v>145.399372293225</v>
      </c>
      <c r="E18" s="43" t="s">
        <v>98</v>
      </c>
      <c r="F18" s="44" t="s">
        <v>110</v>
      </c>
      <c r="G18" s="52" t="s">
        <v>2023</v>
      </c>
      <c r="H18" s="46"/>
      <c r="I18" s="11" t="b">
        <v>1</v>
      </c>
      <c r="J18" s="47" t="str">
        <f t="shared" si="1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IFERROR(__xludf.DUMMYFUNCTION("""COMPUTED_VALUE"""),"BrotherWilliam")</f>
        <v>BrotherWilliam</v>
      </c>
      <c r="R18" s="49">
        <f>IFERROR(__xludf.DUMMYFUNCTION("""COMPUTED_VALUE"""),4248.0)</f>
        <v>4248</v>
      </c>
      <c r="S18" s="49"/>
    </row>
    <row r="19">
      <c r="A19" s="43">
        <v>3.0</v>
      </c>
      <c r="B19" s="43">
        <v>2.0</v>
      </c>
      <c r="C19" s="43">
        <v>-36.3900488714373</v>
      </c>
      <c r="D19" s="43">
        <v>145.399550841061</v>
      </c>
      <c r="E19" s="43" t="s">
        <v>98</v>
      </c>
      <c r="F19" s="44" t="s">
        <v>112</v>
      </c>
      <c r="G19" s="52" t="s">
        <v>2024</v>
      </c>
      <c r="H19" s="46"/>
      <c r="I19" s="11" t="b">
        <v>1</v>
      </c>
      <c r="J19" s="47" t="str">
        <f t="shared" si="1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IFERROR(__xludf.DUMMYFUNCTION("""COMPUTED_VALUE"""),"ArtofEco")</f>
        <v>ArtofEco</v>
      </c>
      <c r="R19" s="49">
        <f>IFERROR(__xludf.DUMMYFUNCTION("""COMPUTED_VALUE"""),3062.0)</f>
        <v>3062</v>
      </c>
      <c r="S19" s="49"/>
    </row>
    <row r="20">
      <c r="A20" s="43">
        <v>3.0</v>
      </c>
      <c r="B20" s="43">
        <v>3.0</v>
      </c>
      <c r="C20" s="43">
        <v>-36.3900488713044</v>
      </c>
      <c r="D20" s="43">
        <v>145.399729388897</v>
      </c>
      <c r="E20" s="43" t="s">
        <v>98</v>
      </c>
      <c r="F20" s="44" t="s">
        <v>157</v>
      </c>
      <c r="G20" s="45" t="s">
        <v>2025</v>
      </c>
      <c r="H20" s="46"/>
      <c r="I20" s="11" t="b">
        <v>1</v>
      </c>
      <c r="J20" s="47" t="str">
        <f t="shared" si="1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IFERROR(__xludf.DUMMYFUNCTION("""COMPUTED_VALUE"""),"barefootguru")</f>
        <v>barefootguru</v>
      </c>
      <c r="R20" s="49">
        <f>IFERROR(__xludf.DUMMYFUNCTION("""COMPUTED_VALUE"""),3223.0)</f>
        <v>3223</v>
      </c>
      <c r="S20" s="49"/>
    </row>
    <row r="21">
      <c r="A21" s="43">
        <v>3.0</v>
      </c>
      <c r="B21" s="43">
        <v>4.0</v>
      </c>
      <c r="C21" s="43">
        <v>-36.3900488711716</v>
      </c>
      <c r="D21" s="43">
        <v>145.399907936733</v>
      </c>
      <c r="E21" s="43" t="s">
        <v>98</v>
      </c>
      <c r="F21" s="11" t="s">
        <v>178</v>
      </c>
      <c r="G21" s="45" t="s">
        <v>2026</v>
      </c>
      <c r="H21" s="46"/>
      <c r="I21" s="11" t="b">
        <v>1</v>
      </c>
      <c r="J21" s="47" t="str">
        <f t="shared" si="1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IFERROR(__xludf.DUMMYFUNCTION("""COMPUTED_VALUE"""),"lison55")</f>
        <v>lison55</v>
      </c>
      <c r="R21" s="49">
        <f>IFERROR(__xludf.DUMMYFUNCTION("""COMPUTED_VALUE"""),5688.0)</f>
        <v>5688</v>
      </c>
      <c r="S21" s="49"/>
    </row>
    <row r="22">
      <c r="A22" s="43">
        <v>3.0</v>
      </c>
      <c r="B22" s="43">
        <v>5.0</v>
      </c>
      <c r="C22" s="43">
        <v>-36.3900488710387</v>
      </c>
      <c r="D22" s="43">
        <v>145.400086484569</v>
      </c>
      <c r="E22" s="43" t="s">
        <v>98</v>
      </c>
      <c r="F22" s="104" t="s">
        <v>114</v>
      </c>
      <c r="G22" s="52" t="s">
        <v>2027</v>
      </c>
      <c r="H22" s="44" t="s">
        <v>2028</v>
      </c>
      <c r="I22" s="11" t="b">
        <v>1</v>
      </c>
      <c r="J22" s="47" t="str">
        <f t="shared" si="1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IFERROR(__xludf.DUMMYFUNCTION("""COMPUTED_VALUE"""),"J1Huisman")</f>
        <v>J1Huisman</v>
      </c>
      <c r="R22" s="49">
        <f>IFERROR(__xludf.DUMMYFUNCTION("""COMPUTED_VALUE"""),11809.0)</f>
        <v>11809</v>
      </c>
      <c r="S22" s="49"/>
    </row>
    <row r="23">
      <c r="A23" s="43">
        <v>3.0</v>
      </c>
      <c r="B23" s="43">
        <v>6.0</v>
      </c>
      <c r="C23" s="43">
        <v>-36.3900488709058</v>
      </c>
      <c r="D23" s="43">
        <v>145.400265032405</v>
      </c>
      <c r="E23" s="43" t="s">
        <v>98</v>
      </c>
      <c r="F23" s="44" t="s">
        <v>870</v>
      </c>
      <c r="G23" s="45" t="s">
        <v>2029</v>
      </c>
      <c r="H23" s="46"/>
      <c r="I23" s="11" t="b">
        <v>1</v>
      </c>
      <c r="J23" s="47" t="str">
        <f t="shared" si="1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IFERROR(__xludf.DUMMYFUNCTION("""COMPUTED_VALUE"""),"amadoreugen")</f>
        <v>amadoreugen</v>
      </c>
      <c r="R23" s="49">
        <f>IFERROR(__xludf.DUMMYFUNCTION("""COMPUTED_VALUE"""),5825.0)</f>
        <v>5825</v>
      </c>
      <c r="S23" s="49"/>
    </row>
    <row r="24">
      <c r="A24" s="43">
        <v>3.0</v>
      </c>
      <c r="B24" s="43">
        <v>7.0</v>
      </c>
      <c r="C24" s="43">
        <v>-36.3900488707729</v>
      </c>
      <c r="D24" s="43">
        <v>145.400443580241</v>
      </c>
      <c r="E24" s="43" t="s">
        <v>98</v>
      </c>
      <c r="F24" s="44" t="s">
        <v>140</v>
      </c>
      <c r="G24" s="45" t="s">
        <v>2030</v>
      </c>
      <c r="H24" s="46"/>
      <c r="I24" s="11" t="b">
        <v>1</v>
      </c>
      <c r="J24" s="47" t="str">
        <f t="shared" si="1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IFERROR(__xludf.DUMMYFUNCTION("""COMPUTED_VALUE"""),"Fossillady")</f>
        <v>Fossillady</v>
      </c>
      <c r="R24" s="49">
        <f>IFERROR(__xludf.DUMMYFUNCTION("""COMPUTED_VALUE"""),3425.0)</f>
        <v>3425</v>
      </c>
      <c r="S24" s="49"/>
    </row>
    <row r="25">
      <c r="A25" s="43">
        <v>3.0</v>
      </c>
      <c r="B25" s="43">
        <v>8.0</v>
      </c>
      <c r="C25" s="43">
        <v>-36.3900488706401</v>
      </c>
      <c r="D25" s="43">
        <v>145.400622128076</v>
      </c>
      <c r="E25" s="43" t="s">
        <v>98</v>
      </c>
      <c r="F25" s="44" t="s">
        <v>182</v>
      </c>
      <c r="G25" s="45" t="s">
        <v>2031</v>
      </c>
      <c r="H25" s="46"/>
      <c r="I25" s="11" t="b">
        <v>1</v>
      </c>
      <c r="J25" s="47" t="str">
        <f t="shared" si="1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IFERROR(__xludf.DUMMYFUNCTION("""COMPUTED_VALUE"""),"TheFatCats")</f>
        <v>TheFatCats</v>
      </c>
      <c r="R25" s="49">
        <f>IFERROR(__xludf.DUMMYFUNCTION("""COMPUTED_VALUE"""),4132.0)</f>
        <v>4132</v>
      </c>
      <c r="S25" s="49"/>
    </row>
    <row r="26">
      <c r="A26" s="43">
        <v>4.0</v>
      </c>
      <c r="B26" s="43">
        <v>1.0</v>
      </c>
      <c r="C26" s="43">
        <v>-36.3901926021484</v>
      </c>
      <c r="D26" s="43">
        <v>145.399193753642</v>
      </c>
      <c r="E26" s="43" t="s">
        <v>98</v>
      </c>
      <c r="F26" s="44" t="s">
        <v>517</v>
      </c>
      <c r="G26" s="45" t="s">
        <v>2032</v>
      </c>
      <c r="H26" s="46"/>
      <c r="I26" s="44" t="b">
        <v>1</v>
      </c>
      <c r="J26" s="62"/>
      <c r="K26" s="48"/>
      <c r="L26" s="48"/>
      <c r="M26" s="48"/>
      <c r="N26" s="170"/>
      <c r="O26" s="57"/>
      <c r="P26" s="170"/>
      <c r="Q26" s="170"/>
      <c r="R26" s="170"/>
      <c r="S26" s="170"/>
    </row>
    <row r="27">
      <c r="A27" s="43">
        <v>4.0</v>
      </c>
      <c r="B27" s="43">
        <v>1.0</v>
      </c>
      <c r="C27" s="43">
        <v>-36.3901926020156</v>
      </c>
      <c r="D27" s="43">
        <v>145.399372301808</v>
      </c>
      <c r="E27" s="43" t="s">
        <v>98</v>
      </c>
      <c r="F27" s="44" t="s">
        <v>182</v>
      </c>
      <c r="G27" s="45" t="s">
        <v>2033</v>
      </c>
      <c r="H27" s="46"/>
      <c r="I27" s="11" t="b">
        <v>1</v>
      </c>
      <c r="J27" s="47" t="str">
        <f t="shared" ref="J27:J29" si="3">if(I27=true,"",S27)</f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ref="M27:M32" si="4">if(I27=TRUE,2,IF(ISTEXT(G27),1,0))</f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IFERROR(__xludf.DUMMYFUNCTION("""COMPUTED_VALUE"""),"TheFatCats")</f>
        <v>TheFatCats</v>
      </c>
      <c r="R27" s="49">
        <f>IFERROR(__xludf.DUMMYFUNCTION("""COMPUTED_VALUE"""),4194.0)</f>
        <v>4194</v>
      </c>
      <c r="S27" s="49"/>
    </row>
    <row r="28">
      <c r="A28" s="43">
        <v>4.0</v>
      </c>
      <c r="B28" s="43">
        <v>2.0</v>
      </c>
      <c r="C28" s="43">
        <v>-36.3901926018827</v>
      </c>
      <c r="D28" s="43">
        <v>145.399550849974</v>
      </c>
      <c r="E28" s="43" t="s">
        <v>103</v>
      </c>
      <c r="F28" s="44" t="s">
        <v>629</v>
      </c>
      <c r="G28" s="52" t="s">
        <v>2034</v>
      </c>
      <c r="H28" s="46"/>
      <c r="I28" s="11" t="b">
        <v>1</v>
      </c>
      <c r="J28" s="47" t="str">
        <f t="shared" si="3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4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IFERROR(__xludf.DUMMYFUNCTION("""COMPUTED_VALUE"""),"IggiePiggie")</f>
        <v>IggiePiggie</v>
      </c>
      <c r="R28" s="49">
        <f>IFERROR(__xludf.DUMMYFUNCTION("""COMPUTED_VALUE"""),2131.0)</f>
        <v>2131</v>
      </c>
      <c r="S28" s="49"/>
    </row>
    <row r="29">
      <c r="A29" s="43">
        <v>4.0</v>
      </c>
      <c r="B29" s="43">
        <v>3.0</v>
      </c>
      <c r="C29" s="43">
        <v>-36.3901926017499</v>
      </c>
      <c r="D29" s="43">
        <v>145.39972939814</v>
      </c>
      <c r="E29" s="43" t="s">
        <v>98</v>
      </c>
      <c r="F29" s="44" t="s">
        <v>193</v>
      </c>
      <c r="G29" s="45" t="s">
        <v>2035</v>
      </c>
      <c r="H29" s="46"/>
      <c r="I29" s="11" t="b">
        <v>1</v>
      </c>
      <c r="J29" s="47" t="str">
        <f t="shared" si="3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4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IFERROR(__xludf.DUMMYFUNCTION("""COMPUTED_VALUE"""),"OdinsFiRe")</f>
        <v>OdinsFiRe</v>
      </c>
      <c r="R29" s="49">
        <f>IFERROR(__xludf.DUMMYFUNCTION("""COMPUTED_VALUE"""),1974.0)</f>
        <v>1974</v>
      </c>
      <c r="S29" s="49"/>
    </row>
    <row r="30">
      <c r="A30" s="43">
        <v>4.0</v>
      </c>
      <c r="B30" s="43">
        <v>4.0</v>
      </c>
      <c r="C30" s="43">
        <v>-36.390192601617</v>
      </c>
      <c r="D30" s="43">
        <v>145.399907946306</v>
      </c>
      <c r="E30" s="43" t="s">
        <v>98</v>
      </c>
      <c r="F30" s="44" t="s">
        <v>138</v>
      </c>
      <c r="G30" s="45" t="s">
        <v>2036</v>
      </c>
      <c r="H30" s="46"/>
      <c r="I30" s="11" t="b">
        <v>1</v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4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IFERROR(__xludf.DUMMYFUNCTION("""COMPUTED_VALUE"""),"Anetzet")</f>
        <v>Anetzet</v>
      </c>
      <c r="R30" s="49">
        <f>IFERROR(__xludf.DUMMYFUNCTION("""COMPUTED_VALUE"""),3259.0)</f>
        <v>3259</v>
      </c>
      <c r="S30" s="49"/>
    </row>
    <row r="31">
      <c r="A31" s="43">
        <v>4.0</v>
      </c>
      <c r="B31" s="43">
        <v>7.0</v>
      </c>
      <c r="C31" s="43">
        <v>-36.3901926012184</v>
      </c>
      <c r="D31" s="43">
        <v>145.400443590804</v>
      </c>
      <c r="E31" s="43" t="s">
        <v>98</v>
      </c>
      <c r="F31" s="44" t="s">
        <v>314</v>
      </c>
      <c r="G31" s="45" t="s">
        <v>2037</v>
      </c>
      <c r="H31" s="46"/>
      <c r="I31" s="11" t="b">
        <v>1</v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4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IFERROR(__xludf.DUMMYFUNCTION("""COMPUTED_VALUE"""),"Trappertje")</f>
        <v>Trappertje</v>
      </c>
      <c r="R31" s="49">
        <f>IFERROR(__xludf.DUMMYFUNCTION("""COMPUTED_VALUE"""),5534.0)</f>
        <v>5534</v>
      </c>
      <c r="S31" s="49"/>
    </row>
    <row r="32">
      <c r="A32" s="43">
        <v>4.0</v>
      </c>
      <c r="B32" s="43">
        <v>8.0</v>
      </c>
      <c r="C32" s="43">
        <v>-36.3901926010855</v>
      </c>
      <c r="D32" s="43">
        <v>145.40062213897</v>
      </c>
      <c r="E32" s="43" t="s">
        <v>98</v>
      </c>
      <c r="F32" s="44" t="s">
        <v>116</v>
      </c>
      <c r="G32" s="45" t="s">
        <v>2038</v>
      </c>
      <c r="H32" s="46"/>
      <c r="I32" s="11" t="b">
        <v>1</v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4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IFERROR(__xludf.DUMMYFUNCTION("""COMPUTED_VALUE"""),"fsafranek")</f>
        <v>fsafranek</v>
      </c>
      <c r="R32" s="49">
        <f>IFERROR(__xludf.DUMMYFUNCTION("""COMPUTED_VALUE"""),5342.0)</f>
        <v>5342</v>
      </c>
      <c r="S32" s="49"/>
    </row>
    <row r="33">
      <c r="A33" s="43">
        <v>4.0</v>
      </c>
      <c r="B33" s="43">
        <v>9.0</v>
      </c>
      <c r="C33" s="43">
        <v>-36.3901926009527</v>
      </c>
      <c r="D33" s="43">
        <v>145.400800687136</v>
      </c>
      <c r="E33" s="43" t="s">
        <v>103</v>
      </c>
      <c r="F33" s="44" t="s">
        <v>141</v>
      </c>
      <c r="G33" s="52" t="s">
        <v>2039</v>
      </c>
      <c r="H33" s="46"/>
      <c r="I33" s="44" t="b">
        <v>1</v>
      </c>
      <c r="J33" s="62"/>
      <c r="K33" s="48"/>
      <c r="L33" s="48"/>
      <c r="M33" s="48"/>
      <c r="N33" s="170"/>
      <c r="O33" s="57"/>
      <c r="P33" s="170"/>
      <c r="Q33" s="170"/>
      <c r="R33" s="170"/>
      <c r="S33" s="171">
        <v>44361.4239287963</v>
      </c>
    </row>
    <row r="34">
      <c r="A34" s="43">
        <v>5.0</v>
      </c>
      <c r="B34" s="43">
        <v>1.0</v>
      </c>
      <c r="C34" s="43">
        <v>-36.3903363324611</v>
      </c>
      <c r="D34" s="43">
        <v>145.39937231039</v>
      </c>
      <c r="E34" s="43" t="s">
        <v>103</v>
      </c>
      <c r="F34" s="44" t="s">
        <v>190</v>
      </c>
      <c r="G34" s="52" t="s">
        <v>2040</v>
      </c>
      <c r="H34" s="46"/>
      <c r="I34" s="11" t="b">
        <v>1</v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ref="M34:M40" si="5">if(I34=TRUE,2,IF(ISTEXT(G34),1,0))</f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IFERROR(__xludf.DUMMYFUNCTION("""COMPUTED_VALUE"""),"GroteSufferd")</f>
        <v>GroteSufferd</v>
      </c>
      <c r="R34" s="49">
        <f>IFERROR(__xludf.DUMMYFUNCTION("""COMPUTED_VALUE"""),452.0)</f>
        <v>452</v>
      </c>
      <c r="S34" s="49"/>
    </row>
    <row r="35">
      <c r="A35" s="43">
        <v>5.0</v>
      </c>
      <c r="B35" s="43">
        <v>2.0</v>
      </c>
      <c r="C35" s="43">
        <v>-36.3903363323282</v>
      </c>
      <c r="D35" s="43">
        <v>145.399550858886</v>
      </c>
      <c r="E35" s="43" t="s">
        <v>98</v>
      </c>
      <c r="F35" s="44" t="s">
        <v>141</v>
      </c>
      <c r="G35" s="52" t="s">
        <v>2041</v>
      </c>
      <c r="H35" s="46"/>
      <c r="I35" s="11" t="b">
        <v>1</v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5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IFERROR(__xludf.DUMMYFUNCTION("""COMPUTED_VALUE"""),2541.0)</f>
        <v>2541</v>
      </c>
      <c r="S35" s="49"/>
    </row>
    <row r="36">
      <c r="A36" s="43">
        <v>5.0</v>
      </c>
      <c r="B36" s="43">
        <v>3.0</v>
      </c>
      <c r="C36" s="43">
        <v>-36.3903363321954</v>
      </c>
      <c r="D36" s="43">
        <v>145.399729407382</v>
      </c>
      <c r="E36" s="43" t="s">
        <v>103</v>
      </c>
      <c r="F36" s="44" t="s">
        <v>120</v>
      </c>
      <c r="G36" s="45" t="s">
        <v>2042</v>
      </c>
      <c r="H36" s="46"/>
      <c r="I36" s="11" t="b">
        <v>1</v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5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IFERROR(__xludf.DUMMYFUNCTION("""COMPUTED_VALUE"""),"xrayneex")</f>
        <v>xrayneex</v>
      </c>
      <c r="R36" s="49">
        <f>IFERROR(__xludf.DUMMYFUNCTION("""COMPUTED_VALUE"""),1635.0)</f>
        <v>1635</v>
      </c>
      <c r="S36" s="49"/>
    </row>
    <row r="37">
      <c r="A37" s="43">
        <v>5.0</v>
      </c>
      <c r="B37" s="43">
        <v>4.0</v>
      </c>
      <c r="C37" s="43">
        <v>-36.3903363320625</v>
      </c>
      <c r="D37" s="43">
        <v>145.399907955878</v>
      </c>
      <c r="E37" s="43" t="s">
        <v>98</v>
      </c>
      <c r="F37" s="44" t="s">
        <v>918</v>
      </c>
      <c r="G37" s="45" t="s">
        <v>2043</v>
      </c>
      <c r="H37" s="44"/>
      <c r="I37" s="11" t="b">
        <v>1</v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5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IFERROR(__xludf.DUMMYFUNCTION("""COMPUTED_VALUE"""),"5Star")</f>
        <v>5Star</v>
      </c>
      <c r="R37" s="49">
        <f>IFERROR(__xludf.DUMMYFUNCTION("""COMPUTED_VALUE"""),4687.0)</f>
        <v>4687</v>
      </c>
      <c r="S37" s="51">
        <v>44138.70538748843</v>
      </c>
    </row>
    <row r="38">
      <c r="A38" s="43">
        <v>5.0</v>
      </c>
      <c r="B38" s="43">
        <v>6.0</v>
      </c>
      <c r="C38" s="43">
        <v>-36.3903363317967</v>
      </c>
      <c r="D38" s="43">
        <v>145.40026505287</v>
      </c>
      <c r="E38" s="43" t="s">
        <v>98</v>
      </c>
      <c r="F38" s="44" t="s">
        <v>2044</v>
      </c>
      <c r="G38" s="45" t="s">
        <v>2045</v>
      </c>
      <c r="H38" s="44"/>
      <c r="I38" s="44" t="b">
        <v>1</v>
      </c>
      <c r="J38" s="134"/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5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IFERROR(__xludf.DUMMYFUNCTION("""COMPUTED_VALUE"""),"Jasper95")</f>
        <v>Jasper95</v>
      </c>
      <c r="R38" s="49">
        <f>IFERROR(__xludf.DUMMYFUNCTION("""COMPUTED_VALUE"""),1511.0)</f>
        <v>1511</v>
      </c>
      <c r="S38" s="51">
        <v>44255.62089961805</v>
      </c>
    </row>
    <row r="39">
      <c r="A39" s="43">
        <v>5.0</v>
      </c>
      <c r="B39" s="43">
        <v>7.0</v>
      </c>
      <c r="C39" s="43">
        <v>-36.3903363316639</v>
      </c>
      <c r="D39" s="43">
        <v>145.400443601366</v>
      </c>
      <c r="E39" s="43" t="s">
        <v>98</v>
      </c>
      <c r="F39" s="44" t="s">
        <v>112</v>
      </c>
      <c r="G39" s="52" t="s">
        <v>2046</v>
      </c>
      <c r="H39" s="46"/>
      <c r="I39" s="11" t="b">
        <v>1</v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5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IFERROR(__xludf.DUMMYFUNCTION("""COMPUTED_VALUE"""),"ArtofEco")</f>
        <v>ArtofEco</v>
      </c>
      <c r="R39" s="49">
        <f>IFERROR(__xludf.DUMMYFUNCTION("""COMPUTED_VALUE"""),3154.0)</f>
        <v>3154</v>
      </c>
      <c r="S39" s="49"/>
    </row>
    <row r="40">
      <c r="A40" s="43">
        <v>5.0</v>
      </c>
      <c r="B40" s="43">
        <v>8.0</v>
      </c>
      <c r="C40" s="43">
        <v>-36.390336331531</v>
      </c>
      <c r="D40" s="43">
        <v>145.400622149862</v>
      </c>
      <c r="E40" s="43" t="s">
        <v>98</v>
      </c>
      <c r="F40" s="44" t="s">
        <v>110</v>
      </c>
      <c r="G40" s="52" t="s">
        <v>2047</v>
      </c>
      <c r="H40" s="46"/>
      <c r="I40" s="11" t="b">
        <v>1</v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5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IFERROR(__xludf.DUMMYFUNCTION("""COMPUTED_VALUE"""),"BrotherWilliam")</f>
        <v>BrotherWilliam</v>
      </c>
      <c r="R40" s="49">
        <f>IFERROR(__xludf.DUMMYFUNCTION("""COMPUTED_VALUE"""),4459.0)</f>
        <v>4459</v>
      </c>
      <c r="S40" s="49"/>
    </row>
    <row r="41">
      <c r="A41" s="43">
        <v>5.0</v>
      </c>
      <c r="B41" s="43">
        <v>9.0</v>
      </c>
      <c r="C41" s="43">
        <v>-36.3903363313981</v>
      </c>
      <c r="D41" s="43">
        <v>145.400800698358</v>
      </c>
      <c r="E41" s="43" t="s">
        <v>98</v>
      </c>
      <c r="F41" s="44" t="s">
        <v>130</v>
      </c>
      <c r="G41" s="45" t="s">
        <v>2048</v>
      </c>
      <c r="H41" s="46"/>
      <c r="I41" s="44" t="b">
        <v>1</v>
      </c>
      <c r="J41" s="44"/>
      <c r="K41" s="48"/>
      <c r="L41" s="48"/>
      <c r="M41" s="48"/>
      <c r="N41" s="170"/>
      <c r="O41" s="57"/>
      <c r="P41" s="170"/>
      <c r="Q41" s="170"/>
      <c r="R41" s="170"/>
      <c r="S41" s="170"/>
    </row>
    <row r="42">
      <c r="A42" s="43">
        <v>6.0</v>
      </c>
      <c r="B42" s="43">
        <v>1.0</v>
      </c>
      <c r="C42" s="43">
        <v>-36.3904800629065</v>
      </c>
      <c r="D42" s="43">
        <v>145.399372318974</v>
      </c>
      <c r="E42" s="43" t="s">
        <v>98</v>
      </c>
      <c r="F42" s="44" t="s">
        <v>149</v>
      </c>
      <c r="G42" s="45" t="s">
        <v>2049</v>
      </c>
      <c r="H42" s="46"/>
      <c r="I42" s="11" t="b">
        <v>1</v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ref="M42:M59" si="6">if(I42=TRUE,2,IF(ISTEXT(G42),1,0))</f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IFERROR(__xludf.DUMMYFUNCTION("""COMPUTED_VALUE"""),4565.0)</f>
        <v>4565</v>
      </c>
      <c r="S42" s="49"/>
    </row>
    <row r="43">
      <c r="A43" s="43">
        <v>6.0</v>
      </c>
      <c r="B43" s="43">
        <v>2.0</v>
      </c>
      <c r="C43" s="43">
        <v>-36.3904800627736</v>
      </c>
      <c r="D43" s="43">
        <v>145.3995508678</v>
      </c>
      <c r="E43" s="43" t="s">
        <v>98</v>
      </c>
      <c r="F43" s="44" t="s">
        <v>940</v>
      </c>
      <c r="G43" s="45" t="s">
        <v>2050</v>
      </c>
      <c r="H43" s="46"/>
      <c r="I43" s="11" t="b">
        <v>1</v>
      </c>
      <c r="J43" s="47" t="str">
        <f t="shared" ref="J43:J57" si="7">if(I43=true,"",S43)</f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6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IFERROR(__xludf.DUMMYFUNCTION("""COMPUTED_VALUE"""),"WiseOldWizard")</f>
        <v>WiseOldWizard</v>
      </c>
      <c r="R43" s="49">
        <f>IFERROR(__xludf.DUMMYFUNCTION("""COMPUTED_VALUE"""),4337.0)</f>
        <v>4337</v>
      </c>
      <c r="S43" s="51">
        <v>44138.70548841435</v>
      </c>
    </row>
    <row r="44">
      <c r="A44" s="43">
        <v>6.0</v>
      </c>
      <c r="B44" s="43">
        <v>3.0</v>
      </c>
      <c r="C44" s="43">
        <v>-36.3904800626408</v>
      </c>
      <c r="D44" s="43">
        <v>145.399729416626</v>
      </c>
      <c r="E44" s="43" t="s">
        <v>103</v>
      </c>
      <c r="F44" s="44" t="s">
        <v>134</v>
      </c>
      <c r="G44" s="52" t="s">
        <v>2051</v>
      </c>
      <c r="H44" s="44"/>
      <c r="I44" s="11" t="b">
        <v>1</v>
      </c>
      <c r="J44" s="47" t="str">
        <f t="shared" si="7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6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IFERROR(__xludf.DUMMYFUNCTION("""COMPUTED_VALUE"""),"Wangotango")</f>
        <v>Wangotango</v>
      </c>
      <c r="R44" s="49">
        <f>IFERROR(__xludf.DUMMYFUNCTION("""COMPUTED_VALUE"""),1554.0)</f>
        <v>1554</v>
      </c>
      <c r="S44" s="49"/>
    </row>
    <row r="45">
      <c r="A45" s="43">
        <v>6.0</v>
      </c>
      <c r="B45" s="43">
        <v>4.0</v>
      </c>
      <c r="C45" s="43">
        <v>-36.3904800625079</v>
      </c>
      <c r="D45" s="43">
        <v>145.399907965452</v>
      </c>
      <c r="E45" s="43" t="s">
        <v>98</v>
      </c>
      <c r="F45" s="44" t="s">
        <v>116</v>
      </c>
      <c r="G45" s="45" t="s">
        <v>2052</v>
      </c>
      <c r="H45" s="46"/>
      <c r="I45" s="11" t="b">
        <v>1</v>
      </c>
      <c r="J45" s="47" t="str">
        <f t="shared" si="7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6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IFERROR(__xludf.DUMMYFUNCTION("""COMPUTED_VALUE"""),"fsafranek")</f>
        <v>fsafranek</v>
      </c>
      <c r="R45" s="49">
        <f>IFERROR(__xludf.DUMMYFUNCTION("""COMPUTED_VALUE"""),4756.0)</f>
        <v>4756</v>
      </c>
      <c r="S45" s="49"/>
    </row>
    <row r="46">
      <c r="A46" s="43">
        <v>6.0</v>
      </c>
      <c r="B46" s="43">
        <v>5.0</v>
      </c>
      <c r="C46" s="43">
        <v>-36.390480062375</v>
      </c>
      <c r="D46" s="43">
        <v>145.400086514279</v>
      </c>
      <c r="E46" s="43" t="s">
        <v>98</v>
      </c>
      <c r="F46" s="44" t="s">
        <v>141</v>
      </c>
      <c r="G46" s="52" t="s">
        <v>2053</v>
      </c>
      <c r="H46" s="46"/>
      <c r="I46" s="11" t="b">
        <v>1</v>
      </c>
      <c r="J46" s="47" t="str">
        <f t="shared" si="7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6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IFERROR(__xludf.DUMMYFUNCTION("""COMPUTED_VALUE"""),"cbf600")</f>
        <v>cbf600</v>
      </c>
      <c r="R46" s="49">
        <f>IFERROR(__xludf.DUMMYFUNCTION("""COMPUTED_VALUE"""),2747.0)</f>
        <v>2747</v>
      </c>
      <c r="S46" s="49"/>
    </row>
    <row r="47">
      <c r="A47" s="43">
        <v>6.0</v>
      </c>
      <c r="B47" s="43">
        <v>6.0</v>
      </c>
      <c r="C47" s="43">
        <v>-36.3904800622422</v>
      </c>
      <c r="D47" s="43">
        <v>145.400265063105</v>
      </c>
      <c r="E47" s="43" t="s">
        <v>103</v>
      </c>
      <c r="F47" s="44" t="s">
        <v>182</v>
      </c>
      <c r="G47" s="45" t="s">
        <v>2054</v>
      </c>
      <c r="H47" s="46"/>
      <c r="I47" s="11" t="b">
        <v>1</v>
      </c>
      <c r="J47" s="47" t="str">
        <f t="shared" si="7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6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IFERROR(__xludf.DUMMYFUNCTION("""COMPUTED_VALUE"""),"TheFatCats")</f>
        <v>TheFatCats</v>
      </c>
      <c r="R47" s="49">
        <f>IFERROR(__xludf.DUMMYFUNCTION("""COMPUTED_VALUE"""),4266.0)</f>
        <v>4266</v>
      </c>
      <c r="S47" s="49"/>
    </row>
    <row r="48">
      <c r="A48" s="43">
        <v>6.0</v>
      </c>
      <c r="B48" s="43">
        <v>7.0</v>
      </c>
      <c r="C48" s="43">
        <v>-36.3904800621093</v>
      </c>
      <c r="D48" s="43">
        <v>145.400443611931</v>
      </c>
      <c r="E48" s="43" t="s">
        <v>98</v>
      </c>
      <c r="F48" s="44" t="s">
        <v>145</v>
      </c>
      <c r="G48" s="45" t="s">
        <v>2055</v>
      </c>
      <c r="H48" s="46"/>
      <c r="I48" s="11" t="b">
        <v>1</v>
      </c>
      <c r="J48" s="47" t="str">
        <f t="shared" si="7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6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IFERROR(__xludf.DUMMYFUNCTION("""COMPUTED_VALUE"""),4634.0)</f>
        <v>4634</v>
      </c>
      <c r="S48" s="51">
        <v>44138.704751157406</v>
      </c>
    </row>
    <row r="49">
      <c r="A49" s="43">
        <v>6.0</v>
      </c>
      <c r="B49" s="43">
        <v>8.0</v>
      </c>
      <c r="C49" s="43">
        <v>-36.3904800619764</v>
      </c>
      <c r="D49" s="43">
        <v>145.400622160757</v>
      </c>
      <c r="E49" s="43" t="s">
        <v>98</v>
      </c>
      <c r="F49" s="44" t="s">
        <v>147</v>
      </c>
      <c r="G49" s="52" t="s">
        <v>2056</v>
      </c>
      <c r="H49" s="46"/>
      <c r="I49" s="11" t="b">
        <v>1</v>
      </c>
      <c r="J49" s="47" t="str">
        <f t="shared" si="7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6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IFERROR(__xludf.DUMMYFUNCTION("""COMPUTED_VALUE"""),7858.0)</f>
        <v>7858</v>
      </c>
      <c r="S49" s="51">
        <v>44138.704996817134</v>
      </c>
    </row>
    <row r="50">
      <c r="A50" s="43">
        <v>7.0</v>
      </c>
      <c r="B50" s="43">
        <v>2.0</v>
      </c>
      <c r="C50" s="43">
        <v>-36.3906237932191</v>
      </c>
      <c r="D50" s="43">
        <v>145.399550876714</v>
      </c>
      <c r="E50" s="43" t="s">
        <v>103</v>
      </c>
      <c r="F50" s="44" t="s">
        <v>182</v>
      </c>
      <c r="G50" s="45" t="s">
        <v>2057</v>
      </c>
      <c r="H50" s="46"/>
      <c r="I50" s="11" t="b">
        <v>1</v>
      </c>
      <c r="J50" s="47" t="str">
        <f t="shared" si="7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6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IFERROR(__xludf.DUMMYFUNCTION("""COMPUTED_VALUE"""),"TheFatCats")</f>
        <v>TheFatCats</v>
      </c>
      <c r="R50" s="49">
        <f>IFERROR(__xludf.DUMMYFUNCTION("""COMPUTED_VALUE"""),4272.0)</f>
        <v>4272</v>
      </c>
      <c r="S50" s="49"/>
    </row>
    <row r="51">
      <c r="A51" s="43">
        <v>7.0</v>
      </c>
      <c r="B51" s="43">
        <v>3.0</v>
      </c>
      <c r="C51" s="43">
        <v>-36.3906237930862</v>
      </c>
      <c r="D51" s="43">
        <v>145.39972942587</v>
      </c>
      <c r="E51" s="43" t="s">
        <v>98</v>
      </c>
      <c r="F51" s="44" t="s">
        <v>1230</v>
      </c>
      <c r="G51" s="52" t="s">
        <v>2058</v>
      </c>
      <c r="H51" s="46"/>
      <c r="I51" s="11" t="b">
        <v>1</v>
      </c>
      <c r="J51" s="47" t="str">
        <f t="shared" si="7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6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IFERROR(__xludf.DUMMYFUNCTION("""COMPUTED_VALUE"""),"FlatBlack")</f>
        <v>FlatBlack</v>
      </c>
      <c r="R51" s="49">
        <f>IFERROR(__xludf.DUMMYFUNCTION("""COMPUTED_VALUE"""),972.0)</f>
        <v>972</v>
      </c>
      <c r="S51" s="49"/>
    </row>
    <row r="52">
      <c r="A52" s="43">
        <v>7.0</v>
      </c>
      <c r="B52" s="43">
        <v>4.0</v>
      </c>
      <c r="C52" s="43">
        <v>-36.3906237929533</v>
      </c>
      <c r="D52" s="43">
        <v>145.399907975027</v>
      </c>
      <c r="E52" s="43" t="s">
        <v>98</v>
      </c>
      <c r="F52" s="44" t="s">
        <v>254</v>
      </c>
      <c r="G52" s="45" t="s">
        <v>2059</v>
      </c>
      <c r="H52" s="46"/>
      <c r="I52" s="11" t="b">
        <v>1</v>
      </c>
      <c r="J52" s="47" t="str">
        <f t="shared" si="7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6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IFERROR(__xludf.DUMMYFUNCTION("""COMPUTED_VALUE"""),"wally62")</f>
        <v>wally62</v>
      </c>
      <c r="R52" s="49">
        <f>IFERROR(__xludf.DUMMYFUNCTION("""COMPUTED_VALUE"""),4878.0)</f>
        <v>4878</v>
      </c>
      <c r="S52" s="49"/>
    </row>
    <row r="53">
      <c r="A53" s="43">
        <v>7.0</v>
      </c>
      <c r="B53" s="43">
        <v>5.0</v>
      </c>
      <c r="C53" s="43">
        <v>-36.3906237928205</v>
      </c>
      <c r="D53" s="43">
        <v>145.400086524183</v>
      </c>
      <c r="E53" s="43" t="s">
        <v>98</v>
      </c>
      <c r="F53" s="44" t="s">
        <v>151</v>
      </c>
      <c r="G53" s="52" t="s">
        <v>2060</v>
      </c>
      <c r="H53" s="46"/>
      <c r="I53" s="11" t="b">
        <v>1</v>
      </c>
      <c r="J53" s="47" t="str">
        <f t="shared" si="7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6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IFERROR(__xludf.DUMMYFUNCTION("""COMPUTED_VALUE"""),"res2100")</f>
        <v>res2100</v>
      </c>
      <c r="R53" s="49">
        <f>IFERROR(__xludf.DUMMYFUNCTION("""COMPUTED_VALUE"""),807.0)</f>
        <v>807</v>
      </c>
      <c r="S53" s="49"/>
    </row>
    <row r="54">
      <c r="A54" s="43">
        <v>7.0</v>
      </c>
      <c r="B54" s="43">
        <v>6.0</v>
      </c>
      <c r="C54" s="43">
        <v>-36.3906237926876</v>
      </c>
      <c r="D54" s="43">
        <v>145.400265073339</v>
      </c>
      <c r="E54" s="43" t="s">
        <v>98</v>
      </c>
      <c r="F54" s="44" t="s">
        <v>155</v>
      </c>
      <c r="G54" s="52" t="s">
        <v>2061</v>
      </c>
      <c r="H54" s="46"/>
      <c r="I54" s="11" t="b">
        <v>1</v>
      </c>
      <c r="J54" s="47" t="str">
        <f t="shared" si="7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6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IFERROR(__xludf.DUMMYFUNCTION("""COMPUTED_VALUE"""),"Ellesche")</f>
        <v>Ellesche</v>
      </c>
      <c r="R54" s="49">
        <f>IFERROR(__xludf.DUMMYFUNCTION("""COMPUTED_VALUE"""),784.0)</f>
        <v>784</v>
      </c>
      <c r="S54" s="49"/>
    </row>
    <row r="55">
      <c r="A55" s="43">
        <v>7.0</v>
      </c>
      <c r="B55" s="43">
        <v>7.0</v>
      </c>
      <c r="C55" s="43">
        <v>-36.3906237925547</v>
      </c>
      <c r="D55" s="43">
        <v>145.400443622496</v>
      </c>
      <c r="E55" s="43" t="s">
        <v>98</v>
      </c>
      <c r="F55" s="44" t="s">
        <v>870</v>
      </c>
      <c r="G55" s="45" t="s">
        <v>2062</v>
      </c>
      <c r="H55" s="46"/>
      <c r="I55" s="11" t="b">
        <v>1</v>
      </c>
      <c r="J55" s="47" t="str">
        <f t="shared" si="7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6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IFERROR(__xludf.DUMMYFUNCTION("""COMPUTED_VALUE"""),"amadoreugen")</f>
        <v>amadoreugen</v>
      </c>
      <c r="R55" s="49">
        <f>IFERROR(__xludf.DUMMYFUNCTION("""COMPUTED_VALUE"""),6914.0)</f>
        <v>6914</v>
      </c>
      <c r="S55" s="49"/>
    </row>
    <row r="56">
      <c r="A56" s="43">
        <v>8.0</v>
      </c>
      <c r="B56" s="43">
        <v>3.0</v>
      </c>
      <c r="C56" s="43">
        <v>-36.3907675235317</v>
      </c>
      <c r="D56" s="43">
        <v>145.399729435111</v>
      </c>
      <c r="E56" s="43" t="s">
        <v>98</v>
      </c>
      <c r="F56" s="44" t="s">
        <v>99</v>
      </c>
      <c r="G56" s="45" t="s">
        <v>2063</v>
      </c>
      <c r="H56" s="46"/>
      <c r="I56" s="11" t="b">
        <v>1</v>
      </c>
      <c r="J56" s="47" t="str">
        <f t="shared" si="7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6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IFERROR(__xludf.DUMMYFUNCTION("""COMPUTED_VALUE"""),"raunas")</f>
        <v>raunas</v>
      </c>
      <c r="R56" s="49">
        <f>IFERROR(__xludf.DUMMYFUNCTION("""COMPUTED_VALUE"""),7126.0)</f>
        <v>7126</v>
      </c>
      <c r="S56" s="49"/>
    </row>
    <row r="57">
      <c r="A57" s="43">
        <v>8.0</v>
      </c>
      <c r="B57" s="43">
        <v>4.0</v>
      </c>
      <c r="C57" s="43">
        <v>-36.3907675233988</v>
      </c>
      <c r="D57" s="43">
        <v>145.399907984598</v>
      </c>
      <c r="E57" s="43" t="s">
        <v>103</v>
      </c>
      <c r="F57" s="44" t="s">
        <v>544</v>
      </c>
      <c r="G57" s="45" t="s">
        <v>2064</v>
      </c>
      <c r="H57" s="46"/>
      <c r="I57" s="11" t="b">
        <v>1</v>
      </c>
      <c r="J57" s="47" t="str">
        <f t="shared" si="7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6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IFERROR(__xludf.DUMMYFUNCTION("""COMPUTED_VALUE"""),"PcLocator")</f>
        <v>PcLocator</v>
      </c>
      <c r="R57" s="49">
        <f>IFERROR(__xludf.DUMMYFUNCTION("""COMPUTED_VALUE"""),4188.0)</f>
        <v>4188</v>
      </c>
      <c r="S57" s="49"/>
    </row>
    <row r="58">
      <c r="A58" s="43">
        <v>8.0</v>
      </c>
      <c r="B58" s="43">
        <v>5.0</v>
      </c>
      <c r="C58" s="43">
        <v>-36.3907675232659</v>
      </c>
      <c r="D58" s="43">
        <v>145.400086534084</v>
      </c>
      <c r="E58" s="43" t="s">
        <v>103</v>
      </c>
      <c r="F58" s="44" t="s">
        <v>558</v>
      </c>
      <c r="G58" s="52" t="s">
        <v>2065</v>
      </c>
      <c r="H58" s="46"/>
      <c r="I58" s="11" t="b">
        <v>1</v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6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IFERROR(__xludf.DUMMYFUNCTION("""COMPUTED_VALUE"""),"ddtsnorton")</f>
        <v>ddtsnorton</v>
      </c>
      <c r="R58" s="49">
        <f>IFERROR(__xludf.DUMMYFUNCTION("""COMPUTED_VALUE"""),11375.0)</f>
        <v>11375</v>
      </c>
      <c r="S58" s="49"/>
    </row>
    <row r="59">
      <c r="A59" s="43">
        <v>8.0</v>
      </c>
      <c r="B59" s="43">
        <v>6.0</v>
      </c>
      <c r="C59" s="43">
        <v>-36.3907675231331</v>
      </c>
      <c r="D59" s="43">
        <v>145.40026508357</v>
      </c>
      <c r="E59" s="43" t="s">
        <v>98</v>
      </c>
      <c r="F59" s="44" t="s">
        <v>120</v>
      </c>
      <c r="G59" s="45" t="s">
        <v>2066</v>
      </c>
      <c r="H59" s="46"/>
      <c r="I59" s="11" t="b">
        <v>1</v>
      </c>
      <c r="J59" s="47" t="str">
        <f>if(I59=true,"",S59)</f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6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IFERROR(__xludf.DUMMYFUNCTION("""COMPUTED_VALUE"""),"xrayneex")</f>
        <v>xrayneex</v>
      </c>
      <c r="R59" s="49">
        <f>IFERROR(__xludf.DUMMYFUNCTION("""COMPUTED_VALUE"""),1632.0)</f>
        <v>1632</v>
      </c>
      <c r="S59" s="49"/>
    </row>
    <row r="61" hidden="1">
      <c r="F61" s="47">
        <f t="shared" ref="F61:G61" si="8">COUNTIF(F8:F59,"")</f>
        <v>0</v>
      </c>
      <c r="G61" s="47">
        <f t="shared" si="8"/>
        <v>0</v>
      </c>
      <c r="I61" s="47">
        <f>COUNTIF(I8:I59,TRUE)</f>
        <v>52</v>
      </c>
    </row>
    <row r="62" hidden="1"/>
    <row r="63" hidden="1"/>
    <row r="64" hidden="1"/>
  </sheetData>
  <mergeCells count="3">
    <mergeCell ref="B1:C1"/>
    <mergeCell ref="H1:H2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G27"/>
    <hyperlink r:id="rId41" ref="O27"/>
    <hyperlink r:id="rId42" ref="G28"/>
    <hyperlink r:id="rId43" ref="O28"/>
    <hyperlink r:id="rId44" ref="G29"/>
    <hyperlink r:id="rId45" ref="O29"/>
    <hyperlink r:id="rId46" ref="G30"/>
    <hyperlink r:id="rId47" ref="O30"/>
    <hyperlink r:id="rId48" ref="G31"/>
    <hyperlink r:id="rId49" ref="O31"/>
    <hyperlink r:id="rId50" ref="G32"/>
    <hyperlink r:id="rId51" ref="O32"/>
    <hyperlink r:id="rId52" ref="G33"/>
    <hyperlink r:id="rId53" ref="G34"/>
    <hyperlink r:id="rId54" ref="O34"/>
    <hyperlink r:id="rId55" ref="G35"/>
    <hyperlink r:id="rId56" ref="O35"/>
    <hyperlink r:id="rId57" ref="G36"/>
    <hyperlink r:id="rId58" ref="O36"/>
    <hyperlink r:id="rId59" ref="G37"/>
    <hyperlink r:id="rId60" ref="O37"/>
    <hyperlink r:id="rId61" ref="G38"/>
    <hyperlink r:id="rId62" ref="O38"/>
    <hyperlink r:id="rId63" ref="G39"/>
    <hyperlink r:id="rId64" ref="O39"/>
    <hyperlink r:id="rId65" ref="G40"/>
    <hyperlink r:id="rId66" ref="O40"/>
    <hyperlink r:id="rId67" ref="G41"/>
    <hyperlink r:id="rId68" ref="G42"/>
    <hyperlink r:id="rId69" ref="O42"/>
    <hyperlink r:id="rId70" ref="G43"/>
    <hyperlink r:id="rId71" ref="O43"/>
    <hyperlink r:id="rId72" ref="G44"/>
    <hyperlink r:id="rId73" ref="O44"/>
    <hyperlink r:id="rId74" ref="G45"/>
    <hyperlink r:id="rId75" ref="O45"/>
    <hyperlink r:id="rId76" ref="G46"/>
    <hyperlink r:id="rId77" ref="O46"/>
    <hyperlink r:id="rId78" ref="G47"/>
    <hyperlink r:id="rId79" ref="O47"/>
    <hyperlink r:id="rId80" ref="G48"/>
    <hyperlink r:id="rId81" ref="O48"/>
    <hyperlink r:id="rId82" ref="G49"/>
    <hyperlink r:id="rId83" ref="O49"/>
    <hyperlink r:id="rId84" ref="G50"/>
    <hyperlink r:id="rId85" ref="O50"/>
    <hyperlink r:id="rId86" ref="G51"/>
    <hyperlink r:id="rId87" ref="O51"/>
    <hyperlink r:id="rId88" ref="G52"/>
    <hyperlink r:id="rId89" ref="O52"/>
    <hyperlink r:id="rId90" ref="G53"/>
    <hyperlink r:id="rId91" ref="O53"/>
    <hyperlink r:id="rId92" ref="G54"/>
    <hyperlink r:id="rId93" ref="O54"/>
    <hyperlink r:id="rId94" ref="G55"/>
    <hyperlink r:id="rId95" ref="O55"/>
    <hyperlink r:id="rId96" ref="G56"/>
    <hyperlink r:id="rId97" ref="O56"/>
    <hyperlink r:id="rId98" ref="G57"/>
    <hyperlink r:id="rId99" ref="O57"/>
    <hyperlink r:id="rId100" ref="G58"/>
    <hyperlink r:id="rId101" ref="O58"/>
    <hyperlink r:id="rId102" ref="G59"/>
    <hyperlink r:id="rId103" ref="O59"/>
  </hyperlinks>
  <drawing r:id="rId104"/>
  <tableParts count="1">
    <tablePart r:id="rId106"/>
  </tableParts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13"/>
    <col customWidth="1" min="2" max="2" width="9.0"/>
    <col customWidth="1" min="3" max="3" width="13.63"/>
    <col customWidth="1" min="4" max="4" width="14.38"/>
    <col customWidth="1" min="5" max="5" width="16.75"/>
    <col customWidth="1" min="6" max="6" width="14.63"/>
    <col customWidth="1" min="7" max="7" width="41.0"/>
    <col customWidth="1" min="8" max="8" width="18.38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20</v>
      </c>
      <c r="B1" s="37" t="s">
        <v>71</v>
      </c>
      <c r="D1" s="37"/>
      <c r="E1" s="2" t="s">
        <v>79</v>
      </c>
      <c r="F1" s="24"/>
      <c r="G1" s="64"/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213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 t="s">
        <v>214</v>
      </c>
      <c r="C3" s="2"/>
      <c r="D3" s="2"/>
      <c r="E3" s="2" t="s">
        <v>11</v>
      </c>
      <c r="F3" s="2">
        <f>52-F61-F5</f>
        <v>1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16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35</v>
      </c>
      <c r="G5" s="39">
        <f>F5/52</f>
        <v>0.6730769231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39.5767676430007</v>
      </c>
      <c r="D8" s="43">
        <v>-77.8815175265767</v>
      </c>
      <c r="E8" s="43" t="s">
        <v>98</v>
      </c>
      <c r="F8" s="44" t="s">
        <v>99</v>
      </c>
      <c r="G8" s="45" t="s">
        <v>215</v>
      </c>
      <c r="H8" s="46"/>
      <c r="I8" s="11" t="b">
        <v>1</v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1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IFERROR(__xludf.DUMMYFUNCTION("""COMPUTED_VALUE"""),"raunas")</f>
        <v>raunas</v>
      </c>
      <c r="R8" s="49">
        <f>IFERROR(__xludf.DUMMYFUNCTION("""COMPUTED_VALUE"""),12673.0)</f>
        <v>12673</v>
      </c>
      <c r="S8" s="51">
        <v>44749.24731704861</v>
      </c>
    </row>
    <row r="9">
      <c r="A9" s="43">
        <v>1.0</v>
      </c>
      <c r="B9" s="43">
        <v>4.0</v>
      </c>
      <c r="C9" s="43">
        <v>39.5767676428517</v>
      </c>
      <c r="D9" s="43">
        <v>-77.8813310505345</v>
      </c>
      <c r="E9" s="43" t="s">
        <v>98</v>
      </c>
      <c r="F9" s="44" t="s">
        <v>101</v>
      </c>
      <c r="G9" s="45" t="s">
        <v>216</v>
      </c>
      <c r="H9" s="46"/>
      <c r="I9" s="11" t="b">
        <v>1</v>
      </c>
      <c r="J9" s="47" t="str">
        <f t="shared" ref="J9:J27" si="2">if(I9=true,"",S9)</f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1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IFERROR(__xludf.DUMMYFUNCTION("""COMPUTED_VALUE"""),6307.0)</f>
        <v>6307</v>
      </c>
      <c r="S9" s="51">
        <v>44371.8549071875</v>
      </c>
    </row>
    <row r="10">
      <c r="A10" s="43">
        <v>1.0</v>
      </c>
      <c r="B10" s="43">
        <v>5.0</v>
      </c>
      <c r="C10" s="43">
        <v>39.5767676427027</v>
      </c>
      <c r="D10" s="43">
        <v>-77.8811445744922</v>
      </c>
      <c r="E10" s="43" t="s">
        <v>103</v>
      </c>
      <c r="F10" s="44" t="s">
        <v>217</v>
      </c>
      <c r="G10" s="45" t="s">
        <v>218</v>
      </c>
      <c r="H10" s="46"/>
      <c r="I10" s="11" t="b">
        <v>1</v>
      </c>
      <c r="J10" s="47" t="str">
        <f t="shared" si="2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1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IFERROR(__xludf.DUMMYFUNCTION("""COMPUTED_VALUE"""),"EmileP68")</f>
        <v>EmileP68</v>
      </c>
      <c r="R10" s="49">
        <f>IFERROR(__xludf.DUMMYFUNCTION("""COMPUTED_VALUE"""),5201.0)</f>
        <v>5201</v>
      </c>
      <c r="S10" s="51">
        <v>44371.85494074074</v>
      </c>
    </row>
    <row r="11">
      <c r="A11" s="43">
        <v>1.0</v>
      </c>
      <c r="B11" s="43">
        <v>6.0</v>
      </c>
      <c r="C11" s="43">
        <v>39.5767676425537</v>
      </c>
      <c r="D11" s="43">
        <v>-77.8809580984499</v>
      </c>
      <c r="E11" s="43" t="s">
        <v>103</v>
      </c>
      <c r="F11" s="44" t="s">
        <v>219</v>
      </c>
      <c r="G11" s="45" t="s">
        <v>220</v>
      </c>
      <c r="H11" s="46"/>
      <c r="I11" s="11" t="b">
        <v>1</v>
      </c>
      <c r="J11" s="47" t="str">
        <f t="shared" si="2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1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IFERROR(__xludf.DUMMYFUNCTION("""COMPUTED_VALUE"""),"PawPatrolThomas")</f>
        <v>PawPatrolThomas</v>
      </c>
      <c r="R11" s="49">
        <f>IFERROR(__xludf.DUMMYFUNCTION("""COMPUTED_VALUE"""),4324.0)</f>
        <v>4324</v>
      </c>
      <c r="S11" s="51">
        <v>44371.855000138894</v>
      </c>
    </row>
    <row r="12">
      <c r="A12" s="43">
        <v>2.0</v>
      </c>
      <c r="B12" s="43">
        <v>2.0</v>
      </c>
      <c r="C12" s="43">
        <v>39.5766239127043</v>
      </c>
      <c r="D12" s="43">
        <v>-77.8817040130597</v>
      </c>
      <c r="E12" s="43" t="s">
        <v>98</v>
      </c>
      <c r="F12" s="44" t="s">
        <v>110</v>
      </c>
      <c r="G12" s="45" t="s">
        <v>221</v>
      </c>
      <c r="H12" s="44"/>
      <c r="I12" s="11" t="b">
        <v>1</v>
      </c>
      <c r="J12" s="47" t="str">
        <f t="shared" si="2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1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IFERROR(__xludf.DUMMYFUNCTION("""COMPUTED_VALUE"""),5257.0)</f>
        <v>5257</v>
      </c>
      <c r="S12" s="49"/>
    </row>
    <row r="13">
      <c r="A13" s="43">
        <v>2.0</v>
      </c>
      <c r="B13" s="43">
        <v>3.0</v>
      </c>
      <c r="C13" s="43">
        <v>39.5766239125553</v>
      </c>
      <c r="D13" s="43">
        <v>-77.8815175374041</v>
      </c>
      <c r="E13" s="43" t="s">
        <v>98</v>
      </c>
      <c r="F13" s="44" t="s">
        <v>112</v>
      </c>
      <c r="G13" s="52" t="s">
        <v>222</v>
      </c>
      <c r="H13" s="46"/>
      <c r="I13" s="11" t="b">
        <v>1</v>
      </c>
      <c r="J13" s="47" t="str">
        <f t="shared" si="2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1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IFERROR(__xludf.DUMMYFUNCTION("""COMPUTED_VALUE"""),3564.0)</f>
        <v>3564</v>
      </c>
      <c r="S13" s="49"/>
    </row>
    <row r="14">
      <c r="A14" s="43">
        <v>2.0</v>
      </c>
      <c r="B14" s="43">
        <v>4.0</v>
      </c>
      <c r="C14" s="43">
        <v>39.5766239124063</v>
      </c>
      <c r="D14" s="43">
        <v>-77.8813310617486</v>
      </c>
      <c r="E14" s="43" t="s">
        <v>98</v>
      </c>
      <c r="F14" s="44" t="s">
        <v>120</v>
      </c>
      <c r="G14" s="45" t="s">
        <v>223</v>
      </c>
      <c r="H14" s="46"/>
      <c r="I14" s="11" t="b">
        <v>1</v>
      </c>
      <c r="J14" s="47" t="str">
        <f t="shared" si="2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1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IFERROR(__xludf.DUMMYFUNCTION("""COMPUTED_VALUE"""),"xrayneex")</f>
        <v>xrayneex</v>
      </c>
      <c r="R14" s="49">
        <f>IFERROR(__xludf.DUMMYFUNCTION("""COMPUTED_VALUE"""),2794.0)</f>
        <v>2794</v>
      </c>
      <c r="S14" s="49"/>
    </row>
    <row r="15">
      <c r="A15" s="43">
        <v>2.0</v>
      </c>
      <c r="B15" s="43">
        <v>5.0</v>
      </c>
      <c r="C15" s="43">
        <v>39.5766239122573</v>
      </c>
      <c r="D15" s="43">
        <v>-77.881144586093</v>
      </c>
      <c r="E15" s="43" t="s">
        <v>103</v>
      </c>
      <c r="F15" s="44" t="s">
        <v>155</v>
      </c>
      <c r="G15" s="52" t="s">
        <v>224</v>
      </c>
      <c r="H15" s="46"/>
      <c r="I15" s="11" t="b">
        <v>1</v>
      </c>
      <c r="J15" s="47" t="str">
        <f t="shared" si="2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1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IFERROR(__xludf.DUMMYFUNCTION("""COMPUTED_VALUE"""),"Ellesche")</f>
        <v>Ellesche</v>
      </c>
      <c r="R15" s="49">
        <f>IFERROR(__xludf.DUMMYFUNCTION("""COMPUTED_VALUE"""),855.0)</f>
        <v>855</v>
      </c>
      <c r="S15" s="49"/>
    </row>
    <row r="16">
      <c r="A16" s="43">
        <v>2.0</v>
      </c>
      <c r="B16" s="43">
        <v>6.0</v>
      </c>
      <c r="C16" s="43">
        <v>39.5766239121082</v>
      </c>
      <c r="D16" s="43">
        <v>-77.8809581104374</v>
      </c>
      <c r="E16" s="43" t="s">
        <v>98</v>
      </c>
      <c r="F16" s="44" t="s">
        <v>151</v>
      </c>
      <c r="G16" s="52" t="s">
        <v>225</v>
      </c>
      <c r="H16" s="46"/>
      <c r="I16" s="11" t="b">
        <v>1</v>
      </c>
      <c r="J16" s="47" t="str">
        <f t="shared" si="2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1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IFERROR(__xludf.DUMMYFUNCTION("""COMPUTED_VALUE"""),"res2100")</f>
        <v>res2100</v>
      </c>
      <c r="R16" s="49">
        <f>IFERROR(__xludf.DUMMYFUNCTION("""COMPUTED_VALUE"""),894.0)</f>
        <v>894</v>
      </c>
      <c r="S16" s="49"/>
    </row>
    <row r="17">
      <c r="A17" s="43">
        <v>2.0</v>
      </c>
      <c r="B17" s="43">
        <v>7.0</v>
      </c>
      <c r="C17" s="43">
        <v>39.5766239119592</v>
      </c>
      <c r="D17" s="43">
        <v>-77.8807716347818</v>
      </c>
      <c r="E17" s="43" t="s">
        <v>98</v>
      </c>
      <c r="F17" s="44" t="s">
        <v>136</v>
      </c>
      <c r="G17" s="52" t="s">
        <v>226</v>
      </c>
      <c r="H17" s="46"/>
      <c r="I17" s="11" t="b">
        <v>1</v>
      </c>
      <c r="J17" s="47" t="str">
        <f t="shared" si="2"/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1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IFERROR(__xludf.DUMMYFUNCTION("""COMPUTED_VALUE"""),"OdinsFiRe")</f>
        <v>OdinsFiRe</v>
      </c>
      <c r="R17" s="49">
        <f>IFERROR(__xludf.DUMMYFUNCTION("""COMPUTED_VALUE"""),2013.0)</f>
        <v>2013</v>
      </c>
      <c r="S17" s="49"/>
    </row>
    <row r="18">
      <c r="A18" s="43">
        <v>3.0</v>
      </c>
      <c r="B18" s="43">
        <v>1.0</v>
      </c>
      <c r="C18" s="43">
        <v>39.5764801824078</v>
      </c>
      <c r="D18" s="43">
        <v>-77.8818904987686</v>
      </c>
      <c r="E18" s="43" t="s">
        <v>98</v>
      </c>
      <c r="F18" s="44" t="s">
        <v>227</v>
      </c>
      <c r="G18" s="45" t="s">
        <v>228</v>
      </c>
      <c r="H18" s="46"/>
      <c r="I18" s="11" t="b">
        <v>1</v>
      </c>
      <c r="J18" s="47" t="str">
        <f t="shared" si="2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1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IFERROR(__xludf.DUMMYFUNCTION("""COMPUTED_VALUE"""),"Whatsoverthere")</f>
        <v>Whatsoverthere</v>
      </c>
      <c r="R18" s="49">
        <f>IFERROR(__xludf.DUMMYFUNCTION("""COMPUTED_VALUE"""),8942.0)</f>
        <v>8942</v>
      </c>
      <c r="S18" s="51">
        <v>44376.8398362963</v>
      </c>
    </row>
    <row r="19">
      <c r="A19" s="43">
        <v>3.0</v>
      </c>
      <c r="B19" s="43">
        <v>2.0</v>
      </c>
      <c r="C19" s="43">
        <v>39.5764801822588</v>
      </c>
      <c r="D19" s="43">
        <v>-77.8817040234996</v>
      </c>
      <c r="E19" s="43" t="s">
        <v>98</v>
      </c>
      <c r="F19" s="44" t="s">
        <v>134</v>
      </c>
      <c r="G19" s="45" t="s">
        <v>229</v>
      </c>
      <c r="H19" s="46"/>
      <c r="I19" s="11" t="b">
        <v>1</v>
      </c>
      <c r="J19" s="47" t="str">
        <f t="shared" si="2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1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IFERROR(__xludf.DUMMYFUNCTION("""COMPUTED_VALUE"""),"Wangotango")</f>
        <v>Wangotango</v>
      </c>
      <c r="R19" s="49">
        <f>IFERROR(__xludf.DUMMYFUNCTION("""COMPUTED_VALUE"""),1376.0)</f>
        <v>1376</v>
      </c>
      <c r="S19" s="49"/>
    </row>
    <row r="20">
      <c r="A20" s="43">
        <v>3.0</v>
      </c>
      <c r="B20" s="43">
        <v>3.0</v>
      </c>
      <c r="C20" s="43">
        <v>39.5764801821098</v>
      </c>
      <c r="D20" s="43">
        <v>-77.8815175482307</v>
      </c>
      <c r="E20" s="43" t="s">
        <v>98</v>
      </c>
      <c r="F20" s="44" t="s">
        <v>230</v>
      </c>
      <c r="G20" s="45" t="s">
        <v>231</v>
      </c>
      <c r="H20" s="46"/>
      <c r="I20" s="11" t="b">
        <v>1</v>
      </c>
      <c r="J20" s="47" t="str">
        <f t="shared" si="2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1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IFERROR(__xludf.DUMMYFUNCTION("""COMPUTED_VALUE"""),"Drazoria")</f>
        <v>Drazoria</v>
      </c>
      <c r="R20" s="49">
        <f>IFERROR(__xludf.DUMMYFUNCTION("""COMPUTED_VALUE"""),1675.0)</f>
        <v>1675</v>
      </c>
      <c r="S20" s="51">
        <v>44482.74257621528</v>
      </c>
    </row>
    <row r="21">
      <c r="A21" s="43">
        <v>3.0</v>
      </c>
      <c r="B21" s="43">
        <v>4.0</v>
      </c>
      <c r="C21" s="43">
        <v>39.5764801819608</v>
      </c>
      <c r="D21" s="43">
        <v>-77.8813310729617</v>
      </c>
      <c r="E21" s="43" t="s">
        <v>98</v>
      </c>
      <c r="F21" s="44" t="s">
        <v>124</v>
      </c>
      <c r="G21" s="45" t="s">
        <v>232</v>
      </c>
      <c r="H21" s="46"/>
      <c r="I21" s="11" t="b">
        <v>1</v>
      </c>
      <c r="J21" s="47" t="str">
        <f t="shared" si="2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1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IFERROR(__xludf.DUMMYFUNCTION("""COMPUTED_VALUE"""),"Tinake1309")</f>
        <v>Tinake1309</v>
      </c>
      <c r="R21" s="49">
        <f>IFERROR(__xludf.DUMMYFUNCTION("""COMPUTED_VALUE"""),1600.0)</f>
        <v>1600</v>
      </c>
      <c r="S21" s="51">
        <v>44482.74262913194</v>
      </c>
    </row>
    <row r="22">
      <c r="A22" s="43">
        <v>3.0</v>
      </c>
      <c r="B22" s="43">
        <v>5.0</v>
      </c>
      <c r="C22" s="43">
        <v>39.5764801818118</v>
      </c>
      <c r="D22" s="43">
        <v>-77.8811445976928</v>
      </c>
      <c r="E22" s="43" t="s">
        <v>98</v>
      </c>
      <c r="F22" s="44" t="s">
        <v>126</v>
      </c>
      <c r="G22" s="45" t="s">
        <v>233</v>
      </c>
      <c r="H22" s="46"/>
      <c r="I22" s="11" t="b">
        <v>1</v>
      </c>
      <c r="J22" s="47" t="str">
        <f t="shared" si="2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1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IFERROR(__xludf.DUMMYFUNCTION("""COMPUTED_VALUE"""),"Berg14")</f>
        <v>Berg14</v>
      </c>
      <c r="R22" s="49">
        <f>IFERROR(__xludf.DUMMYFUNCTION("""COMPUTED_VALUE"""),1521.0)</f>
        <v>1521</v>
      </c>
      <c r="S22" s="51">
        <v>44482.7426597338</v>
      </c>
    </row>
    <row r="23">
      <c r="A23" s="43">
        <v>3.0</v>
      </c>
      <c r="B23" s="43">
        <v>6.0</v>
      </c>
      <c r="C23" s="43">
        <v>39.5764801816628</v>
      </c>
      <c r="D23" s="43">
        <v>-77.8809581224238</v>
      </c>
      <c r="E23" s="43" t="s">
        <v>98</v>
      </c>
      <c r="F23" s="44" t="s">
        <v>128</v>
      </c>
      <c r="G23" s="45" t="s">
        <v>234</v>
      </c>
      <c r="H23" s="46"/>
      <c r="I23" s="11" t="b">
        <v>1</v>
      </c>
      <c r="J23" s="47" t="str">
        <f t="shared" si="2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1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IFERROR(__xludf.DUMMYFUNCTION("""COMPUTED_VALUE"""),"Niks13")</f>
        <v>Niks13</v>
      </c>
      <c r="R23" s="49">
        <f>IFERROR(__xludf.DUMMYFUNCTION("""COMPUTED_VALUE"""),1483.0)</f>
        <v>1483</v>
      </c>
      <c r="S23" s="51">
        <v>44482.74271633102</v>
      </c>
    </row>
    <row r="24">
      <c r="A24" s="43">
        <v>3.0</v>
      </c>
      <c r="B24" s="43">
        <v>7.0</v>
      </c>
      <c r="C24" s="43">
        <v>39.5764801815138</v>
      </c>
      <c r="D24" s="43">
        <v>-77.8807716471549</v>
      </c>
      <c r="E24" s="43" t="s">
        <v>98</v>
      </c>
      <c r="F24" s="44" t="s">
        <v>130</v>
      </c>
      <c r="G24" s="45" t="s">
        <v>235</v>
      </c>
      <c r="H24" s="46"/>
      <c r="I24" s="11" t="b">
        <v>1</v>
      </c>
      <c r="J24" s="47" t="str">
        <f t="shared" si="2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1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IFERROR(__xludf.DUMMYFUNCTION("""COMPUTED_VALUE"""),"lupo6")</f>
        <v>lupo6</v>
      </c>
      <c r="R24" s="49">
        <f>IFERROR(__xludf.DUMMYFUNCTION("""COMPUTED_VALUE"""),2727.0)</f>
        <v>2727</v>
      </c>
      <c r="S24" s="49"/>
    </row>
    <row r="25">
      <c r="A25" s="43">
        <v>3.0</v>
      </c>
      <c r="B25" s="43">
        <v>8.0</v>
      </c>
      <c r="C25" s="43">
        <v>39.5764801813648</v>
      </c>
      <c r="D25" s="43">
        <v>-77.8805851718859</v>
      </c>
      <c r="E25" s="43" t="s">
        <v>98</v>
      </c>
      <c r="F25" s="44" t="s">
        <v>178</v>
      </c>
      <c r="G25" s="45" t="s">
        <v>236</v>
      </c>
      <c r="H25" s="46"/>
      <c r="I25" s="11" t="b">
        <v>1</v>
      </c>
      <c r="J25" s="47" t="str">
        <f t="shared" si="2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1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IFERROR(__xludf.DUMMYFUNCTION("""COMPUTED_VALUE"""),"lison55")</f>
        <v>lison55</v>
      </c>
      <c r="R25" s="49">
        <f>IFERROR(__xludf.DUMMYFUNCTION("""COMPUTED_VALUE"""),12385.0)</f>
        <v>12385</v>
      </c>
      <c r="S25" s="49"/>
    </row>
    <row r="26">
      <c r="A26" s="43">
        <v>4.0</v>
      </c>
      <c r="B26" s="43">
        <v>1.0</v>
      </c>
      <c r="C26" s="43">
        <v>39.5763364519624</v>
      </c>
      <c r="D26" s="43">
        <v>-77.8818905088214</v>
      </c>
      <c r="E26" s="43" t="s">
        <v>98</v>
      </c>
      <c r="F26" s="44" t="s">
        <v>237</v>
      </c>
      <c r="G26" s="45" t="s">
        <v>238</v>
      </c>
      <c r="H26" s="46"/>
      <c r="I26" s="11" t="b">
        <v>1</v>
      </c>
      <c r="J26" s="47" t="str">
        <f t="shared" si="2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1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IFERROR(__xludf.DUMMYFUNCTION("""COMPUTED_VALUE"""),"Oppresso1983")</f>
        <v>Oppresso1983</v>
      </c>
      <c r="R26" s="49">
        <f>IFERROR(__xludf.DUMMYFUNCTION("""COMPUTED_VALUE"""),4634.0)</f>
        <v>4634</v>
      </c>
      <c r="S26" s="51">
        <v>44376.898423032406</v>
      </c>
    </row>
    <row r="27">
      <c r="A27" s="43">
        <v>4.0</v>
      </c>
      <c r="B27" s="43">
        <v>2.0</v>
      </c>
      <c r="C27" s="43">
        <v>39.5763364518134</v>
      </c>
      <c r="D27" s="43">
        <v>-77.8817040339391</v>
      </c>
      <c r="E27" s="43" t="s">
        <v>103</v>
      </c>
      <c r="F27" s="44" t="s">
        <v>132</v>
      </c>
      <c r="G27" s="45" t="s">
        <v>239</v>
      </c>
      <c r="H27" s="46"/>
      <c r="I27" s="11" t="b">
        <v>1</v>
      </c>
      <c r="J27" s="47" t="str">
        <f t="shared" si="2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1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IFERROR(__xludf.DUMMYFUNCTION("""COMPUTED_VALUE"""),"crscousins")</f>
        <v>crscousins</v>
      </c>
      <c r="R27" s="49">
        <f>IFERROR(__xludf.DUMMYFUNCTION("""COMPUTED_VALUE"""),4639.0)</f>
        <v>4639</v>
      </c>
      <c r="S27" s="49"/>
    </row>
    <row r="28">
      <c r="A28" s="43">
        <v>4.0</v>
      </c>
      <c r="B28" s="43">
        <v>3.0</v>
      </c>
      <c r="C28" s="43">
        <v>39.5763364516644</v>
      </c>
      <c r="D28" s="43">
        <v>-77.8815175590568</v>
      </c>
      <c r="E28" s="43" t="s">
        <v>98</v>
      </c>
      <c r="F28" s="44" t="s">
        <v>108</v>
      </c>
      <c r="G28" s="52" t="s">
        <v>240</v>
      </c>
      <c r="H28" s="46"/>
      <c r="I28" s="11" t="b">
        <v>1</v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1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IFERROR(__xludf.DUMMYFUNCTION("""COMPUTED_VALUE"""),"Bungle")</f>
        <v>Bungle</v>
      </c>
      <c r="R28" s="49">
        <f>IFERROR(__xludf.DUMMYFUNCTION("""COMPUTED_VALUE"""),10438.0)</f>
        <v>10438</v>
      </c>
      <c r="S28" s="51">
        <v>44698.60604537037</v>
      </c>
    </row>
    <row r="29">
      <c r="A29" s="43">
        <v>4.0</v>
      </c>
      <c r="B29" s="43">
        <v>4.0</v>
      </c>
      <c r="C29" s="43">
        <v>39.5763364515153</v>
      </c>
      <c r="D29" s="43">
        <v>-77.8813310841745</v>
      </c>
      <c r="E29" s="43" t="s">
        <v>98</v>
      </c>
      <c r="F29" s="44" t="s">
        <v>116</v>
      </c>
      <c r="G29" s="45" t="s">
        <v>241</v>
      </c>
      <c r="H29" s="46"/>
      <c r="I29" s="11" t="b">
        <v>1</v>
      </c>
      <c r="J29" s="47" t="str">
        <f t="shared" ref="J29:J38" si="3">if(I29=true,"",S29)</f>
        <v/>
      </c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1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IFERROR(__xludf.DUMMYFUNCTION("""COMPUTED_VALUE"""),"fsafranek")</f>
        <v>fsafranek</v>
      </c>
      <c r="R29" s="49">
        <f>IFERROR(__xludf.DUMMYFUNCTION("""COMPUTED_VALUE"""),6242.0)</f>
        <v>6242</v>
      </c>
      <c r="S29" s="49"/>
    </row>
    <row r="30">
      <c r="A30" s="43">
        <v>4.0</v>
      </c>
      <c r="B30" s="43">
        <v>5.0</v>
      </c>
      <c r="C30" s="43">
        <v>39.5763364513663</v>
      </c>
      <c r="D30" s="43">
        <v>-77.8811446092922</v>
      </c>
      <c r="E30" s="43" t="s">
        <v>98</v>
      </c>
      <c r="F30" s="44" t="s">
        <v>118</v>
      </c>
      <c r="G30" s="45" t="s">
        <v>242</v>
      </c>
      <c r="H30" s="44" t="s">
        <v>203</v>
      </c>
      <c r="I30" s="11" t="b">
        <v>1</v>
      </c>
      <c r="J30" s="47" t="str">
        <f t="shared" si="3"/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1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IFERROR(__xludf.DUMMYFUNCTION("""COMPUTED_VALUE"""),"rita85gto")</f>
        <v>rita85gto</v>
      </c>
      <c r="R30" s="49">
        <f>IFERROR(__xludf.DUMMYFUNCTION("""COMPUTED_VALUE"""),5095.0)</f>
        <v>5095</v>
      </c>
      <c r="S30" s="49"/>
    </row>
    <row r="31">
      <c r="A31" s="43">
        <v>4.0</v>
      </c>
      <c r="B31" s="43">
        <v>6.0</v>
      </c>
      <c r="C31" s="43">
        <v>39.5763364512173</v>
      </c>
      <c r="D31" s="43">
        <v>-77.8809581344099</v>
      </c>
      <c r="E31" s="43" t="s">
        <v>103</v>
      </c>
      <c r="F31" s="44" t="s">
        <v>243</v>
      </c>
      <c r="G31" s="45" t="s">
        <v>244</v>
      </c>
      <c r="H31" s="46"/>
      <c r="I31" s="11" t="b">
        <v>1</v>
      </c>
      <c r="J31" s="47" t="str">
        <f t="shared" si="3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1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IFERROR(__xludf.DUMMYFUNCTION("""COMPUTED_VALUE"""),"Aniara")</f>
        <v>Aniara</v>
      </c>
      <c r="R31" s="49">
        <f>IFERROR(__xludf.DUMMYFUNCTION("""COMPUTED_VALUE"""),17964.0)</f>
        <v>17964</v>
      </c>
      <c r="S31" s="49"/>
    </row>
    <row r="32">
      <c r="A32" s="55">
        <v>4.0</v>
      </c>
      <c r="B32" s="55">
        <v>7.0</v>
      </c>
      <c r="C32" s="11">
        <v>39.5763364510683</v>
      </c>
      <c r="D32" s="11">
        <v>-77.8807716595276</v>
      </c>
      <c r="E32" s="55" t="s">
        <v>98</v>
      </c>
      <c r="F32" s="44" t="s">
        <v>140</v>
      </c>
      <c r="G32" s="45" t="s">
        <v>245</v>
      </c>
      <c r="H32" s="46"/>
      <c r="I32" s="47" t="b">
        <v>0</v>
      </c>
      <c r="J32" s="47" t="str">
        <f t="shared" si="3"/>
        <v/>
      </c>
      <c r="K32" s="49" t="str">
        <f>IFERROR(__xludf.DUMMYFUNCTION("IF(M32=1,IFERROR(TRIM(IMPORTXML(G32, ""//p[@class='status-date']"")), ""Not deployed""),"""")"),"Deployed")</f>
        <v>Deployed</v>
      </c>
      <c r="L32" s="48"/>
      <c r="M32" s="48">
        <f t="shared" si="1"/>
        <v>1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IFERROR(__xludf.DUMMYFUNCTION("""COMPUTED_VALUE"""),"Fossillady")</f>
        <v>Fossillady</v>
      </c>
      <c r="R32" s="49">
        <f>IFERROR(__xludf.DUMMYFUNCTION("""COMPUTED_VALUE"""),5960.0)</f>
        <v>5960</v>
      </c>
      <c r="S32" s="49"/>
    </row>
    <row r="33">
      <c r="A33" s="55">
        <v>4.0</v>
      </c>
      <c r="B33" s="55">
        <v>8.0</v>
      </c>
      <c r="C33" s="11">
        <v>39.5763364509193</v>
      </c>
      <c r="D33" s="11">
        <v>-77.8805851846453</v>
      </c>
      <c r="E33" s="55" t="s">
        <v>98</v>
      </c>
      <c r="F33" s="46"/>
      <c r="G33" s="46"/>
      <c r="H33" s="46"/>
      <c r="I33" s="47" t="b">
        <v>0</v>
      </c>
      <c r="J33" s="47" t="str">
        <f t="shared" si="3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1"/>
        <v>0</v>
      </c>
      <c r="N33" s="49" t="str">
        <f>IFERROR(__xludf.DUMMYFUNCTION("split(G33,""/"")"),"#VALUE!")</f>
        <v>#VALUE!</v>
      </c>
      <c r="O33" s="50"/>
      <c r="P33" s="49"/>
      <c r="Q33" s="49"/>
      <c r="R33" s="49"/>
      <c r="S33" s="49"/>
    </row>
    <row r="34">
      <c r="A34" s="43">
        <v>5.0</v>
      </c>
      <c r="B34" s="43">
        <v>1.0</v>
      </c>
      <c r="C34" s="43">
        <v>39.5761927215169</v>
      </c>
      <c r="D34" s="43">
        <v>-77.8818905188743</v>
      </c>
      <c r="E34" s="43" t="s">
        <v>103</v>
      </c>
      <c r="F34" s="44" t="s">
        <v>246</v>
      </c>
      <c r="G34" s="65" t="s">
        <v>247</v>
      </c>
      <c r="H34" s="46"/>
      <c r="I34" s="11" t="b">
        <v>1</v>
      </c>
      <c r="J34" s="47" t="str">
        <f t="shared" si="3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1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IFERROR(__xludf.DUMMYFUNCTION("""COMPUTED_VALUE"""),"hems79")</f>
        <v>hems79</v>
      </c>
      <c r="R34" s="49">
        <f>IFERROR(__xludf.DUMMYFUNCTION("""COMPUTED_VALUE"""),8107.0)</f>
        <v>8107</v>
      </c>
      <c r="S34" s="49"/>
    </row>
    <row r="35">
      <c r="A35" s="43">
        <v>5.0</v>
      </c>
      <c r="B35" s="43">
        <v>2.0</v>
      </c>
      <c r="C35" s="43">
        <v>39.5761927213679</v>
      </c>
      <c r="D35" s="43">
        <v>-77.8817040443787</v>
      </c>
      <c r="E35" s="43" t="s">
        <v>98</v>
      </c>
      <c r="F35" s="44" t="s">
        <v>141</v>
      </c>
      <c r="G35" s="52" t="s">
        <v>248</v>
      </c>
      <c r="H35" s="46"/>
      <c r="I35" s="11" t="b">
        <v>1</v>
      </c>
      <c r="J35" s="47" t="str">
        <f t="shared" si="3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1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IFERROR(__xludf.DUMMYFUNCTION("""COMPUTED_VALUE"""),4228.0)</f>
        <v>4228</v>
      </c>
      <c r="S35" s="49"/>
    </row>
    <row r="36">
      <c r="A36" s="43">
        <v>5.0</v>
      </c>
      <c r="B36" s="43">
        <v>3.0</v>
      </c>
      <c r="C36" s="43">
        <v>39.5761927212189</v>
      </c>
      <c r="D36" s="43">
        <v>-77.881517569883</v>
      </c>
      <c r="E36" s="43" t="s">
        <v>103</v>
      </c>
      <c r="F36" s="44" t="s">
        <v>138</v>
      </c>
      <c r="G36" s="45" t="s">
        <v>249</v>
      </c>
      <c r="H36" s="46"/>
      <c r="I36" s="11" t="b">
        <v>1</v>
      </c>
      <c r="J36" s="47" t="str">
        <f t="shared" si="3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1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IFERROR(__xludf.DUMMYFUNCTION("""COMPUTED_VALUE"""),"Anetzet")</f>
        <v>Anetzet</v>
      </c>
      <c r="R36" s="49">
        <f>IFERROR(__xludf.DUMMYFUNCTION("""COMPUTED_VALUE"""),7654.0)</f>
        <v>7654</v>
      </c>
      <c r="S36" s="49"/>
    </row>
    <row r="37">
      <c r="A37" s="55">
        <v>5.0</v>
      </c>
      <c r="B37" s="55">
        <v>4.0</v>
      </c>
      <c r="C37" s="11">
        <v>39.5761927210699</v>
      </c>
      <c r="D37" s="11">
        <v>-77.8813310953874</v>
      </c>
      <c r="E37" s="55" t="s">
        <v>98</v>
      </c>
      <c r="F37" s="46"/>
      <c r="G37" s="46"/>
      <c r="H37" s="46"/>
      <c r="I37" s="47" t="b">
        <v>0</v>
      </c>
      <c r="J37" s="47" t="str">
        <f t="shared" si="3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1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43">
        <v>5.0</v>
      </c>
      <c r="B38" s="43">
        <v>5.0</v>
      </c>
      <c r="C38" s="43">
        <v>39.5761927209209</v>
      </c>
      <c r="D38" s="43">
        <v>-77.8811446208917</v>
      </c>
      <c r="E38" s="43" t="s">
        <v>98</v>
      </c>
      <c r="F38" s="44" t="s">
        <v>143</v>
      </c>
      <c r="G38" s="45" t="s">
        <v>250</v>
      </c>
      <c r="H38" s="46"/>
      <c r="I38" s="11" t="b">
        <v>1</v>
      </c>
      <c r="J38" s="47" t="str">
        <f t="shared" si="3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1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IFERROR(__xludf.DUMMYFUNCTION("""COMPUTED_VALUE"""),"CzPeet")</f>
        <v>CzPeet</v>
      </c>
      <c r="R38" s="49">
        <f>IFERROR(__xludf.DUMMYFUNCTION("""COMPUTED_VALUE"""),6763.0)</f>
        <v>6763</v>
      </c>
      <c r="S38" s="49"/>
    </row>
    <row r="39">
      <c r="A39" s="43">
        <v>5.0</v>
      </c>
      <c r="B39" s="43">
        <v>6.0</v>
      </c>
      <c r="C39" s="43">
        <v>39.5761927207719</v>
      </c>
      <c r="D39" s="43">
        <v>-77.8809581463961</v>
      </c>
      <c r="E39" s="43" t="s">
        <v>98</v>
      </c>
      <c r="F39" s="44" t="s">
        <v>251</v>
      </c>
      <c r="G39" s="45" t="s">
        <v>252</v>
      </c>
      <c r="H39" s="46"/>
      <c r="I39" s="11" t="b">
        <v>1</v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1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IFERROR(__xludf.DUMMYFUNCTION("""COMPUTED_VALUE"""),"CarlisleCachers")</f>
        <v>CarlisleCachers</v>
      </c>
      <c r="R39" s="49">
        <f>IFERROR(__xludf.DUMMYFUNCTION("""COMPUTED_VALUE"""),12535.0)</f>
        <v>12535</v>
      </c>
      <c r="S39" s="51">
        <v>44371.855214780095</v>
      </c>
    </row>
    <row r="40">
      <c r="A40" s="55">
        <v>5.0</v>
      </c>
      <c r="B40" s="55">
        <v>7.0</v>
      </c>
      <c r="C40" s="11">
        <v>39.5761927206229</v>
      </c>
      <c r="D40" s="11">
        <v>-77.8807716719004</v>
      </c>
      <c r="E40" s="55" t="s">
        <v>98</v>
      </c>
      <c r="F40" s="46"/>
      <c r="G40" s="46"/>
      <c r="H40" s="46"/>
      <c r="I40" s="47" t="b">
        <v>0</v>
      </c>
      <c r="J40" s="47" t="str">
        <f t="shared" ref="J40:J58" si="4">if(I40=true,"",S40)</f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1"/>
        <v>0</v>
      </c>
      <c r="N40" s="49" t="str">
        <f>IFERROR(__xludf.DUMMYFUNCTION("split(G40,""/"")"),"#VALUE!")</f>
        <v>#VALUE!</v>
      </c>
      <c r="O40" s="50"/>
      <c r="P40" s="49"/>
      <c r="Q40" s="49"/>
      <c r="R40" s="49"/>
      <c r="S40" s="49"/>
    </row>
    <row r="41">
      <c r="A41" s="55">
        <v>5.0</v>
      </c>
      <c r="B41" s="55">
        <v>8.0</v>
      </c>
      <c r="C41" s="11">
        <v>39.5761927204738</v>
      </c>
      <c r="D41" s="11">
        <v>-77.8805851974048</v>
      </c>
      <c r="E41" s="55" t="s">
        <v>98</v>
      </c>
      <c r="F41" s="46"/>
      <c r="G41" s="46"/>
      <c r="H41" s="46"/>
      <c r="I41" s="47" t="b">
        <v>0</v>
      </c>
      <c r="J41" s="47" t="str">
        <f t="shared" si="4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1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49"/>
    </row>
    <row r="42">
      <c r="A42" s="43">
        <v>6.0</v>
      </c>
      <c r="B42" s="43">
        <v>1.0</v>
      </c>
      <c r="C42" s="43">
        <v>39.5760489910715</v>
      </c>
      <c r="D42" s="43">
        <v>-77.8818905289272</v>
      </c>
      <c r="E42" s="43" t="s">
        <v>98</v>
      </c>
      <c r="F42" s="44" t="s">
        <v>149</v>
      </c>
      <c r="G42" s="45" t="s">
        <v>253</v>
      </c>
      <c r="H42" s="46"/>
      <c r="I42" s="11" t="b">
        <v>1</v>
      </c>
      <c r="J42" s="47" t="str">
        <f t="shared" si="4"/>
        <v/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1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IFERROR(__xludf.DUMMYFUNCTION("""COMPUTED_VALUE"""),7510.0)</f>
        <v>7510</v>
      </c>
      <c r="S42" s="49"/>
    </row>
    <row r="43">
      <c r="A43" s="43">
        <v>6.0</v>
      </c>
      <c r="B43" s="43">
        <v>2.0</v>
      </c>
      <c r="C43" s="43">
        <v>39.5760489909225</v>
      </c>
      <c r="D43" s="43">
        <v>-77.8817040548182</v>
      </c>
      <c r="E43" s="43" t="s">
        <v>98</v>
      </c>
      <c r="F43" s="44" t="s">
        <v>254</v>
      </c>
      <c r="G43" s="45" t="s">
        <v>255</v>
      </c>
      <c r="H43" s="46"/>
      <c r="I43" s="11" t="b">
        <v>1</v>
      </c>
      <c r="J43" s="47" t="str">
        <f t="shared" si="4"/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1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IFERROR(__xludf.DUMMYFUNCTION("""COMPUTED_VALUE"""),"wally62")</f>
        <v>wally62</v>
      </c>
      <c r="R43" s="49">
        <f>IFERROR(__xludf.DUMMYFUNCTION("""COMPUTED_VALUE"""),5752.0)</f>
        <v>5752</v>
      </c>
      <c r="S43" s="49"/>
    </row>
    <row r="44">
      <c r="A44" s="55">
        <v>6.0</v>
      </c>
      <c r="B44" s="55">
        <v>3.0</v>
      </c>
      <c r="C44" s="11">
        <v>39.5760489907735</v>
      </c>
      <c r="D44" s="11">
        <v>-77.8815175807092</v>
      </c>
      <c r="E44" s="55" t="s">
        <v>103</v>
      </c>
      <c r="F44" s="46"/>
      <c r="G44" s="46"/>
      <c r="H44" s="46"/>
      <c r="I44" s="47" t="b">
        <v>0</v>
      </c>
      <c r="J44" s="47" t="str">
        <f t="shared" si="4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1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11">
        <v>39.5760489906245</v>
      </c>
      <c r="D45" s="11">
        <v>-77.8813311066002</v>
      </c>
      <c r="E45" s="55" t="s">
        <v>98</v>
      </c>
      <c r="F45" s="46"/>
      <c r="G45" s="46"/>
      <c r="H45" s="46"/>
      <c r="I45" s="47" t="b">
        <v>0</v>
      </c>
      <c r="J45" s="47" t="str">
        <f t="shared" si="4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1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11">
        <v>39.5760489904755</v>
      </c>
      <c r="D46" s="11">
        <v>-77.8811446324912</v>
      </c>
      <c r="E46" s="55" t="s">
        <v>98</v>
      </c>
      <c r="F46" s="44"/>
      <c r="G46" s="46"/>
      <c r="H46" s="46"/>
      <c r="I46" s="47" t="b">
        <v>0</v>
      </c>
      <c r="J46" s="47" t="str">
        <f t="shared" si="4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1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11">
        <v>39.5760489903264</v>
      </c>
      <c r="D47" s="11">
        <v>-77.8809581583822</v>
      </c>
      <c r="E47" s="55" t="s">
        <v>103</v>
      </c>
      <c r="F47" s="46"/>
      <c r="G47" s="46"/>
      <c r="H47" s="46"/>
      <c r="I47" s="11" t="b">
        <v>0</v>
      </c>
      <c r="J47" s="47" t="str">
        <f t="shared" si="4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1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39.5760489901774</v>
      </c>
      <c r="D48" s="43">
        <v>-77.8807716842733</v>
      </c>
      <c r="E48" s="43" t="s">
        <v>98</v>
      </c>
      <c r="F48" s="44" t="s">
        <v>145</v>
      </c>
      <c r="G48" s="45" t="s">
        <v>256</v>
      </c>
      <c r="H48" s="46"/>
      <c r="I48" s="11" t="b">
        <v>1</v>
      </c>
      <c r="J48" s="47" t="str">
        <f t="shared" si="4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1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IFERROR(__xludf.DUMMYFUNCTION("""COMPUTED_VALUE"""),5975.0)</f>
        <v>5975</v>
      </c>
      <c r="S48" s="51">
        <v>44371.85542741898</v>
      </c>
    </row>
    <row r="49">
      <c r="A49" s="43">
        <v>6.0</v>
      </c>
      <c r="B49" s="43">
        <v>8.0</v>
      </c>
      <c r="C49" s="43">
        <v>39.5760489900284</v>
      </c>
      <c r="D49" s="43">
        <v>-77.8805852101643</v>
      </c>
      <c r="E49" s="43" t="s">
        <v>98</v>
      </c>
      <c r="F49" s="44" t="s">
        <v>147</v>
      </c>
      <c r="G49" s="45" t="s">
        <v>257</v>
      </c>
      <c r="H49" s="46"/>
      <c r="I49" s="11" t="b">
        <v>1</v>
      </c>
      <c r="J49" s="47" t="str">
        <f t="shared" si="4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1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IFERROR(__xludf.DUMMYFUNCTION("""COMPUTED_VALUE"""),24444.0)</f>
        <v>24444</v>
      </c>
      <c r="S49" s="51">
        <v>44371.85549640046</v>
      </c>
    </row>
    <row r="50">
      <c r="A50" s="43">
        <v>7.0</v>
      </c>
      <c r="B50" s="43">
        <v>2.0</v>
      </c>
      <c r="C50" s="43">
        <v>39.575905260477</v>
      </c>
      <c r="D50" s="43">
        <v>-77.8817040652578</v>
      </c>
      <c r="E50" s="43" t="s">
        <v>103</v>
      </c>
      <c r="F50" s="44" t="s">
        <v>227</v>
      </c>
      <c r="G50" s="45" t="s">
        <v>258</v>
      </c>
      <c r="H50" s="46"/>
      <c r="I50" s="11" t="b">
        <v>1</v>
      </c>
      <c r="J50" s="47" t="str">
        <f t="shared" si="4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1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IFERROR(__xludf.DUMMYFUNCTION("""COMPUTED_VALUE"""),"Whatsoverthere")</f>
        <v>Whatsoverthere</v>
      </c>
      <c r="R50" s="49">
        <f>IFERROR(__xludf.DUMMYFUNCTION("""COMPUTED_VALUE"""),8941.0)</f>
        <v>8941</v>
      </c>
      <c r="S50" s="51">
        <v>44376.89823689815</v>
      </c>
    </row>
    <row r="51">
      <c r="A51" s="55">
        <v>7.0</v>
      </c>
      <c r="B51" s="55">
        <v>3.0</v>
      </c>
      <c r="C51" s="11">
        <v>39.575905260328</v>
      </c>
      <c r="D51" s="11">
        <v>-77.8815175915355</v>
      </c>
      <c r="E51" s="55" t="s">
        <v>98</v>
      </c>
      <c r="F51" s="46"/>
      <c r="G51" s="46"/>
      <c r="H51" s="46"/>
      <c r="I51" s="47" t="b">
        <v>0</v>
      </c>
      <c r="J51" s="47" t="str">
        <f t="shared" si="4"/>
        <v/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1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11">
        <v>39.575905260179</v>
      </c>
      <c r="D52" s="11">
        <v>-77.8813311178132</v>
      </c>
      <c r="E52" s="55" t="s">
        <v>98</v>
      </c>
      <c r="F52" s="44"/>
      <c r="G52" s="46"/>
      <c r="H52" s="46"/>
      <c r="I52" s="47" t="b">
        <v>0</v>
      </c>
      <c r="J52" s="47" t="str">
        <f t="shared" si="4"/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1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11">
        <v>39.57590526003</v>
      </c>
      <c r="D53" s="11">
        <v>-77.8811446440909</v>
      </c>
      <c r="E53" s="55" t="s">
        <v>98</v>
      </c>
      <c r="F53" s="46"/>
      <c r="G53" s="46"/>
      <c r="H53" s="46"/>
      <c r="I53" s="11" t="b">
        <v>0</v>
      </c>
      <c r="J53" s="47" t="str">
        <f t="shared" si="4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1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11">
        <v>39.575905259881</v>
      </c>
      <c r="D54" s="11">
        <v>-77.8809581703685</v>
      </c>
      <c r="E54" s="55" t="s">
        <v>98</v>
      </c>
      <c r="F54" s="46"/>
      <c r="G54" s="46"/>
      <c r="H54" s="46"/>
      <c r="I54" s="47" t="b">
        <v>0</v>
      </c>
      <c r="J54" s="47" t="str">
        <f t="shared" si="4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1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39.575905259732</v>
      </c>
      <c r="D55" s="43">
        <v>-77.8807716966462</v>
      </c>
      <c r="E55" s="43" t="s">
        <v>98</v>
      </c>
      <c r="F55" s="44" t="s">
        <v>153</v>
      </c>
      <c r="G55" s="45" t="s">
        <v>259</v>
      </c>
      <c r="H55" s="46"/>
      <c r="I55" s="11" t="b">
        <v>1</v>
      </c>
      <c r="J55" s="47" t="str">
        <f t="shared" si="4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1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IFERROR(__xludf.DUMMYFUNCTION("""COMPUTED_VALUE"""),22769.0)</f>
        <v>22769</v>
      </c>
      <c r="S55" s="49"/>
    </row>
    <row r="56">
      <c r="A56" s="55">
        <v>8.0</v>
      </c>
      <c r="B56" s="55">
        <v>3.0</v>
      </c>
      <c r="C56" s="11">
        <v>39.5757615298826</v>
      </c>
      <c r="D56" s="11">
        <v>-77.8815176023615</v>
      </c>
      <c r="E56" s="55" t="s">
        <v>98</v>
      </c>
      <c r="F56" s="46"/>
      <c r="G56" s="46"/>
      <c r="H56" s="46"/>
      <c r="I56" s="47" t="b">
        <v>0</v>
      </c>
      <c r="J56" s="47" t="str">
        <f t="shared" si="4"/>
        <v/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1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55">
        <v>8.0</v>
      </c>
      <c r="B57" s="55">
        <v>4.0</v>
      </c>
      <c r="C57" s="11">
        <v>39.5757615297336</v>
      </c>
      <c r="D57" s="11">
        <v>-77.8813311290259</v>
      </c>
      <c r="E57" s="55" t="s">
        <v>103</v>
      </c>
      <c r="F57" s="46"/>
      <c r="G57" s="46"/>
      <c r="H57" s="46"/>
      <c r="I57" s="47" t="b">
        <v>0</v>
      </c>
      <c r="J57" s="47" t="str">
        <f t="shared" si="4"/>
        <v/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1"/>
        <v>0</v>
      </c>
      <c r="N57" s="49" t="str">
        <f>IFERROR(__xludf.DUMMYFUNCTION("split(G57,""/"")"),"#VALUE!")</f>
        <v>#VALUE!</v>
      </c>
      <c r="O57" s="50"/>
      <c r="P57" s="49"/>
      <c r="Q57" s="49"/>
      <c r="R57" s="49"/>
      <c r="S57" s="49"/>
    </row>
    <row r="58">
      <c r="A58" s="55">
        <v>8.0</v>
      </c>
      <c r="B58" s="55">
        <v>5.0</v>
      </c>
      <c r="C58" s="11">
        <v>39.5757615295846</v>
      </c>
      <c r="D58" s="11">
        <v>-77.8811446556902</v>
      </c>
      <c r="E58" s="55" t="s">
        <v>103</v>
      </c>
      <c r="F58" s="46"/>
      <c r="G58" s="46"/>
      <c r="H58" s="46"/>
      <c r="I58" s="47" t="b">
        <v>0</v>
      </c>
      <c r="J58" s="47" t="str">
        <f t="shared" si="4"/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1"/>
        <v>0</v>
      </c>
      <c r="N58" s="49" t="str">
        <f>IFERROR(__xludf.DUMMYFUNCTION("split(G58,""/"")"),"#VALUE!")</f>
        <v>#VALUE!</v>
      </c>
      <c r="O58" s="50"/>
      <c r="P58" s="49"/>
      <c r="Q58" s="49"/>
      <c r="R58" s="49"/>
      <c r="S58" s="49"/>
    </row>
    <row r="59">
      <c r="A59" s="55">
        <v>8.0</v>
      </c>
      <c r="B59" s="55">
        <v>6.0</v>
      </c>
      <c r="C59" s="11">
        <v>39.5757615294355</v>
      </c>
      <c r="D59" s="11">
        <v>-77.8809581823546</v>
      </c>
      <c r="E59" s="55" t="s">
        <v>98</v>
      </c>
      <c r="F59" s="44"/>
      <c r="G59" s="56"/>
      <c r="H59" s="46"/>
      <c r="I59" s="47" t="b">
        <v>0</v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1"/>
        <v>0</v>
      </c>
      <c r="N59" s="49" t="str">
        <f>IFERROR(__xludf.DUMMYFUNCTION("split(G59,""/"")"),"#VALUE!")</f>
        <v>#VALUE!</v>
      </c>
      <c r="O59" s="57"/>
      <c r="P59" s="49"/>
      <c r="Q59" s="49"/>
      <c r="R59" s="49"/>
      <c r="S59" s="51">
        <v>44698.606179421295</v>
      </c>
    </row>
    <row r="61" hidden="1">
      <c r="F61" s="47">
        <f t="shared" ref="F61:G61" si="5">COUNTIF(F8:F59,"")</f>
        <v>16</v>
      </c>
      <c r="G61" s="47">
        <f t="shared" si="5"/>
        <v>16</v>
      </c>
      <c r="I61" s="47">
        <f>COUNTIF(I8:I59,TRUE)</f>
        <v>35</v>
      </c>
    </row>
    <row r="62" hidden="1"/>
    <row r="63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5"/>
    <hyperlink r:id="rId37" ref="O25"/>
    <hyperlink r:id="rId38" ref="G26"/>
    <hyperlink r:id="rId39" ref="O26"/>
    <hyperlink r:id="rId40" ref="G27"/>
    <hyperlink r:id="rId41" ref="O27"/>
    <hyperlink r:id="rId42" ref="G28"/>
    <hyperlink r:id="rId43" ref="O28"/>
    <hyperlink r:id="rId44" ref="G29"/>
    <hyperlink r:id="rId45" ref="O29"/>
    <hyperlink r:id="rId46" ref="G30"/>
    <hyperlink r:id="rId47" ref="O30"/>
    <hyperlink r:id="rId48" ref="G31"/>
    <hyperlink r:id="rId49" ref="O31"/>
    <hyperlink r:id="rId50" ref="G32"/>
    <hyperlink r:id="rId51" ref="O32"/>
    <hyperlink r:id="rId52" ref="O33"/>
    <hyperlink r:id="rId53" ref="G34"/>
    <hyperlink r:id="rId54" ref="O34"/>
    <hyperlink r:id="rId55" ref="G35"/>
    <hyperlink r:id="rId56" ref="O35"/>
    <hyperlink r:id="rId57" ref="G36"/>
    <hyperlink r:id="rId58" ref="O36"/>
    <hyperlink r:id="rId59" ref="O37"/>
    <hyperlink r:id="rId60" ref="G38"/>
    <hyperlink r:id="rId61" ref="O38"/>
    <hyperlink r:id="rId62" ref="G39"/>
    <hyperlink r:id="rId63" ref="O39"/>
    <hyperlink r:id="rId64" ref="O40"/>
    <hyperlink r:id="rId65" ref="O41"/>
    <hyperlink r:id="rId66" ref="G42"/>
    <hyperlink r:id="rId67" ref="O42"/>
    <hyperlink r:id="rId68" ref="G43"/>
    <hyperlink r:id="rId69" ref="O43"/>
    <hyperlink r:id="rId70" ref="O44"/>
    <hyperlink r:id="rId71" ref="O45"/>
    <hyperlink r:id="rId72" ref="O46"/>
    <hyperlink r:id="rId73" ref="O47"/>
    <hyperlink r:id="rId74" ref="G48"/>
    <hyperlink r:id="rId75" ref="O48"/>
    <hyperlink r:id="rId76" ref="G49"/>
    <hyperlink r:id="rId77" ref="O49"/>
    <hyperlink r:id="rId78" ref="G50"/>
    <hyperlink r:id="rId79" ref="O50"/>
    <hyperlink r:id="rId80" ref="O51"/>
    <hyperlink r:id="rId81" ref="O52"/>
    <hyperlink r:id="rId82" ref="O53"/>
    <hyperlink r:id="rId83" ref="O54"/>
    <hyperlink r:id="rId84" ref="G55"/>
    <hyperlink r:id="rId85" ref="O55"/>
    <hyperlink r:id="rId86" ref="O56"/>
    <hyperlink r:id="rId87" ref="O57"/>
    <hyperlink r:id="rId88" ref="O58"/>
  </hyperlinks>
  <drawing r:id="rId89"/>
  <tableParts count="1">
    <tablePart r:id="rId91"/>
  </tableParts>
</worksheet>
</file>

<file path=xl/worksheets/sheet4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34A85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6.88"/>
    <col customWidth="1" min="2" max="2" width="7.75"/>
    <col customWidth="1" min="3" max="3" width="15.88"/>
    <col customWidth="1" min="4" max="4" width="15.0"/>
    <col customWidth="1" min="5" max="5" width="17.5"/>
    <col customWidth="1" min="6" max="6" width="13.88"/>
    <col customWidth="1" min="7" max="7" width="41.88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46</v>
      </c>
      <c r="D1" s="37" t="s">
        <v>47</v>
      </c>
      <c r="E1" s="2" t="s">
        <v>79</v>
      </c>
      <c r="F1" s="24" t="s">
        <v>80</v>
      </c>
      <c r="G1" s="172" t="s">
        <v>2067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2068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52</v>
      </c>
      <c r="G5" s="39">
        <f>F5/52</f>
        <v>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111">
        <v>51.3210296004013</v>
      </c>
      <c r="D8" s="149">
        <v>4.88850783395378</v>
      </c>
      <c r="E8" s="43" t="s">
        <v>98</v>
      </c>
      <c r="F8" s="44" t="s">
        <v>161</v>
      </c>
      <c r="G8" s="45" t="s">
        <v>2069</v>
      </c>
      <c r="H8" s="46"/>
      <c r="I8" s="11" t="b">
        <v>1</v>
      </c>
      <c r="J8" s="47" t="str">
        <f t="shared" ref="J8:J59" si="1">if(F8="","",if(I8=true,"",S8))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IFERROR(__xludf.DUMMYFUNCTION("""COMPUTED_VALUE"""),3124.0)</f>
        <v>3124</v>
      </c>
      <c r="S8" s="51">
        <v>44062.90757768518</v>
      </c>
    </row>
    <row r="9">
      <c r="A9" s="43">
        <v>1.0</v>
      </c>
      <c r="B9" s="43">
        <v>4.0</v>
      </c>
      <c r="C9" s="111">
        <v>51.3210296001761</v>
      </c>
      <c r="D9" s="149">
        <v>4.88873781879556</v>
      </c>
      <c r="E9" s="43" t="s">
        <v>98</v>
      </c>
      <c r="F9" s="44" t="s">
        <v>101</v>
      </c>
      <c r="G9" s="45" t="s">
        <v>2070</v>
      </c>
      <c r="H9" s="46"/>
      <c r="I9" s="11" t="b">
        <v>1</v>
      </c>
      <c r="J9" s="47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IFERROR(__xludf.DUMMYFUNCTION("""COMPUTED_VALUE"""),4397.0)</f>
        <v>4397</v>
      </c>
      <c r="S9" s="51">
        <v>44062.672600185186</v>
      </c>
    </row>
    <row r="10">
      <c r="A10" s="43">
        <v>1.0</v>
      </c>
      <c r="B10" s="43">
        <v>5.0</v>
      </c>
      <c r="C10" s="111">
        <v>51.3210295999509</v>
      </c>
      <c r="D10" s="149">
        <v>4.88896780363734</v>
      </c>
      <c r="E10" s="43" t="s">
        <v>103</v>
      </c>
      <c r="F10" s="44" t="s">
        <v>1119</v>
      </c>
      <c r="G10" s="45" t="s">
        <v>2071</v>
      </c>
      <c r="H10" s="46"/>
      <c r="I10" s="11" t="b">
        <v>1</v>
      </c>
      <c r="J10" s="47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IFERROR(__xludf.DUMMYFUNCTION("""COMPUTED_VALUE"""),2458.0)</f>
        <v>2458</v>
      </c>
      <c r="S10" s="51">
        <v>44062.672720393515</v>
      </c>
    </row>
    <row r="11">
      <c r="A11" s="43">
        <v>1.0</v>
      </c>
      <c r="B11" s="43">
        <v>6.0</v>
      </c>
      <c r="C11" s="111">
        <v>51.3210295997257</v>
      </c>
      <c r="D11" s="149">
        <v>4.88919778847912</v>
      </c>
      <c r="E11" s="43" t="s">
        <v>103</v>
      </c>
      <c r="F11" s="44" t="s">
        <v>217</v>
      </c>
      <c r="G11" s="45" t="s">
        <v>2072</v>
      </c>
      <c r="H11" s="46"/>
      <c r="I11" s="11" t="b">
        <v>1</v>
      </c>
      <c r="J11" s="47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IFERROR(__xludf.DUMMYFUNCTION("""COMPUTED_VALUE"""),3159.0)</f>
        <v>3159</v>
      </c>
      <c r="S11" s="51">
        <v>44062.67274944445</v>
      </c>
    </row>
    <row r="12">
      <c r="A12" s="43">
        <v>2.0</v>
      </c>
      <c r="B12" s="43">
        <v>2.0</v>
      </c>
      <c r="C12" s="111">
        <v>51.320885870181</v>
      </c>
      <c r="D12" s="149">
        <v>4.88827782965131</v>
      </c>
      <c r="E12" s="43" t="s">
        <v>98</v>
      </c>
      <c r="F12" s="44" t="s">
        <v>2073</v>
      </c>
      <c r="G12" s="45" t="s">
        <v>2074</v>
      </c>
      <c r="H12" s="44"/>
      <c r="I12" s="11" t="b">
        <v>1</v>
      </c>
      <c r="J12" s="47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IFERROR(__xludf.DUMMYFUNCTION("""COMPUTED_VALUE"""),"OdinsFiRe")</f>
        <v>OdinsFiRe</v>
      </c>
      <c r="R12" s="49">
        <f>IFERROR(__xludf.DUMMYFUNCTION("""COMPUTED_VALUE"""),1642.0)</f>
        <v>1642</v>
      </c>
      <c r="S12" s="51">
        <v>44062.907500104164</v>
      </c>
    </row>
    <row r="13">
      <c r="A13" s="43">
        <v>2.0</v>
      </c>
      <c r="B13" s="43">
        <v>3.0</v>
      </c>
      <c r="C13" s="111">
        <v>51.3208858699558</v>
      </c>
      <c r="D13" s="149">
        <v>4.88850781377232</v>
      </c>
      <c r="E13" s="43" t="s">
        <v>98</v>
      </c>
      <c r="F13" s="44" t="s">
        <v>122</v>
      </c>
      <c r="G13" s="150" t="s">
        <v>2075</v>
      </c>
      <c r="H13" s="46"/>
      <c r="I13" s="11" t="b">
        <v>1</v>
      </c>
      <c r="J13" s="47" t="str">
        <f t="shared" si="1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IFERROR(__xludf.DUMMYFUNCTION("""COMPUTED_VALUE"""),"Drazoria")</f>
        <v>Drazoria</v>
      </c>
      <c r="R13" s="49">
        <f>IFERROR(__xludf.DUMMYFUNCTION("""COMPUTED_VALUE"""),793.0)</f>
        <v>793</v>
      </c>
      <c r="S13" s="51">
        <v>44062.90710287037</v>
      </c>
    </row>
    <row r="14">
      <c r="A14" s="43">
        <v>2.0</v>
      </c>
      <c r="B14" s="43">
        <v>4.0</v>
      </c>
      <c r="C14" s="111">
        <v>51.3208858697306</v>
      </c>
      <c r="D14" s="149">
        <v>4.88873779789332</v>
      </c>
      <c r="E14" s="43" t="s">
        <v>98</v>
      </c>
      <c r="F14" s="44" t="s">
        <v>124</v>
      </c>
      <c r="G14" s="45" t="s">
        <v>2076</v>
      </c>
      <c r="H14" s="46"/>
      <c r="I14" s="11" t="b">
        <v>1</v>
      </c>
      <c r="J14" s="47" t="str">
        <f t="shared" si="1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IFERROR(__xludf.DUMMYFUNCTION("""COMPUTED_VALUE"""),"Tinake1309")</f>
        <v>Tinake1309</v>
      </c>
      <c r="R14" s="49">
        <f>IFERROR(__xludf.DUMMYFUNCTION("""COMPUTED_VALUE"""),768.0)</f>
        <v>768</v>
      </c>
      <c r="S14" s="51">
        <v>44062.91872569444</v>
      </c>
    </row>
    <row r="15">
      <c r="A15" s="43">
        <v>2.0</v>
      </c>
      <c r="B15" s="43">
        <v>5.0</v>
      </c>
      <c r="C15" s="111">
        <v>51.3208858695054</v>
      </c>
      <c r="D15" s="149">
        <v>4.88896778201433</v>
      </c>
      <c r="E15" s="43" t="s">
        <v>103</v>
      </c>
      <c r="F15" s="44" t="s">
        <v>126</v>
      </c>
      <c r="G15" s="45" t="s">
        <v>2077</v>
      </c>
      <c r="H15" s="46"/>
      <c r="I15" s="11" t="b">
        <v>1</v>
      </c>
      <c r="J15" s="47" t="str">
        <f t="shared" si="1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IFERROR(__xludf.DUMMYFUNCTION("""COMPUTED_VALUE"""),"Berg14")</f>
        <v>Berg14</v>
      </c>
      <c r="R15" s="49">
        <f>IFERROR(__xludf.DUMMYFUNCTION("""COMPUTED_VALUE"""),613.0)</f>
        <v>613</v>
      </c>
      <c r="S15" s="51">
        <v>44062.90766207176</v>
      </c>
    </row>
    <row r="16">
      <c r="A16" s="43">
        <v>2.0</v>
      </c>
      <c r="B16" s="43">
        <v>6.0</v>
      </c>
      <c r="C16" s="111">
        <v>51.3208858692802</v>
      </c>
      <c r="D16" s="149">
        <v>4.88919776613533</v>
      </c>
      <c r="E16" s="43" t="s">
        <v>98</v>
      </c>
      <c r="F16" s="44" t="s">
        <v>128</v>
      </c>
      <c r="G16" s="45" t="s">
        <v>2078</v>
      </c>
      <c r="H16" s="46"/>
      <c r="I16" s="11" t="b">
        <v>1</v>
      </c>
      <c r="J16" s="47" t="str">
        <f t="shared" si="1"/>
        <v/>
      </c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IFERROR(__xludf.DUMMYFUNCTION("""COMPUTED_VALUE"""),"Niks13")</f>
        <v>Niks13</v>
      </c>
      <c r="R16" s="49">
        <f>IFERROR(__xludf.DUMMYFUNCTION("""COMPUTED_VALUE"""),608.0)</f>
        <v>608</v>
      </c>
      <c r="S16" s="51">
        <v>44062.90774793981</v>
      </c>
    </row>
    <row r="17">
      <c r="A17" s="43">
        <v>2.0</v>
      </c>
      <c r="B17" s="43">
        <v>7.0</v>
      </c>
      <c r="C17" s="111">
        <v>51.320885869055</v>
      </c>
      <c r="D17" s="149">
        <v>4.88942775025634</v>
      </c>
      <c r="E17" s="43" t="s">
        <v>98</v>
      </c>
      <c r="F17" s="44" t="s">
        <v>178</v>
      </c>
      <c r="G17" s="45" t="s">
        <v>2079</v>
      </c>
      <c r="H17" s="46"/>
      <c r="I17" s="11" t="b">
        <v>1</v>
      </c>
      <c r="J17" s="47" t="str">
        <f t="shared" si="1"/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IFERROR(__xludf.DUMMYFUNCTION("""COMPUTED_VALUE"""),"lison55")</f>
        <v>lison55</v>
      </c>
      <c r="R17" s="49">
        <f>IFERROR(__xludf.DUMMYFUNCTION("""COMPUTED_VALUE"""),5414.0)</f>
        <v>5414</v>
      </c>
      <c r="S17" s="49"/>
    </row>
    <row r="18">
      <c r="A18" s="43">
        <v>3.0</v>
      </c>
      <c r="B18" s="43">
        <v>1.0</v>
      </c>
      <c r="C18" s="111">
        <v>51.3207421399608</v>
      </c>
      <c r="D18" s="149">
        <v>4.88804782679585</v>
      </c>
      <c r="E18" s="43" t="s">
        <v>98</v>
      </c>
      <c r="F18" s="44" t="s">
        <v>114</v>
      </c>
      <c r="G18" s="45" t="s">
        <v>2080</v>
      </c>
      <c r="H18" s="44"/>
      <c r="I18" s="11" t="b">
        <v>1</v>
      </c>
      <c r="J18" s="47" t="str">
        <f t="shared" si="1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IFERROR(__xludf.DUMMYFUNCTION("""COMPUTED_VALUE"""),"J1Huisman")</f>
        <v>J1Huisman</v>
      </c>
      <c r="R18" s="49">
        <f>IFERROR(__xludf.DUMMYFUNCTION("""COMPUTED_VALUE"""),11439.0)</f>
        <v>11439</v>
      </c>
      <c r="S18" s="51">
        <v>44062.90774793981</v>
      </c>
    </row>
    <row r="19">
      <c r="A19" s="43">
        <v>3.0</v>
      </c>
      <c r="B19" s="43">
        <v>2.0</v>
      </c>
      <c r="C19" s="111">
        <v>51.3207421397356</v>
      </c>
      <c r="D19" s="149">
        <v>4.8882778101962</v>
      </c>
      <c r="E19" s="43" t="s">
        <v>98</v>
      </c>
      <c r="F19" s="44" t="s">
        <v>169</v>
      </c>
      <c r="G19" s="45" t="s">
        <v>2081</v>
      </c>
      <c r="H19" s="46"/>
      <c r="I19" s="11" t="b">
        <v>1</v>
      </c>
      <c r="J19" s="47" t="str">
        <f t="shared" si="1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IFERROR(__xludf.DUMMYFUNCTION("""COMPUTED_VALUE"""),"Pinkeltje")</f>
        <v>Pinkeltje</v>
      </c>
      <c r="R19" s="49">
        <f>IFERROR(__xludf.DUMMYFUNCTION("""COMPUTED_VALUE"""),1302.0)</f>
        <v>1302</v>
      </c>
      <c r="S19" s="49"/>
    </row>
    <row r="20">
      <c r="A20" s="43">
        <v>3.0</v>
      </c>
      <c r="B20" s="43">
        <v>3.0</v>
      </c>
      <c r="C20" s="111">
        <v>51.3207421395104</v>
      </c>
      <c r="D20" s="149">
        <v>4.88850779359654</v>
      </c>
      <c r="E20" s="43" t="s">
        <v>98</v>
      </c>
      <c r="F20" s="44" t="s">
        <v>926</v>
      </c>
      <c r="G20" s="45" t="s">
        <v>2082</v>
      </c>
      <c r="H20" s="44"/>
      <c r="I20" s="11" t="b">
        <v>1</v>
      </c>
      <c r="J20" s="47" t="str">
        <f t="shared" si="1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IFERROR(__xludf.DUMMYFUNCTION("""COMPUTED_VALUE"""),"Lanyasummer")</f>
        <v>Lanyasummer</v>
      </c>
      <c r="R20" s="49">
        <f>IFERROR(__xludf.DUMMYFUNCTION("""COMPUTED_VALUE"""),4430.0)</f>
        <v>4430</v>
      </c>
      <c r="S20" s="51">
        <v>44062.90774793981</v>
      </c>
    </row>
    <row r="21">
      <c r="A21" s="43">
        <v>3.0</v>
      </c>
      <c r="B21" s="43">
        <v>4.0</v>
      </c>
      <c r="C21" s="111">
        <v>51.3207421392852</v>
      </c>
      <c r="D21" s="149">
        <v>4.88873777699689</v>
      </c>
      <c r="E21" s="43" t="s">
        <v>98</v>
      </c>
      <c r="F21" s="44" t="s">
        <v>950</v>
      </c>
      <c r="G21" s="45" t="s">
        <v>2083</v>
      </c>
      <c r="H21" s="44"/>
      <c r="I21" s="11" t="b">
        <v>1</v>
      </c>
      <c r="J21" s="47" t="str">
        <f t="shared" si="1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IFERROR(__xludf.DUMMYFUNCTION("""COMPUTED_VALUE"""),"babyw")</f>
        <v>babyw</v>
      </c>
      <c r="R21" s="49">
        <f>IFERROR(__xludf.DUMMYFUNCTION("""COMPUTED_VALUE"""),3146.0)</f>
        <v>3146</v>
      </c>
      <c r="S21" s="49"/>
    </row>
    <row r="22">
      <c r="A22" s="43">
        <v>3.0</v>
      </c>
      <c r="B22" s="43">
        <v>5.0</v>
      </c>
      <c r="C22" s="111">
        <v>51.32074213906</v>
      </c>
      <c r="D22" s="149">
        <v>4.88896776039723</v>
      </c>
      <c r="E22" s="43" t="s">
        <v>98</v>
      </c>
      <c r="F22" s="44" t="s">
        <v>116</v>
      </c>
      <c r="G22" s="45" t="s">
        <v>2084</v>
      </c>
      <c r="H22" s="46"/>
      <c r="I22" s="11" t="b">
        <v>1</v>
      </c>
      <c r="J22" s="47" t="str">
        <f t="shared" si="1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IFERROR(__xludf.DUMMYFUNCTION("""COMPUTED_VALUE"""),"fsafranek")</f>
        <v>fsafranek</v>
      </c>
      <c r="R22" s="49">
        <f>IFERROR(__xludf.DUMMYFUNCTION("""COMPUTED_VALUE"""),4255.0)</f>
        <v>4255</v>
      </c>
      <c r="S22" s="49"/>
    </row>
    <row r="23">
      <c r="A23" s="43">
        <v>3.0</v>
      </c>
      <c r="B23" s="43">
        <v>6.0</v>
      </c>
      <c r="C23" s="111">
        <v>51.3207421388348</v>
      </c>
      <c r="D23" s="149">
        <v>4.88919774379758</v>
      </c>
      <c r="E23" s="43" t="s">
        <v>98</v>
      </c>
      <c r="F23" s="44" t="s">
        <v>120</v>
      </c>
      <c r="G23" s="45" t="s">
        <v>2085</v>
      </c>
      <c r="H23" s="46"/>
      <c r="I23" s="11" t="b">
        <v>1</v>
      </c>
      <c r="J23" s="47" t="str">
        <f t="shared" si="1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IFERROR(__xludf.DUMMYFUNCTION("""COMPUTED_VALUE"""),"xrayneex")</f>
        <v>xrayneex</v>
      </c>
      <c r="R23" s="49">
        <f>IFERROR(__xludf.DUMMYFUNCTION("""COMPUTED_VALUE"""),1443.0)</f>
        <v>1443</v>
      </c>
      <c r="S23" s="49"/>
    </row>
    <row r="24">
      <c r="A24" s="43">
        <v>3.0</v>
      </c>
      <c r="B24" s="43">
        <v>7.0</v>
      </c>
      <c r="C24" s="111">
        <v>51.3207421386096</v>
      </c>
      <c r="D24" s="149">
        <v>4.88942772719792</v>
      </c>
      <c r="E24" s="43" t="s">
        <v>98</v>
      </c>
      <c r="F24" s="44" t="s">
        <v>940</v>
      </c>
      <c r="G24" s="45" t="s">
        <v>2086</v>
      </c>
      <c r="H24" s="46"/>
      <c r="I24" s="11" t="b">
        <v>1</v>
      </c>
      <c r="J24" s="47" t="str">
        <f t="shared" si="1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IFERROR(__xludf.DUMMYFUNCTION("""COMPUTED_VALUE"""),"WiseOldWizard")</f>
        <v>WiseOldWizard</v>
      </c>
      <c r="R24" s="49">
        <f>IFERROR(__xludf.DUMMYFUNCTION("""COMPUTED_VALUE"""),4011.0)</f>
        <v>4011</v>
      </c>
      <c r="S24" s="51">
        <v>44062.67358274305</v>
      </c>
    </row>
    <row r="25">
      <c r="A25" s="43">
        <v>3.0</v>
      </c>
      <c r="B25" s="43">
        <v>8.0</v>
      </c>
      <c r="C25" s="111">
        <v>51.3207421383844</v>
      </c>
      <c r="D25" s="149">
        <v>4.88965771059827</v>
      </c>
      <c r="E25" s="43" t="s">
        <v>98</v>
      </c>
      <c r="F25" s="44" t="s">
        <v>920</v>
      </c>
      <c r="G25" s="45" t="s">
        <v>2087</v>
      </c>
      <c r="H25" s="46"/>
      <c r="I25" s="11" t="b">
        <v>1</v>
      </c>
      <c r="J25" s="47" t="str">
        <f t="shared" si="1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IFERROR(__xludf.DUMMYFUNCTION("""COMPUTED_VALUE"""),"FromTheTardis")</f>
        <v>FromTheTardis</v>
      </c>
      <c r="R25" s="49">
        <f>IFERROR(__xludf.DUMMYFUNCTION("""COMPUTED_VALUE"""),1416.0)</f>
        <v>1416</v>
      </c>
      <c r="S25" s="49"/>
    </row>
    <row r="26">
      <c r="A26" s="43">
        <v>4.0</v>
      </c>
      <c r="B26" s="43">
        <v>1.0</v>
      </c>
      <c r="C26" s="111">
        <v>51.3205984095154</v>
      </c>
      <c r="D26" s="149">
        <v>4.88804780805617</v>
      </c>
      <c r="E26" s="43" t="s">
        <v>98</v>
      </c>
      <c r="F26" s="44" t="s">
        <v>157</v>
      </c>
      <c r="G26" s="45" t="s">
        <v>2088</v>
      </c>
      <c r="H26" s="46"/>
      <c r="I26" s="11" t="b">
        <v>1</v>
      </c>
      <c r="J26" s="47" t="str">
        <f t="shared" si="1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IFERROR(__xludf.DUMMYFUNCTION("""COMPUTED_VALUE"""),"barefootguru")</f>
        <v>barefootguru</v>
      </c>
      <c r="R26" s="49">
        <f>IFERROR(__xludf.DUMMYFUNCTION("""COMPUTED_VALUE"""),3158.0)</f>
        <v>3158</v>
      </c>
      <c r="S26" s="49"/>
    </row>
    <row r="27">
      <c r="A27" s="43">
        <v>4.0</v>
      </c>
      <c r="B27" s="43">
        <v>2.0</v>
      </c>
      <c r="C27" s="111">
        <v>51.3205984092902</v>
      </c>
      <c r="D27" s="149">
        <v>4.88827779073585</v>
      </c>
      <c r="E27" s="43" t="s">
        <v>103</v>
      </c>
      <c r="F27" s="44" t="s">
        <v>134</v>
      </c>
      <c r="G27" s="45" t="s">
        <v>2089</v>
      </c>
      <c r="H27" s="46"/>
      <c r="I27" s="11" t="b">
        <v>1</v>
      </c>
      <c r="J27" s="47" t="str">
        <f t="shared" si="1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IFERROR(__xludf.DUMMYFUNCTION("""COMPUTED_VALUE"""),"Wangotango")</f>
        <v>Wangotango</v>
      </c>
      <c r="R27" s="49">
        <f>IFERROR(__xludf.DUMMYFUNCTION("""COMPUTED_VALUE"""),1284.0)</f>
        <v>1284</v>
      </c>
      <c r="S27" s="49"/>
    </row>
    <row r="28">
      <c r="A28" s="43">
        <v>4.0</v>
      </c>
      <c r="B28" s="43">
        <v>3.0</v>
      </c>
      <c r="C28" s="111">
        <v>51.320598409065</v>
      </c>
      <c r="D28" s="149">
        <v>4.88850777341554</v>
      </c>
      <c r="E28" s="43" t="s">
        <v>98</v>
      </c>
      <c r="F28" s="44" t="s">
        <v>190</v>
      </c>
      <c r="G28" s="52" t="s">
        <v>2090</v>
      </c>
      <c r="H28" s="46"/>
      <c r="I28" s="11" t="b">
        <v>1</v>
      </c>
      <c r="J28" s="47" t="str">
        <f t="shared" si="1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IFERROR(__xludf.DUMMYFUNCTION("""COMPUTED_VALUE"""),"GroteSufferd")</f>
        <v>GroteSufferd</v>
      </c>
      <c r="R28" s="49">
        <f>IFERROR(__xludf.DUMMYFUNCTION("""COMPUTED_VALUE"""),410.0)</f>
        <v>410</v>
      </c>
      <c r="S28" s="49"/>
    </row>
    <row r="29">
      <c r="A29" s="43">
        <v>4.0</v>
      </c>
      <c r="B29" s="43">
        <v>4.0</v>
      </c>
      <c r="C29" s="111">
        <v>51.3205984088398</v>
      </c>
      <c r="D29" s="149">
        <v>4.88873775609522</v>
      </c>
      <c r="E29" s="43" t="s">
        <v>98</v>
      </c>
      <c r="F29" s="44" t="s">
        <v>188</v>
      </c>
      <c r="G29" s="45" t="s">
        <v>2091</v>
      </c>
      <c r="H29" s="46"/>
      <c r="I29" s="11" t="b">
        <v>1</v>
      </c>
      <c r="J29" s="47" t="str">
        <f t="shared" si="1"/>
        <v/>
      </c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IFERROR(__xludf.DUMMYFUNCTION("""COMPUTED_VALUE"""),2923.0)</f>
        <v>2923</v>
      </c>
      <c r="S29" s="49"/>
    </row>
    <row r="30">
      <c r="A30" s="43">
        <v>4.0</v>
      </c>
      <c r="B30" s="43">
        <v>5.0</v>
      </c>
      <c r="C30" s="111">
        <v>51.3205984086146</v>
      </c>
      <c r="D30" s="149">
        <v>4.8889677387749</v>
      </c>
      <c r="E30" s="43" t="s">
        <v>98</v>
      </c>
      <c r="F30" s="44" t="s">
        <v>823</v>
      </c>
      <c r="G30" s="45" t="s">
        <v>2092</v>
      </c>
      <c r="H30" s="46"/>
      <c r="I30" s="11" t="b">
        <v>1</v>
      </c>
      <c r="J30" s="47" t="str">
        <f t="shared" si="1"/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IFERROR(__xludf.DUMMYFUNCTION("""COMPUTED_VALUE"""),"denali0407")</f>
        <v>denali0407</v>
      </c>
      <c r="R30" s="49">
        <f>IFERROR(__xludf.DUMMYFUNCTION("""COMPUTED_VALUE"""),14437.0)</f>
        <v>14437</v>
      </c>
      <c r="S30" s="49"/>
    </row>
    <row r="31">
      <c r="A31" s="43">
        <v>4.0</v>
      </c>
      <c r="B31" s="43">
        <v>6.0</v>
      </c>
      <c r="C31" s="111">
        <v>51.3205984083894</v>
      </c>
      <c r="D31" s="149">
        <v>4.88919772145459</v>
      </c>
      <c r="E31" s="43" t="s">
        <v>103</v>
      </c>
      <c r="F31" s="44" t="s">
        <v>629</v>
      </c>
      <c r="G31" s="52" t="s">
        <v>2093</v>
      </c>
      <c r="H31" s="46"/>
      <c r="I31" s="11" t="b">
        <v>1</v>
      </c>
      <c r="J31" s="47" t="str">
        <f t="shared" si="1"/>
        <v/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IFERROR(__xludf.DUMMYFUNCTION("""COMPUTED_VALUE"""),"IggiePiggie")</f>
        <v>IggiePiggie</v>
      </c>
      <c r="R31" s="49">
        <f>IFERROR(__xludf.DUMMYFUNCTION("""COMPUTED_VALUE"""),1971.0)</f>
        <v>1971</v>
      </c>
      <c r="S31" s="49"/>
    </row>
    <row r="32">
      <c r="A32" s="43">
        <v>4.0</v>
      </c>
      <c r="B32" s="43">
        <v>7.0</v>
      </c>
      <c r="C32" s="111">
        <v>51.3205984081642</v>
      </c>
      <c r="D32" s="149">
        <v>4.88942770413427</v>
      </c>
      <c r="E32" s="43" t="s">
        <v>98</v>
      </c>
      <c r="F32" s="44" t="s">
        <v>1230</v>
      </c>
      <c r="G32" s="52" t="s">
        <v>2094</v>
      </c>
      <c r="H32" s="46"/>
      <c r="I32" s="11" t="b">
        <v>1</v>
      </c>
      <c r="J32" s="47" t="str">
        <f t="shared" si="1"/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IFERROR(__xludf.DUMMYFUNCTION("""COMPUTED_VALUE"""),"FlatBlack")</f>
        <v>FlatBlack</v>
      </c>
      <c r="R32" s="49">
        <f>IFERROR(__xludf.DUMMYFUNCTION("""COMPUTED_VALUE"""),689.0)</f>
        <v>689</v>
      </c>
      <c r="S32" s="49"/>
    </row>
    <row r="33">
      <c r="A33" s="43">
        <v>4.0</v>
      </c>
      <c r="B33" s="43">
        <v>8.0</v>
      </c>
      <c r="C33" s="111">
        <v>51.320598407939</v>
      </c>
      <c r="D33" s="149">
        <v>4.88965768681396</v>
      </c>
      <c r="E33" s="43" t="s">
        <v>98</v>
      </c>
      <c r="F33" s="44" t="s">
        <v>80</v>
      </c>
      <c r="G33" s="45" t="s">
        <v>2095</v>
      </c>
      <c r="H33" s="46"/>
      <c r="I33" s="11" t="b">
        <v>1</v>
      </c>
      <c r="J33" s="47" t="str">
        <f t="shared" si="1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IFERROR(__xludf.DUMMYFUNCTION("""COMPUTED_VALUE"""),"Derlame")</f>
        <v>Derlame</v>
      </c>
      <c r="R33" s="49">
        <f>IFERROR(__xludf.DUMMYFUNCTION("""COMPUTED_VALUE"""),12561.0)</f>
        <v>12561</v>
      </c>
      <c r="S33" s="49"/>
    </row>
    <row r="34">
      <c r="A34" s="43">
        <v>5.0</v>
      </c>
      <c r="B34" s="43">
        <v>1.0</v>
      </c>
      <c r="C34" s="111">
        <v>51.32045467907</v>
      </c>
      <c r="D34" s="149">
        <v>4.88804778932149</v>
      </c>
      <c r="E34" s="43" t="s">
        <v>103</v>
      </c>
      <c r="F34" s="44" t="s">
        <v>207</v>
      </c>
      <c r="G34" s="45" t="s">
        <v>2096</v>
      </c>
      <c r="H34" s="46"/>
      <c r="I34" s="11" t="b">
        <v>1</v>
      </c>
      <c r="J34" s="47" t="str">
        <f t="shared" si="1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IFERROR(__xludf.DUMMYFUNCTION("""COMPUTED_VALUE"""),"5Star")</f>
        <v>5Star</v>
      </c>
      <c r="R34" s="49">
        <f>IFERROR(__xludf.DUMMYFUNCTION("""COMPUTED_VALUE"""),4693.0)</f>
        <v>4693</v>
      </c>
      <c r="S34" s="51">
        <v>44062.67350193287</v>
      </c>
    </row>
    <row r="35">
      <c r="A35" s="43">
        <v>5.0</v>
      </c>
      <c r="B35" s="43">
        <v>2.0</v>
      </c>
      <c r="C35" s="111">
        <v>51.3204546788448</v>
      </c>
      <c r="D35" s="149">
        <v>4.88827777128062</v>
      </c>
      <c r="E35" s="43" t="s">
        <v>98</v>
      </c>
      <c r="F35" s="44" t="s">
        <v>141</v>
      </c>
      <c r="G35" s="52" t="s">
        <v>2097</v>
      </c>
      <c r="H35" s="46"/>
      <c r="I35" s="11" t="b">
        <v>1</v>
      </c>
      <c r="J35" s="47" t="str">
        <f t="shared" si="1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IFERROR(__xludf.DUMMYFUNCTION("""COMPUTED_VALUE"""),2437.0)</f>
        <v>2437</v>
      </c>
      <c r="S35" s="49"/>
    </row>
    <row r="36">
      <c r="A36" s="43">
        <v>5.0</v>
      </c>
      <c r="B36" s="43">
        <v>3.0</v>
      </c>
      <c r="C36" s="111">
        <v>51.3204546786196</v>
      </c>
      <c r="D36" s="149">
        <v>4.88850775323976</v>
      </c>
      <c r="E36" s="43" t="s">
        <v>103</v>
      </c>
      <c r="F36" s="44" t="s">
        <v>110</v>
      </c>
      <c r="G36" s="52" t="s">
        <v>2098</v>
      </c>
      <c r="H36" s="46"/>
      <c r="I36" s="11" t="b">
        <v>1</v>
      </c>
      <c r="J36" s="47" t="str">
        <f t="shared" si="1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IFERROR(__xludf.DUMMYFUNCTION("""COMPUTED_VALUE"""),"BrotherWilliam")</f>
        <v>BrotherWilliam</v>
      </c>
      <c r="R36" s="49">
        <f>IFERROR(__xludf.DUMMYFUNCTION("""COMPUTED_VALUE"""),4092.0)</f>
        <v>4092</v>
      </c>
      <c r="S36" s="49"/>
    </row>
    <row r="37">
      <c r="A37" s="43">
        <v>5.0</v>
      </c>
      <c r="B37" s="43">
        <v>4.0</v>
      </c>
      <c r="C37" s="111">
        <v>51.3204546783944</v>
      </c>
      <c r="D37" s="149">
        <v>4.8887377351989</v>
      </c>
      <c r="E37" s="43" t="s">
        <v>98</v>
      </c>
      <c r="F37" s="44" t="s">
        <v>710</v>
      </c>
      <c r="G37" s="45" t="s">
        <v>2099</v>
      </c>
      <c r="H37" s="46"/>
      <c r="I37" s="11" t="b">
        <v>1</v>
      </c>
      <c r="J37" s="47" t="str">
        <f t="shared" si="1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IFERROR(__xludf.DUMMYFUNCTION("""COMPUTED_VALUE"""),"TeamSarton")</f>
        <v>TeamSarton</v>
      </c>
      <c r="R37" s="49">
        <f>IFERROR(__xludf.DUMMYFUNCTION("""COMPUTED_VALUE"""),1208.0)</f>
        <v>1208</v>
      </c>
      <c r="S37" s="49"/>
    </row>
    <row r="38">
      <c r="A38" s="43">
        <v>5.0</v>
      </c>
      <c r="B38" s="43">
        <v>5.0</v>
      </c>
      <c r="C38" s="111">
        <v>51.3204546781692</v>
      </c>
      <c r="D38" s="149">
        <v>4.88896771715803</v>
      </c>
      <c r="E38" s="43" t="s">
        <v>98</v>
      </c>
      <c r="F38" s="44" t="s">
        <v>766</v>
      </c>
      <c r="G38" s="45" t="s">
        <v>2100</v>
      </c>
      <c r="H38" s="46"/>
      <c r="I38" s="11" t="b">
        <v>1</v>
      </c>
      <c r="J38" s="47" t="str">
        <f t="shared" si="1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IFERROR(__xludf.DUMMYFUNCTION("""COMPUTED_VALUE"""),"BartWullems")</f>
        <v>BartWullems</v>
      </c>
      <c r="R38" s="49">
        <f>IFERROR(__xludf.DUMMYFUNCTION("""COMPUTED_VALUE"""),5604.0)</f>
        <v>5604</v>
      </c>
      <c r="S38" s="49"/>
    </row>
    <row r="39">
      <c r="A39" s="43">
        <v>5.0</v>
      </c>
      <c r="B39" s="43">
        <v>6.0</v>
      </c>
      <c r="C39" s="111">
        <v>51.320454677944</v>
      </c>
      <c r="D39" s="149">
        <v>4.88919769911717</v>
      </c>
      <c r="E39" s="43" t="s">
        <v>98</v>
      </c>
      <c r="F39" s="44" t="s">
        <v>825</v>
      </c>
      <c r="G39" s="45" t="s">
        <v>2101</v>
      </c>
      <c r="H39" s="46"/>
      <c r="I39" s="11" t="b">
        <v>1</v>
      </c>
      <c r="J39" s="47" t="str">
        <f t="shared" si="1"/>
        <v/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IFERROR(__xludf.DUMMYFUNCTION("""COMPUTED_VALUE"""),"raftjen")</f>
        <v>raftjen</v>
      </c>
      <c r="R39" s="49">
        <f>IFERROR(__xludf.DUMMYFUNCTION("""COMPUTED_VALUE"""),2345.0)</f>
        <v>2345</v>
      </c>
      <c r="S39" s="49"/>
    </row>
    <row r="40">
      <c r="A40" s="43">
        <v>5.0</v>
      </c>
      <c r="B40" s="43">
        <v>7.0</v>
      </c>
      <c r="C40" s="111">
        <v>51.3204546777188</v>
      </c>
      <c r="D40" s="149">
        <v>4.88942768107631</v>
      </c>
      <c r="E40" s="43" t="s">
        <v>98</v>
      </c>
      <c r="F40" s="44" t="s">
        <v>182</v>
      </c>
      <c r="G40" s="45" t="s">
        <v>2102</v>
      </c>
      <c r="H40" s="46"/>
      <c r="I40" s="11" t="b">
        <v>1</v>
      </c>
      <c r="J40" s="47" t="str">
        <f t="shared" si="1"/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IFERROR(__xludf.DUMMYFUNCTION("""COMPUTED_VALUE"""),"TheFatCats")</f>
        <v>TheFatCats</v>
      </c>
      <c r="R40" s="49">
        <f>IFERROR(__xludf.DUMMYFUNCTION("""COMPUTED_VALUE"""),3895.0)</f>
        <v>3895</v>
      </c>
      <c r="S40" s="49"/>
    </row>
    <row r="41">
      <c r="A41" s="43">
        <v>5.0</v>
      </c>
      <c r="B41" s="43">
        <v>8.0</v>
      </c>
      <c r="C41" s="111">
        <v>51.3204546774936</v>
      </c>
      <c r="D41" s="149">
        <v>4.88965766303545</v>
      </c>
      <c r="E41" s="43" t="s">
        <v>98</v>
      </c>
      <c r="F41" s="44" t="s">
        <v>140</v>
      </c>
      <c r="G41" s="45" t="s">
        <v>2103</v>
      </c>
      <c r="H41" s="46"/>
      <c r="I41" s="11" t="b">
        <v>1</v>
      </c>
      <c r="J41" s="47" t="str">
        <f t="shared" si="1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IFERROR(__xludf.DUMMYFUNCTION("""COMPUTED_VALUE"""),"Fossillady")</f>
        <v>Fossillady</v>
      </c>
      <c r="R41" s="49">
        <f>IFERROR(__xludf.DUMMYFUNCTION("""COMPUTED_VALUE"""),3417.0)</f>
        <v>3417</v>
      </c>
      <c r="S41" s="49"/>
    </row>
    <row r="42">
      <c r="A42" s="43">
        <v>6.0</v>
      </c>
      <c r="B42" s="43">
        <v>1.0</v>
      </c>
      <c r="C42" s="111">
        <v>51.3203109486248</v>
      </c>
      <c r="D42" s="149">
        <v>4.8880477705843</v>
      </c>
      <c r="E42" s="43" t="s">
        <v>98</v>
      </c>
      <c r="F42" s="44" t="s">
        <v>149</v>
      </c>
      <c r="G42" s="45" t="s">
        <v>2104</v>
      </c>
      <c r="H42" s="46"/>
      <c r="I42" s="11" t="b">
        <v>1</v>
      </c>
      <c r="J42" s="47" t="str">
        <f t="shared" si="1"/>
        <v/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IFERROR(__xludf.DUMMYFUNCTION("""COMPUTED_VALUE"""),4558.0)</f>
        <v>4558</v>
      </c>
      <c r="S42" s="49"/>
    </row>
    <row r="43">
      <c r="A43" s="43">
        <v>6.0</v>
      </c>
      <c r="B43" s="43">
        <v>2.0</v>
      </c>
      <c r="C43" s="111">
        <v>51.3203109483996</v>
      </c>
      <c r="D43" s="149">
        <v>4.88827775182267</v>
      </c>
      <c r="E43" s="43" t="s">
        <v>98</v>
      </c>
      <c r="F43" s="44" t="s">
        <v>2105</v>
      </c>
      <c r="G43" s="52" t="s">
        <v>2106</v>
      </c>
      <c r="H43" s="46"/>
      <c r="I43" s="11" t="b">
        <v>1</v>
      </c>
      <c r="J43" s="47" t="str">
        <f t="shared" si="1"/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IFERROR(__xludf.DUMMYFUNCTION("""COMPUTED_VALUE"""),"ArtofEco")</f>
        <v>ArtofEco</v>
      </c>
      <c r="R43" s="49">
        <f>IFERROR(__xludf.DUMMYFUNCTION("""COMPUTED_VALUE"""),3052.0)</f>
        <v>3052</v>
      </c>
      <c r="S43" s="49"/>
    </row>
    <row r="44">
      <c r="A44" s="43">
        <v>6.0</v>
      </c>
      <c r="B44" s="43">
        <v>3.0</v>
      </c>
      <c r="C44" s="111">
        <v>51.3203109481744</v>
      </c>
      <c r="D44" s="149">
        <v>4.88850773306103</v>
      </c>
      <c r="E44" s="43" t="s">
        <v>103</v>
      </c>
      <c r="F44" s="44" t="s">
        <v>2107</v>
      </c>
      <c r="G44" s="45" t="s">
        <v>2108</v>
      </c>
      <c r="H44" s="46"/>
      <c r="I44" s="11" t="b">
        <v>1</v>
      </c>
      <c r="J44" s="47" t="str">
        <f t="shared" si="1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IFERROR(__xludf.DUMMYFUNCTION("""COMPUTED_VALUE"""),"Dazzaf")</f>
        <v>Dazzaf</v>
      </c>
      <c r="R44" s="49">
        <f>IFERROR(__xludf.DUMMYFUNCTION("""COMPUTED_VALUE"""),4168.0)</f>
        <v>4168</v>
      </c>
      <c r="S44" s="49"/>
    </row>
    <row r="45">
      <c r="A45" s="43">
        <v>6.0</v>
      </c>
      <c r="B45" s="43">
        <v>4.0</v>
      </c>
      <c r="C45" s="111">
        <v>51.3203109479492</v>
      </c>
      <c r="D45" s="149">
        <v>4.88873771429939</v>
      </c>
      <c r="E45" s="43" t="s">
        <v>98</v>
      </c>
      <c r="F45" s="44" t="s">
        <v>870</v>
      </c>
      <c r="G45" s="45" t="s">
        <v>2109</v>
      </c>
      <c r="H45" s="46"/>
      <c r="I45" s="11" t="b">
        <v>1</v>
      </c>
      <c r="J45" s="47" t="str">
        <f t="shared" si="1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IFERROR(__xludf.DUMMYFUNCTION("""COMPUTED_VALUE"""),"amadoreugen")</f>
        <v>amadoreugen</v>
      </c>
      <c r="R45" s="49">
        <f>IFERROR(__xludf.DUMMYFUNCTION("""COMPUTED_VALUE"""),5763.0)</f>
        <v>5763</v>
      </c>
      <c r="S45" s="49"/>
    </row>
    <row r="46">
      <c r="A46" s="43">
        <v>6.0</v>
      </c>
      <c r="B46" s="43">
        <v>5.0</v>
      </c>
      <c r="C46" s="111">
        <v>51.320310947724</v>
      </c>
      <c r="D46" s="149">
        <v>4.88896769553775</v>
      </c>
      <c r="E46" s="43" t="s">
        <v>98</v>
      </c>
      <c r="F46" s="44" t="s">
        <v>2105</v>
      </c>
      <c r="G46" s="52" t="s">
        <v>2110</v>
      </c>
      <c r="H46" s="46"/>
      <c r="I46" s="11" t="b">
        <v>1</v>
      </c>
      <c r="J46" s="47" t="str">
        <f t="shared" si="1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IFERROR(__xludf.DUMMYFUNCTION("""COMPUTED_VALUE"""),"ArtofEco")</f>
        <v>ArtofEco</v>
      </c>
      <c r="R46" s="49">
        <f>IFERROR(__xludf.DUMMYFUNCTION("""COMPUTED_VALUE"""),3009.0)</f>
        <v>3009</v>
      </c>
      <c r="S46" s="51">
        <v>44062.90786653935</v>
      </c>
    </row>
    <row r="47">
      <c r="A47" s="43">
        <v>6.0</v>
      </c>
      <c r="B47" s="43">
        <v>6.0</v>
      </c>
      <c r="C47" s="149">
        <v>51.3203109474988</v>
      </c>
      <c r="D47" s="149">
        <v>4.88919767677612</v>
      </c>
      <c r="E47" s="43" t="s">
        <v>103</v>
      </c>
      <c r="F47" s="44" t="s">
        <v>110</v>
      </c>
      <c r="G47" s="52" t="s">
        <v>2111</v>
      </c>
      <c r="H47" s="46"/>
      <c r="I47" s="11" t="b">
        <v>1</v>
      </c>
      <c r="J47" s="47" t="str">
        <f t="shared" si="1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IFERROR(__xludf.DUMMYFUNCTION("""COMPUTED_VALUE"""),"BrotherWilliam")</f>
        <v>BrotherWilliam</v>
      </c>
      <c r="R47" s="49">
        <f>IFERROR(__xludf.DUMMYFUNCTION("""COMPUTED_VALUE"""),4049.0)</f>
        <v>4049</v>
      </c>
      <c r="S47" s="49"/>
    </row>
    <row r="48">
      <c r="A48" s="43">
        <v>6.0</v>
      </c>
      <c r="B48" s="43">
        <v>7.0</v>
      </c>
      <c r="C48" s="111">
        <v>51.3203109472736</v>
      </c>
      <c r="D48" s="149">
        <v>4.88942765801448</v>
      </c>
      <c r="E48" s="43" t="s">
        <v>98</v>
      </c>
      <c r="F48" s="44" t="s">
        <v>145</v>
      </c>
      <c r="G48" s="52" t="s">
        <v>2112</v>
      </c>
      <c r="H48" s="46"/>
      <c r="I48" s="11" t="b">
        <v>1</v>
      </c>
      <c r="J48" s="47" t="str">
        <f t="shared" si="1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IFERROR(__xludf.DUMMYFUNCTION("""COMPUTED_VALUE"""),4289.0)</f>
        <v>4289</v>
      </c>
      <c r="S48" s="51">
        <v>44062.673019988426</v>
      </c>
    </row>
    <row r="49">
      <c r="A49" s="43">
        <v>6.0</v>
      </c>
      <c r="B49" s="43">
        <v>8.0</v>
      </c>
      <c r="C49" s="111">
        <v>51.3203109470484</v>
      </c>
      <c r="D49" s="149">
        <v>4.88965763925284</v>
      </c>
      <c r="E49" s="43" t="s">
        <v>98</v>
      </c>
      <c r="F49" s="44" t="s">
        <v>147</v>
      </c>
      <c r="G49" s="52" t="s">
        <v>2113</v>
      </c>
      <c r="H49" s="46"/>
      <c r="I49" s="11" t="b">
        <v>1</v>
      </c>
      <c r="J49" s="47" t="str">
        <f t="shared" si="1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IFERROR(__xludf.DUMMYFUNCTION("""COMPUTED_VALUE"""),7254.0)</f>
        <v>7254</v>
      </c>
      <c r="S49" s="51">
        <v>44062.673330219906</v>
      </c>
    </row>
    <row r="50">
      <c r="A50" s="43">
        <v>7.0</v>
      </c>
      <c r="B50" s="43">
        <v>2.0</v>
      </c>
      <c r="C50" s="111">
        <v>51.3201672179541</v>
      </c>
      <c r="D50" s="149">
        <v>4.88827773236494</v>
      </c>
      <c r="E50" s="43" t="s">
        <v>103</v>
      </c>
      <c r="F50" s="44" t="s">
        <v>190</v>
      </c>
      <c r="G50" s="52" t="s">
        <v>2114</v>
      </c>
      <c r="H50" s="46"/>
      <c r="I50" s="11" t="b">
        <v>1</v>
      </c>
      <c r="J50" s="47" t="str">
        <f t="shared" si="1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IFERROR(__xludf.DUMMYFUNCTION("""COMPUTED_VALUE"""),"GroteSufferd")</f>
        <v>GroteSufferd</v>
      </c>
      <c r="R50" s="49">
        <f>IFERROR(__xludf.DUMMYFUNCTION("""COMPUTED_VALUE"""),416.0)</f>
        <v>416</v>
      </c>
      <c r="S50" s="49"/>
    </row>
    <row r="51">
      <c r="A51" s="43">
        <v>7.0</v>
      </c>
      <c r="B51" s="43">
        <v>3.0</v>
      </c>
      <c r="C51" s="111">
        <v>51.3201672177289</v>
      </c>
      <c r="D51" s="149">
        <v>4.88850771288275</v>
      </c>
      <c r="E51" s="43" t="s">
        <v>98</v>
      </c>
      <c r="F51" s="44" t="s">
        <v>182</v>
      </c>
      <c r="G51" s="45" t="s">
        <v>2115</v>
      </c>
      <c r="H51" s="46"/>
      <c r="I51" s="11" t="b">
        <v>1</v>
      </c>
      <c r="J51" s="47" t="str">
        <f t="shared" si="1"/>
        <v/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IFERROR(__xludf.DUMMYFUNCTION("""COMPUTED_VALUE"""),"TheFatCats")</f>
        <v>TheFatCats</v>
      </c>
      <c r="R51" s="49">
        <f>IFERROR(__xludf.DUMMYFUNCTION("""COMPUTED_VALUE"""),3967.0)</f>
        <v>3967</v>
      </c>
      <c r="S51" s="49"/>
    </row>
    <row r="52">
      <c r="A52" s="43">
        <v>7.0</v>
      </c>
      <c r="B52" s="43">
        <v>4.0</v>
      </c>
      <c r="C52" s="111">
        <v>51.3201672175037</v>
      </c>
      <c r="D52" s="149">
        <v>4.88873769340057</v>
      </c>
      <c r="E52" s="43" t="s">
        <v>98</v>
      </c>
      <c r="F52" s="44" t="s">
        <v>1119</v>
      </c>
      <c r="G52" s="52" t="s">
        <v>2116</v>
      </c>
      <c r="H52" s="46"/>
      <c r="I52" s="11" t="b">
        <v>1</v>
      </c>
      <c r="J52" s="47" t="str">
        <f t="shared" si="1"/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2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IFERROR(__xludf.DUMMYFUNCTION("""COMPUTED_VALUE"""),"pawpatrolthomas")</f>
        <v>pawpatrolthomas</v>
      </c>
      <c r="R52" s="49">
        <f>IFERROR(__xludf.DUMMYFUNCTION("""COMPUTED_VALUE"""),2672.0)</f>
        <v>2672</v>
      </c>
      <c r="S52" s="51">
        <v>44174.76167446759</v>
      </c>
    </row>
    <row r="53">
      <c r="A53" s="43">
        <v>7.0</v>
      </c>
      <c r="B53" s="43">
        <v>5.0</v>
      </c>
      <c r="C53" s="111">
        <v>51.3201672172785</v>
      </c>
      <c r="D53" s="149">
        <v>4.88896767391838</v>
      </c>
      <c r="E53" s="43" t="s">
        <v>98</v>
      </c>
      <c r="F53" s="44" t="s">
        <v>2117</v>
      </c>
      <c r="G53" s="45" t="s">
        <v>2118</v>
      </c>
      <c r="H53" s="46"/>
      <c r="I53" s="11" t="b">
        <v>1</v>
      </c>
      <c r="J53" s="47" t="str">
        <f t="shared" si="1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IFERROR(__xludf.DUMMYFUNCTION("""COMPUTED_VALUE"""),"klc1960")</f>
        <v>klc1960</v>
      </c>
      <c r="R53" s="49">
        <f>IFERROR(__xludf.DUMMYFUNCTION("""COMPUTED_VALUE"""),1457.0)</f>
        <v>1457</v>
      </c>
      <c r="S53" s="49"/>
    </row>
    <row r="54">
      <c r="A54" s="43">
        <v>7.0</v>
      </c>
      <c r="B54" s="43">
        <v>6.0</v>
      </c>
      <c r="C54" s="111">
        <v>51.3201672170533</v>
      </c>
      <c r="D54" s="149">
        <v>4.8891976544362</v>
      </c>
      <c r="E54" s="43" t="s">
        <v>98</v>
      </c>
      <c r="F54" s="44" t="s">
        <v>874</v>
      </c>
      <c r="G54" s="45" t="s">
        <v>2119</v>
      </c>
      <c r="H54" s="46"/>
      <c r="I54" s="11" t="b">
        <v>1</v>
      </c>
      <c r="J54" s="47" t="str">
        <f t="shared" si="1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2</v>
      </c>
      <c r="N54" s="49" t="str">
        <f>IFERROR(__xludf.DUMMYFUNCTION("split(G54,""/"")"),"https:")</f>
        <v>https:</v>
      </c>
      <c r="O54" s="50" t="str">
        <f>IFERROR(__xludf.DUMMYFUNCTION("""COMPUTED_VALUE"""),"www.munzee.com")</f>
        <v>www.munzee.com</v>
      </c>
      <c r="P54" s="49" t="str">
        <f>IFERROR(__xludf.DUMMYFUNCTION("""COMPUTED_VALUE"""),"m")</f>
        <v>m</v>
      </c>
      <c r="Q54" s="49" t="str">
        <f>IFERROR(__xludf.DUMMYFUNCTION("""COMPUTED_VALUE"""),"Krauseengineer")</f>
        <v>Krauseengineer</v>
      </c>
      <c r="R54" s="49">
        <f>IFERROR(__xludf.DUMMYFUNCTION("""COMPUTED_VALUE"""),2429.0)</f>
        <v>2429</v>
      </c>
      <c r="S54" s="49"/>
    </row>
    <row r="55">
      <c r="A55" s="43">
        <v>7.0</v>
      </c>
      <c r="B55" s="43">
        <v>7.0</v>
      </c>
      <c r="C55" s="111">
        <v>51.3201672168282</v>
      </c>
      <c r="D55" s="149">
        <v>4.88942763495401</v>
      </c>
      <c r="E55" s="43" t="s">
        <v>98</v>
      </c>
      <c r="F55" s="44" t="s">
        <v>870</v>
      </c>
      <c r="G55" s="45" t="s">
        <v>2120</v>
      </c>
      <c r="H55" s="46"/>
      <c r="I55" s="11" t="b">
        <v>1</v>
      </c>
      <c r="J55" s="47" t="str">
        <f t="shared" si="1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IFERROR(__xludf.DUMMYFUNCTION("""COMPUTED_VALUE"""),"amadoreugen")</f>
        <v>amadoreugen</v>
      </c>
      <c r="R55" s="49">
        <f>IFERROR(__xludf.DUMMYFUNCTION("""COMPUTED_VALUE"""),5762.0)</f>
        <v>5762</v>
      </c>
      <c r="S55" s="49"/>
    </row>
    <row r="56">
      <c r="A56" s="43">
        <v>8.0</v>
      </c>
      <c r="B56" s="43">
        <v>3.0</v>
      </c>
      <c r="C56" s="111">
        <v>51.3200234872835</v>
      </c>
      <c r="D56" s="149">
        <v>4.88850769270425</v>
      </c>
      <c r="E56" s="43" t="s">
        <v>98</v>
      </c>
      <c r="F56" s="44" t="s">
        <v>825</v>
      </c>
      <c r="G56" s="45" t="s">
        <v>2121</v>
      </c>
      <c r="H56" s="46"/>
      <c r="I56" s="11" t="b">
        <v>1</v>
      </c>
      <c r="J56" s="47" t="str">
        <f t="shared" si="1"/>
        <v/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2</v>
      </c>
      <c r="N56" s="49" t="str">
        <f>IFERROR(__xludf.DUMMYFUNCTION("split(G56,""/"")"),"https:")</f>
        <v>https:</v>
      </c>
      <c r="O56" s="50" t="str">
        <f>IFERROR(__xludf.DUMMYFUNCTION("""COMPUTED_VALUE"""),"www.munzee.com")</f>
        <v>www.munzee.com</v>
      </c>
      <c r="P56" s="49" t="str">
        <f>IFERROR(__xludf.DUMMYFUNCTION("""COMPUTED_VALUE"""),"m")</f>
        <v>m</v>
      </c>
      <c r="Q56" s="49" t="str">
        <f>IFERROR(__xludf.DUMMYFUNCTION("""COMPUTED_VALUE"""),"raftjen")</f>
        <v>raftjen</v>
      </c>
      <c r="R56" s="49">
        <f>IFERROR(__xludf.DUMMYFUNCTION("""COMPUTED_VALUE"""),1779.0)</f>
        <v>1779</v>
      </c>
      <c r="S56" s="49"/>
    </row>
    <row r="57">
      <c r="A57" s="43">
        <v>8.0</v>
      </c>
      <c r="B57" s="43">
        <v>4.0</v>
      </c>
      <c r="C57" s="111">
        <v>51.3200234870584</v>
      </c>
      <c r="D57" s="149">
        <v>4.8887376725014</v>
      </c>
      <c r="E57" s="43" t="s">
        <v>103</v>
      </c>
      <c r="F57" s="44" t="s">
        <v>243</v>
      </c>
      <c r="G57" s="45" t="s">
        <v>2122</v>
      </c>
      <c r="H57" s="46"/>
      <c r="I57" s="11" t="b">
        <v>1</v>
      </c>
      <c r="J57" s="47" t="str">
        <f t="shared" si="1"/>
        <v/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IFERROR(__xludf.DUMMYFUNCTION("""COMPUTED_VALUE"""),"Aniara")</f>
        <v>Aniara</v>
      </c>
      <c r="R57" s="49">
        <f>IFERROR(__xludf.DUMMYFUNCTION("""COMPUTED_VALUE"""),6945.0)</f>
        <v>6945</v>
      </c>
      <c r="S57" s="49"/>
    </row>
    <row r="58">
      <c r="A58" s="43">
        <v>8.0</v>
      </c>
      <c r="B58" s="43">
        <v>5.0</v>
      </c>
      <c r="C58" s="111">
        <v>51.3200234868332</v>
      </c>
      <c r="D58" s="149">
        <v>4.88896765229856</v>
      </c>
      <c r="E58" s="43" t="s">
        <v>103</v>
      </c>
      <c r="F58" s="44" t="s">
        <v>908</v>
      </c>
      <c r="G58" s="45" t="s">
        <v>2123</v>
      </c>
      <c r="H58" s="44" t="s">
        <v>2124</v>
      </c>
      <c r="I58" s="11" t="b">
        <v>1</v>
      </c>
      <c r="J58" s="47" t="str">
        <f t="shared" si="1"/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IFERROR(__xludf.DUMMYFUNCTION("""COMPUTED_VALUE"""),"all0123")</f>
        <v>all0123</v>
      </c>
      <c r="R58" s="49">
        <f>IFERROR(__xludf.DUMMYFUNCTION("""COMPUTED_VALUE"""),4296.0)</f>
        <v>4296</v>
      </c>
      <c r="S58" s="49"/>
    </row>
    <row r="59">
      <c r="A59" s="43">
        <v>8.0</v>
      </c>
      <c r="B59" s="43">
        <v>6.0</v>
      </c>
      <c r="C59" s="111">
        <v>51.320023486608</v>
      </c>
      <c r="D59" s="149">
        <v>4.88919763209571</v>
      </c>
      <c r="E59" s="43" t="s">
        <v>98</v>
      </c>
      <c r="F59" s="44" t="s">
        <v>182</v>
      </c>
      <c r="G59" s="45" t="s">
        <v>2125</v>
      </c>
      <c r="H59" s="46"/>
      <c r="I59" s="11" t="b">
        <v>1</v>
      </c>
      <c r="J59" s="47" t="str">
        <f t="shared" si="1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IFERROR(__xludf.DUMMYFUNCTION("""COMPUTED_VALUE"""),"TheFatCats")</f>
        <v>TheFatCats</v>
      </c>
      <c r="R59" s="49">
        <f>IFERROR(__xludf.DUMMYFUNCTION("""COMPUTED_VALUE"""),3912.0)</f>
        <v>3912</v>
      </c>
      <c r="S59" s="49"/>
    </row>
    <row r="61" hidden="1">
      <c r="F61" s="47">
        <f t="shared" ref="F61:G61" si="3">COUNTIF(F8:F59,"")</f>
        <v>0</v>
      </c>
      <c r="G61" s="47">
        <f t="shared" si="3"/>
        <v>0</v>
      </c>
      <c r="I61" s="47">
        <f>COUNTIF(I8:I59,TRUE)</f>
        <v>52</v>
      </c>
    </row>
    <row r="62" hidden="1"/>
    <row r="63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G42"/>
    <hyperlink r:id="rId72" ref="O42"/>
    <hyperlink r:id="rId73" ref="G43"/>
    <hyperlink r:id="rId74" ref="O43"/>
    <hyperlink r:id="rId75" ref="G44"/>
    <hyperlink r:id="rId76" ref="O44"/>
    <hyperlink r:id="rId77" ref="G45"/>
    <hyperlink r:id="rId78" ref="O45"/>
    <hyperlink r:id="rId79" ref="G46"/>
    <hyperlink r:id="rId80" ref="O46"/>
    <hyperlink r:id="rId81" ref="G47"/>
    <hyperlink r:id="rId82" ref="O47"/>
    <hyperlink r:id="rId83" ref="G48"/>
    <hyperlink r:id="rId84" ref="O48"/>
    <hyperlink r:id="rId85" ref="G49"/>
    <hyperlink r:id="rId86" ref="O49"/>
    <hyperlink r:id="rId87" ref="G50"/>
    <hyperlink r:id="rId88" ref="O50"/>
    <hyperlink r:id="rId89" ref="G51"/>
    <hyperlink r:id="rId90" ref="O51"/>
    <hyperlink r:id="rId91" ref="G52"/>
    <hyperlink r:id="rId92" ref="O52"/>
    <hyperlink r:id="rId93" ref="G53"/>
    <hyperlink r:id="rId94" ref="O53"/>
    <hyperlink r:id="rId95" ref="G54"/>
    <hyperlink r:id="rId96" ref="O54"/>
    <hyperlink r:id="rId97" ref="G55"/>
    <hyperlink r:id="rId98" ref="O55"/>
    <hyperlink r:id="rId99" ref="G56"/>
    <hyperlink r:id="rId100" ref="O56"/>
    <hyperlink r:id="rId101" ref="G57"/>
    <hyperlink r:id="rId102" ref="O57"/>
    <hyperlink r:id="rId103" ref="G58"/>
    <hyperlink r:id="rId104" ref="O58"/>
    <hyperlink r:id="rId105" ref="G59"/>
    <hyperlink r:id="rId106" ref="O59"/>
  </hyperlinks>
  <drawing r:id="rId107"/>
  <tableParts count="1">
    <tablePart r:id="rId109"/>
  </tableParts>
</worksheet>
</file>

<file path=xl/worksheets/sheet4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>
    <row r="1">
      <c r="A1" s="11" t="s">
        <v>2126</v>
      </c>
    </row>
    <row r="2">
      <c r="A2" s="11" t="s">
        <v>85</v>
      </c>
      <c r="B2" s="11" t="s">
        <v>86</v>
      </c>
      <c r="C2" s="11" t="s">
        <v>87</v>
      </c>
      <c r="D2" s="11" t="s">
        <v>88</v>
      </c>
      <c r="E2" s="11" t="s">
        <v>89</v>
      </c>
      <c r="F2" s="11" t="s">
        <v>2127</v>
      </c>
      <c r="G2" s="11" t="s">
        <v>90</v>
      </c>
      <c r="H2" s="11" t="s">
        <v>91</v>
      </c>
      <c r="I2" s="11" t="s">
        <v>92</v>
      </c>
    </row>
    <row r="3">
      <c r="A3" s="11">
        <v>1.0</v>
      </c>
      <c r="B3" s="11">
        <v>3.0</v>
      </c>
      <c r="C3" s="11">
        <v>39.5767676430007</v>
      </c>
      <c r="D3" s="11">
        <v>-77.8815175265767</v>
      </c>
      <c r="E3" s="11" t="s">
        <v>98</v>
      </c>
      <c r="F3" s="11" t="s">
        <v>2128</v>
      </c>
    </row>
    <row r="4">
      <c r="A4" s="11">
        <v>1.0</v>
      </c>
      <c r="B4" s="11">
        <v>4.0</v>
      </c>
      <c r="C4" s="11">
        <v>39.5767676428517</v>
      </c>
      <c r="D4" s="11">
        <v>-77.8813310505345</v>
      </c>
      <c r="E4" s="11" t="s">
        <v>98</v>
      </c>
      <c r="F4" s="11" t="s">
        <v>2128</v>
      </c>
    </row>
    <row r="5">
      <c r="A5" s="11">
        <v>1.0</v>
      </c>
      <c r="B5" s="11">
        <v>5.0</v>
      </c>
      <c r="C5" s="11">
        <v>39.5767676427027</v>
      </c>
      <c r="D5" s="11">
        <v>-77.8811445744922</v>
      </c>
      <c r="E5" s="11" t="s">
        <v>103</v>
      </c>
      <c r="F5" s="11" t="s">
        <v>2129</v>
      </c>
    </row>
    <row r="6">
      <c r="A6" s="11">
        <v>1.0</v>
      </c>
      <c r="B6" s="11">
        <v>6.0</v>
      </c>
      <c r="C6" s="11">
        <v>39.5767676425537</v>
      </c>
      <c r="D6" s="11">
        <v>-77.8809580984499</v>
      </c>
      <c r="E6" s="11" t="s">
        <v>103</v>
      </c>
      <c r="F6" s="11" t="s">
        <v>2129</v>
      </c>
    </row>
    <row r="7">
      <c r="A7" s="11">
        <v>2.0</v>
      </c>
      <c r="B7" s="11">
        <v>2.0</v>
      </c>
      <c r="C7" s="11">
        <v>39.5766239127043</v>
      </c>
      <c r="D7" s="11">
        <v>-77.8817040130597</v>
      </c>
      <c r="E7" s="11" t="s">
        <v>98</v>
      </c>
      <c r="F7" s="11" t="s">
        <v>2128</v>
      </c>
    </row>
    <row r="8">
      <c r="A8" s="11">
        <v>2.0</v>
      </c>
      <c r="B8" s="11">
        <v>3.0</v>
      </c>
      <c r="C8" s="11">
        <v>39.5766239125553</v>
      </c>
      <c r="D8" s="11">
        <v>-77.8815175374041</v>
      </c>
      <c r="E8" s="11" t="s">
        <v>98</v>
      </c>
      <c r="F8" s="11" t="s">
        <v>2128</v>
      </c>
    </row>
    <row r="9">
      <c r="A9" s="11">
        <v>2.0</v>
      </c>
      <c r="B9" s="11">
        <v>4.0</v>
      </c>
      <c r="C9" s="11">
        <v>39.5766239124063</v>
      </c>
      <c r="D9" s="11">
        <v>-77.8813310617486</v>
      </c>
      <c r="E9" s="11" t="s">
        <v>98</v>
      </c>
      <c r="F9" s="11" t="s">
        <v>2128</v>
      </c>
    </row>
    <row r="10">
      <c r="A10" s="11">
        <v>2.0</v>
      </c>
      <c r="B10" s="11">
        <v>5.0</v>
      </c>
      <c r="C10" s="11">
        <v>39.5766239122573</v>
      </c>
      <c r="D10" s="11">
        <v>-77.881144586093</v>
      </c>
      <c r="E10" s="11" t="s">
        <v>103</v>
      </c>
      <c r="F10" s="11" t="s">
        <v>2129</v>
      </c>
    </row>
    <row r="11">
      <c r="A11" s="11">
        <v>2.0</v>
      </c>
      <c r="B11" s="11">
        <v>6.0</v>
      </c>
      <c r="C11" s="11">
        <v>39.5766239121082</v>
      </c>
      <c r="D11" s="11">
        <v>-77.8809581104374</v>
      </c>
      <c r="E11" s="11" t="s">
        <v>98</v>
      </c>
      <c r="F11" s="11" t="s">
        <v>2128</v>
      </c>
    </row>
    <row r="12">
      <c r="A12" s="11">
        <v>2.0</v>
      </c>
      <c r="B12" s="11">
        <v>7.0</v>
      </c>
      <c r="C12" s="11">
        <v>39.5766239119592</v>
      </c>
      <c r="D12" s="11">
        <v>-77.8807716347818</v>
      </c>
      <c r="E12" s="11" t="s">
        <v>98</v>
      </c>
      <c r="F12" s="11" t="s">
        <v>2128</v>
      </c>
    </row>
    <row r="13">
      <c r="A13" s="11">
        <v>3.0</v>
      </c>
      <c r="B13" s="11">
        <v>1.0</v>
      </c>
      <c r="C13" s="11">
        <v>39.5764801824078</v>
      </c>
      <c r="D13" s="11">
        <v>-77.8818904987686</v>
      </c>
      <c r="E13" s="11" t="s">
        <v>98</v>
      </c>
      <c r="F13" s="11" t="s">
        <v>2128</v>
      </c>
    </row>
    <row r="14">
      <c r="A14" s="11">
        <v>3.0</v>
      </c>
      <c r="B14" s="11">
        <v>2.0</v>
      </c>
      <c r="C14" s="11">
        <v>39.5764801822588</v>
      </c>
      <c r="D14" s="11">
        <v>-77.8817040234996</v>
      </c>
      <c r="E14" s="11" t="s">
        <v>98</v>
      </c>
      <c r="F14" s="11" t="s">
        <v>2128</v>
      </c>
    </row>
    <row r="15">
      <c r="A15" s="11">
        <v>3.0</v>
      </c>
      <c r="B15" s="11">
        <v>3.0</v>
      </c>
      <c r="C15" s="11">
        <v>39.5764801821098</v>
      </c>
      <c r="D15" s="11">
        <v>-77.8815175482307</v>
      </c>
      <c r="E15" s="11" t="s">
        <v>98</v>
      </c>
      <c r="F15" s="11" t="s">
        <v>2128</v>
      </c>
    </row>
    <row r="16">
      <c r="A16" s="11">
        <v>3.0</v>
      </c>
      <c r="B16" s="11">
        <v>4.0</v>
      </c>
      <c r="C16" s="11">
        <v>39.5764801819608</v>
      </c>
      <c r="D16" s="11">
        <v>-77.8813310729617</v>
      </c>
      <c r="E16" s="11" t="s">
        <v>98</v>
      </c>
      <c r="F16" s="11" t="s">
        <v>2128</v>
      </c>
    </row>
    <row r="17">
      <c r="A17" s="11">
        <v>3.0</v>
      </c>
      <c r="B17" s="11">
        <v>5.0</v>
      </c>
      <c r="C17" s="11">
        <v>39.5764801818118</v>
      </c>
      <c r="D17" s="11">
        <v>-77.8811445976928</v>
      </c>
      <c r="E17" s="11" t="s">
        <v>98</v>
      </c>
      <c r="F17" s="11" t="s">
        <v>2128</v>
      </c>
    </row>
    <row r="18">
      <c r="A18" s="11">
        <v>3.0</v>
      </c>
      <c r="B18" s="11">
        <v>6.0</v>
      </c>
      <c r="C18" s="11">
        <v>39.5764801816628</v>
      </c>
      <c r="D18" s="11">
        <v>-77.8809581224238</v>
      </c>
      <c r="E18" s="11" t="s">
        <v>98</v>
      </c>
      <c r="F18" s="11" t="s">
        <v>2128</v>
      </c>
    </row>
    <row r="19">
      <c r="A19" s="11">
        <v>3.0</v>
      </c>
      <c r="B19" s="11">
        <v>7.0</v>
      </c>
      <c r="C19" s="11">
        <v>39.5764801815138</v>
      </c>
      <c r="D19" s="11">
        <v>-77.8807716471549</v>
      </c>
      <c r="E19" s="11" t="s">
        <v>98</v>
      </c>
      <c r="F19" s="11" t="s">
        <v>2128</v>
      </c>
    </row>
    <row r="20">
      <c r="A20" s="11">
        <v>3.0</v>
      </c>
      <c r="B20" s="11">
        <v>8.0</v>
      </c>
      <c r="C20" s="11">
        <v>39.5764801813648</v>
      </c>
      <c r="D20" s="11">
        <v>-77.8805851718859</v>
      </c>
      <c r="E20" s="11" t="s">
        <v>98</v>
      </c>
      <c r="F20" s="11" t="s">
        <v>2128</v>
      </c>
    </row>
    <row r="21">
      <c r="A21" s="11">
        <v>4.0</v>
      </c>
      <c r="B21" s="11">
        <v>1.0</v>
      </c>
      <c r="C21" s="11">
        <v>39.5763364519624</v>
      </c>
      <c r="D21" s="11">
        <v>-77.8818905088214</v>
      </c>
      <c r="E21" s="11" t="s">
        <v>98</v>
      </c>
      <c r="F21" s="11" t="s">
        <v>2128</v>
      </c>
    </row>
    <row r="22">
      <c r="A22" s="11">
        <v>4.0</v>
      </c>
      <c r="B22" s="11">
        <v>2.0</v>
      </c>
      <c r="C22" s="11">
        <v>39.5763364518134</v>
      </c>
      <c r="D22" s="11">
        <v>-77.8817040339391</v>
      </c>
      <c r="E22" s="11" t="s">
        <v>103</v>
      </c>
      <c r="F22" s="11" t="s">
        <v>2129</v>
      </c>
    </row>
    <row r="23">
      <c r="A23" s="11">
        <v>4.0</v>
      </c>
      <c r="B23" s="11">
        <v>3.0</v>
      </c>
      <c r="C23" s="11">
        <v>39.5763364516644</v>
      </c>
      <c r="D23" s="11">
        <v>-77.8815175590568</v>
      </c>
      <c r="E23" s="11" t="s">
        <v>98</v>
      </c>
      <c r="F23" s="11" t="s">
        <v>2128</v>
      </c>
    </row>
    <row r="24">
      <c r="A24" s="11">
        <v>4.0</v>
      </c>
      <c r="B24" s="11">
        <v>4.0</v>
      </c>
      <c r="C24" s="11">
        <v>39.5763364515153</v>
      </c>
      <c r="D24" s="11">
        <v>-77.8813310841745</v>
      </c>
      <c r="E24" s="11" t="s">
        <v>98</v>
      </c>
      <c r="F24" s="11" t="s">
        <v>2128</v>
      </c>
    </row>
    <row r="25">
      <c r="A25" s="11">
        <v>4.0</v>
      </c>
      <c r="B25" s="11">
        <v>5.0</v>
      </c>
      <c r="C25" s="11">
        <v>39.5763364513663</v>
      </c>
      <c r="D25" s="11">
        <v>-77.8811446092922</v>
      </c>
      <c r="E25" s="11" t="s">
        <v>98</v>
      </c>
      <c r="F25" s="11" t="s">
        <v>2128</v>
      </c>
    </row>
    <row r="26">
      <c r="A26" s="11">
        <v>4.0</v>
      </c>
      <c r="B26" s="11">
        <v>6.0</v>
      </c>
      <c r="C26" s="11">
        <v>39.5763364512173</v>
      </c>
      <c r="D26" s="11">
        <v>-77.8809581344099</v>
      </c>
      <c r="E26" s="11" t="s">
        <v>103</v>
      </c>
      <c r="F26" s="11" t="s">
        <v>2129</v>
      </c>
    </row>
    <row r="27">
      <c r="A27" s="11">
        <v>4.0</v>
      </c>
      <c r="B27" s="11">
        <v>7.0</v>
      </c>
      <c r="C27" s="11">
        <v>39.5763364510683</v>
      </c>
      <c r="D27" s="11">
        <v>-77.8807716595276</v>
      </c>
      <c r="E27" s="11" t="s">
        <v>98</v>
      </c>
      <c r="F27" s="11" t="s">
        <v>2128</v>
      </c>
    </row>
    <row r="28">
      <c r="A28" s="11">
        <v>4.0</v>
      </c>
      <c r="B28" s="11">
        <v>8.0</v>
      </c>
      <c r="C28" s="11">
        <v>39.5763364509193</v>
      </c>
      <c r="D28" s="11">
        <v>-77.8805851846453</v>
      </c>
      <c r="E28" s="11" t="s">
        <v>98</v>
      </c>
      <c r="F28" s="11" t="s">
        <v>2128</v>
      </c>
    </row>
    <row r="29">
      <c r="A29" s="11">
        <v>5.0</v>
      </c>
      <c r="B29" s="11">
        <v>1.0</v>
      </c>
      <c r="C29" s="11">
        <v>39.5761927215169</v>
      </c>
      <c r="D29" s="11">
        <v>-77.8818905188743</v>
      </c>
      <c r="E29" s="11" t="s">
        <v>103</v>
      </c>
      <c r="F29" s="11" t="s">
        <v>2129</v>
      </c>
    </row>
    <row r="30">
      <c r="A30" s="11">
        <v>5.0</v>
      </c>
      <c r="B30" s="11">
        <v>2.0</v>
      </c>
      <c r="C30" s="11">
        <v>39.5761927213679</v>
      </c>
      <c r="D30" s="11">
        <v>-77.8817040443787</v>
      </c>
      <c r="E30" s="11" t="s">
        <v>98</v>
      </c>
      <c r="F30" s="11" t="s">
        <v>2128</v>
      </c>
    </row>
    <row r="31">
      <c r="A31" s="11">
        <v>5.0</v>
      </c>
      <c r="B31" s="11">
        <v>3.0</v>
      </c>
      <c r="C31" s="11">
        <v>39.5761927212189</v>
      </c>
      <c r="D31" s="11">
        <v>-77.881517569883</v>
      </c>
      <c r="E31" s="11" t="s">
        <v>103</v>
      </c>
      <c r="F31" s="11" t="s">
        <v>2129</v>
      </c>
    </row>
    <row r="32">
      <c r="A32" s="11">
        <v>5.0</v>
      </c>
      <c r="B32" s="11">
        <v>4.0</v>
      </c>
      <c r="C32" s="11">
        <v>39.5761927210699</v>
      </c>
      <c r="D32" s="11">
        <v>-77.8813310953874</v>
      </c>
      <c r="E32" s="11" t="s">
        <v>98</v>
      </c>
      <c r="F32" s="11" t="s">
        <v>2128</v>
      </c>
    </row>
    <row r="33">
      <c r="A33" s="11">
        <v>5.0</v>
      </c>
      <c r="B33" s="11">
        <v>5.0</v>
      </c>
      <c r="C33" s="11">
        <v>39.5761927209209</v>
      </c>
      <c r="D33" s="11">
        <v>-77.8811446208917</v>
      </c>
      <c r="E33" s="11" t="s">
        <v>98</v>
      </c>
      <c r="F33" s="11" t="s">
        <v>2128</v>
      </c>
    </row>
    <row r="34">
      <c r="A34" s="11">
        <v>5.0</v>
      </c>
      <c r="B34" s="11">
        <v>6.0</v>
      </c>
      <c r="C34" s="11">
        <v>39.5761927207719</v>
      </c>
      <c r="D34" s="11">
        <v>-77.8809581463961</v>
      </c>
      <c r="E34" s="11" t="s">
        <v>98</v>
      </c>
      <c r="F34" s="11" t="s">
        <v>2128</v>
      </c>
    </row>
    <row r="35">
      <c r="A35" s="11">
        <v>5.0</v>
      </c>
      <c r="B35" s="11">
        <v>7.0</v>
      </c>
      <c r="C35" s="11">
        <v>39.5761927206229</v>
      </c>
      <c r="D35" s="11">
        <v>-77.8807716719004</v>
      </c>
      <c r="E35" s="11" t="s">
        <v>98</v>
      </c>
      <c r="F35" s="11" t="s">
        <v>2128</v>
      </c>
    </row>
    <row r="36">
      <c r="A36" s="11">
        <v>5.0</v>
      </c>
      <c r="B36" s="11">
        <v>8.0</v>
      </c>
      <c r="C36" s="11">
        <v>39.5761927204738</v>
      </c>
      <c r="D36" s="11">
        <v>-77.8805851974048</v>
      </c>
      <c r="E36" s="11" t="s">
        <v>98</v>
      </c>
      <c r="F36" s="11" t="s">
        <v>2128</v>
      </c>
    </row>
    <row r="37">
      <c r="A37" s="11">
        <v>6.0</v>
      </c>
      <c r="B37" s="11">
        <v>1.0</v>
      </c>
      <c r="C37" s="11">
        <v>39.5760489910715</v>
      </c>
      <c r="D37" s="11">
        <v>-77.8818905289272</v>
      </c>
      <c r="E37" s="11" t="s">
        <v>98</v>
      </c>
      <c r="F37" s="11" t="s">
        <v>2128</v>
      </c>
    </row>
    <row r="38">
      <c r="A38" s="11">
        <v>6.0</v>
      </c>
      <c r="B38" s="11">
        <v>2.0</v>
      </c>
      <c r="C38" s="11">
        <v>39.5760489909225</v>
      </c>
      <c r="D38" s="11">
        <v>-77.8817040548182</v>
      </c>
      <c r="E38" s="11" t="s">
        <v>98</v>
      </c>
      <c r="F38" s="11" t="s">
        <v>2128</v>
      </c>
    </row>
    <row r="39">
      <c r="A39" s="11">
        <v>6.0</v>
      </c>
      <c r="B39" s="11">
        <v>3.0</v>
      </c>
      <c r="C39" s="11">
        <v>39.5760489907735</v>
      </c>
      <c r="D39" s="11">
        <v>-77.8815175807092</v>
      </c>
      <c r="E39" s="11" t="s">
        <v>103</v>
      </c>
      <c r="F39" s="11" t="s">
        <v>2129</v>
      </c>
    </row>
    <row r="40">
      <c r="A40" s="11">
        <v>6.0</v>
      </c>
      <c r="B40" s="11">
        <v>4.0</v>
      </c>
      <c r="C40" s="11">
        <v>39.5760489906245</v>
      </c>
      <c r="D40" s="11">
        <v>-77.8813311066002</v>
      </c>
      <c r="E40" s="11" t="s">
        <v>98</v>
      </c>
      <c r="F40" s="11" t="s">
        <v>2128</v>
      </c>
    </row>
    <row r="41">
      <c r="A41" s="11">
        <v>6.0</v>
      </c>
      <c r="B41" s="11">
        <v>5.0</v>
      </c>
      <c r="C41" s="11">
        <v>39.5760489904755</v>
      </c>
      <c r="D41" s="11">
        <v>-77.8811446324912</v>
      </c>
      <c r="E41" s="11" t="s">
        <v>98</v>
      </c>
      <c r="F41" s="11" t="s">
        <v>2128</v>
      </c>
    </row>
    <row r="42">
      <c r="A42" s="11">
        <v>6.0</v>
      </c>
      <c r="B42" s="11">
        <v>6.0</v>
      </c>
      <c r="C42" s="11">
        <v>39.5760489903264</v>
      </c>
      <c r="D42" s="11">
        <v>-77.8809581583822</v>
      </c>
      <c r="E42" s="11" t="s">
        <v>103</v>
      </c>
      <c r="F42" s="11" t="s">
        <v>2129</v>
      </c>
    </row>
    <row r="43">
      <c r="A43" s="11">
        <v>6.0</v>
      </c>
      <c r="B43" s="11">
        <v>7.0</v>
      </c>
      <c r="C43" s="11">
        <v>39.5760489901774</v>
      </c>
      <c r="D43" s="11">
        <v>-77.8807716842733</v>
      </c>
      <c r="E43" s="11" t="s">
        <v>98</v>
      </c>
      <c r="F43" s="11" t="s">
        <v>2128</v>
      </c>
    </row>
    <row r="44">
      <c r="A44" s="11">
        <v>6.0</v>
      </c>
      <c r="B44" s="11">
        <v>8.0</v>
      </c>
      <c r="C44" s="11">
        <v>39.5760489900284</v>
      </c>
      <c r="D44" s="11">
        <v>-77.8805852101643</v>
      </c>
      <c r="E44" s="11" t="s">
        <v>98</v>
      </c>
      <c r="F44" s="11" t="s">
        <v>2128</v>
      </c>
    </row>
    <row r="45">
      <c r="A45" s="11">
        <v>7.0</v>
      </c>
      <c r="B45" s="11">
        <v>2.0</v>
      </c>
      <c r="C45" s="11">
        <v>39.575905260477</v>
      </c>
      <c r="D45" s="11">
        <v>-77.8817040652578</v>
      </c>
      <c r="E45" s="11" t="s">
        <v>103</v>
      </c>
      <c r="F45" s="11" t="s">
        <v>2129</v>
      </c>
    </row>
    <row r="46">
      <c r="A46" s="11">
        <v>7.0</v>
      </c>
      <c r="B46" s="11">
        <v>3.0</v>
      </c>
      <c r="C46" s="11">
        <v>39.575905260328</v>
      </c>
      <c r="D46" s="11">
        <v>-77.8815175915355</v>
      </c>
      <c r="E46" s="11" t="s">
        <v>98</v>
      </c>
      <c r="F46" s="11" t="s">
        <v>2128</v>
      </c>
    </row>
    <row r="47">
      <c r="A47" s="11">
        <v>7.0</v>
      </c>
      <c r="B47" s="11">
        <v>4.0</v>
      </c>
      <c r="C47" s="11">
        <v>39.575905260179</v>
      </c>
      <c r="D47" s="11">
        <v>-77.8813311178132</v>
      </c>
      <c r="E47" s="11" t="s">
        <v>98</v>
      </c>
      <c r="F47" s="11" t="s">
        <v>2128</v>
      </c>
    </row>
    <row r="48">
      <c r="A48" s="11">
        <v>7.0</v>
      </c>
      <c r="B48" s="11">
        <v>5.0</v>
      </c>
      <c r="C48" s="11">
        <v>39.57590526003</v>
      </c>
      <c r="D48" s="11">
        <v>-77.8811446440909</v>
      </c>
      <c r="E48" s="11" t="s">
        <v>98</v>
      </c>
      <c r="F48" s="11" t="s">
        <v>2128</v>
      </c>
    </row>
    <row r="49">
      <c r="A49" s="11">
        <v>7.0</v>
      </c>
      <c r="B49" s="11">
        <v>6.0</v>
      </c>
      <c r="C49" s="11">
        <v>39.575905259881</v>
      </c>
      <c r="D49" s="11">
        <v>-77.8809581703685</v>
      </c>
      <c r="E49" s="11" t="s">
        <v>98</v>
      </c>
      <c r="F49" s="11" t="s">
        <v>2128</v>
      </c>
    </row>
    <row r="50">
      <c r="A50" s="11">
        <v>7.0</v>
      </c>
      <c r="B50" s="11">
        <v>7.0</v>
      </c>
      <c r="C50" s="11">
        <v>39.575905259732</v>
      </c>
      <c r="D50" s="11">
        <v>-77.8807716966462</v>
      </c>
      <c r="E50" s="11" t="s">
        <v>98</v>
      </c>
      <c r="F50" s="11" t="s">
        <v>2128</v>
      </c>
    </row>
    <row r="51">
      <c r="A51" s="11">
        <v>8.0</v>
      </c>
      <c r="B51" s="11">
        <v>3.0</v>
      </c>
      <c r="C51" s="11">
        <v>39.5757615298826</v>
      </c>
      <c r="D51" s="11">
        <v>-77.8815176023615</v>
      </c>
      <c r="E51" s="11" t="s">
        <v>98</v>
      </c>
      <c r="F51" s="11" t="s">
        <v>2128</v>
      </c>
    </row>
    <row r="52">
      <c r="A52" s="11">
        <v>8.0</v>
      </c>
      <c r="B52" s="11">
        <v>4.0</v>
      </c>
      <c r="C52" s="11">
        <v>39.5757615297336</v>
      </c>
      <c r="D52" s="11">
        <v>-77.8813311290259</v>
      </c>
      <c r="E52" s="11" t="s">
        <v>103</v>
      </c>
      <c r="F52" s="11" t="s">
        <v>2129</v>
      </c>
    </row>
    <row r="53">
      <c r="A53" s="11">
        <v>8.0</v>
      </c>
      <c r="B53" s="11">
        <v>5.0</v>
      </c>
      <c r="C53" s="11">
        <v>39.5757615295846</v>
      </c>
      <c r="D53" s="11">
        <v>-77.8811446556902</v>
      </c>
      <c r="E53" s="11" t="s">
        <v>103</v>
      </c>
      <c r="F53" s="11" t="s">
        <v>2129</v>
      </c>
    </row>
    <row r="54">
      <c r="A54" s="11">
        <v>8.0</v>
      </c>
      <c r="B54" s="11">
        <v>6.0</v>
      </c>
      <c r="C54" s="11">
        <v>39.5757615294355</v>
      </c>
      <c r="D54" s="11">
        <v>-77.8809581823546</v>
      </c>
      <c r="E54" s="11" t="s">
        <v>98</v>
      </c>
      <c r="F54" s="11" t="s">
        <v>2128</v>
      </c>
    </row>
    <row r="56">
      <c r="A56" s="11" t="s">
        <v>2130</v>
      </c>
    </row>
    <row r="57">
      <c r="A57" s="11" t="s">
        <v>2131</v>
      </c>
      <c r="B57" s="11">
        <v>39.5761209898472</v>
      </c>
      <c r="C57" s="11">
        <v>-77.8812378638394</v>
      </c>
      <c r="D57" s="11">
        <v>25.0</v>
      </c>
      <c r="E57" s="11">
        <v>26.0</v>
      </c>
      <c r="F57" s="11">
        <v>90.0</v>
      </c>
      <c r="G57" s="11">
        <v>0.0</v>
      </c>
      <c r="H57" s="11">
        <v>20.0</v>
      </c>
      <c r="I57" s="11">
        <v>18.0</v>
      </c>
    </row>
  </sheetData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9.0"/>
    <col customWidth="1" min="2" max="2" width="8.88"/>
    <col customWidth="1" min="3" max="3" width="14.88"/>
    <col customWidth="1" min="4" max="4" width="16.75"/>
    <col customWidth="1" min="5" max="5" width="17.63"/>
    <col customWidth="1" min="6" max="6" width="14.5"/>
    <col customWidth="1" min="7" max="7" width="36.38"/>
    <col customWidth="1" min="8" max="8" width="15.88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60</v>
      </c>
      <c r="D1" s="37" t="s">
        <v>61</v>
      </c>
      <c r="E1" s="2" t="s">
        <v>79</v>
      </c>
      <c r="F1" s="66" t="s">
        <v>80</v>
      </c>
      <c r="G1" s="67" t="s">
        <v>260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261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1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3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48</v>
      </c>
      <c r="G5" s="39">
        <f>F5/52</f>
        <v>0.9230769231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47.5435049310251</v>
      </c>
      <c r="D8" s="43">
        <v>18.4563954402874</v>
      </c>
      <c r="E8" s="43" t="s">
        <v>98</v>
      </c>
      <c r="F8" s="44" t="s">
        <v>161</v>
      </c>
      <c r="G8" s="52" t="s">
        <v>262</v>
      </c>
      <c r="H8" s="44"/>
      <c r="I8" s="11" t="b">
        <v>1</v>
      </c>
      <c r="J8" s="47" t="str">
        <f t="shared" ref="J8:J34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IFERROR(__xludf.DUMMYFUNCTION("""COMPUTED_VALUE"""),3765.0)</f>
        <v>3765</v>
      </c>
      <c r="S8" s="51">
        <v>44357.491738275465</v>
      </c>
    </row>
    <row r="9">
      <c r="A9" s="43">
        <v>1.0</v>
      </c>
      <c r="B9" s="43">
        <v>4.0</v>
      </c>
      <c r="C9" s="43">
        <v>47.543504930828</v>
      </c>
      <c r="D9" s="43">
        <v>18.4566083647558</v>
      </c>
      <c r="E9" s="43" t="s">
        <v>98</v>
      </c>
      <c r="F9" s="44" t="s">
        <v>101</v>
      </c>
      <c r="G9" s="45" t="s">
        <v>263</v>
      </c>
      <c r="H9" s="46"/>
      <c r="I9" s="11" t="b">
        <v>1</v>
      </c>
      <c r="J9" s="47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IFERROR(__xludf.DUMMYFUNCTION("""COMPUTED_VALUE"""),6306.0)</f>
        <v>6306</v>
      </c>
      <c r="S9" s="51">
        <v>44357.49175947916</v>
      </c>
    </row>
    <row r="10">
      <c r="A10" s="43">
        <v>1.0</v>
      </c>
      <c r="B10" s="43">
        <v>5.0</v>
      </c>
      <c r="C10" s="43">
        <v>47.543504930631</v>
      </c>
      <c r="D10" s="43">
        <v>18.4568212892243</v>
      </c>
      <c r="E10" s="43" t="s">
        <v>103</v>
      </c>
      <c r="F10" s="44" t="s">
        <v>106</v>
      </c>
      <c r="G10" s="45" t="s">
        <v>264</v>
      </c>
      <c r="H10" s="46"/>
      <c r="I10" s="11" t="b">
        <v>1</v>
      </c>
      <c r="J10" s="47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IFERROR(__xludf.DUMMYFUNCTION("""COMPUTED_VALUE"""),"EmileP68")</f>
        <v>EmileP68</v>
      </c>
      <c r="R10" s="49">
        <f>IFERROR(__xludf.DUMMYFUNCTION("""COMPUTED_VALUE"""),5153.0)</f>
        <v>5153</v>
      </c>
      <c r="S10" s="51">
        <v>44357.49180430555</v>
      </c>
    </row>
    <row r="11">
      <c r="A11" s="43">
        <v>1.0</v>
      </c>
      <c r="B11" s="43">
        <v>6.0</v>
      </c>
      <c r="C11" s="43">
        <v>47.5435049304339</v>
      </c>
      <c r="D11" s="43">
        <v>18.4570342136927</v>
      </c>
      <c r="E11" s="43" t="s">
        <v>103</v>
      </c>
      <c r="F11" s="44" t="s">
        <v>104</v>
      </c>
      <c r="G11" s="45" t="s">
        <v>265</v>
      </c>
      <c r="H11" s="46"/>
      <c r="I11" s="11" t="b">
        <v>1</v>
      </c>
      <c r="J11" s="47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IFERROR(__xludf.DUMMYFUNCTION("""COMPUTED_VALUE"""),"PawPatrolThomas")</f>
        <v>PawPatrolThomas</v>
      </c>
      <c r="R11" s="49">
        <f>IFERROR(__xludf.DUMMYFUNCTION("""COMPUTED_VALUE"""),4323.0)</f>
        <v>4323</v>
      </c>
      <c r="S11" s="51">
        <v>44357.49185737269</v>
      </c>
    </row>
    <row r="12">
      <c r="A12" s="43">
        <v>2.0</v>
      </c>
      <c r="B12" s="43">
        <v>2.0</v>
      </c>
      <c r="C12" s="43">
        <v>47.5433612007766</v>
      </c>
      <c r="D12" s="43">
        <v>18.4561825000569</v>
      </c>
      <c r="E12" s="43" t="s">
        <v>98</v>
      </c>
      <c r="F12" s="44" t="s">
        <v>110</v>
      </c>
      <c r="G12" s="52" t="s">
        <v>266</v>
      </c>
      <c r="H12" s="44"/>
      <c r="I12" s="11" t="b">
        <v>1</v>
      </c>
      <c r="J12" s="47" t="str">
        <f t="shared" si="1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IFERROR(__xludf.DUMMYFUNCTION("""COMPUTED_VALUE"""),5234.0)</f>
        <v>5234</v>
      </c>
      <c r="S12" s="49"/>
    </row>
    <row r="13">
      <c r="A13" s="43">
        <v>2.0</v>
      </c>
      <c r="B13" s="43">
        <v>3.0</v>
      </c>
      <c r="C13" s="43">
        <v>47.5433612005796</v>
      </c>
      <c r="D13" s="43">
        <v>18.4563954239415</v>
      </c>
      <c r="E13" s="43" t="s">
        <v>98</v>
      </c>
      <c r="F13" s="44" t="s">
        <v>112</v>
      </c>
      <c r="G13" s="52" t="s">
        <v>267</v>
      </c>
      <c r="H13" s="46"/>
      <c r="I13" s="11" t="b">
        <v>1</v>
      </c>
      <c r="J13" s="47" t="str">
        <f t="shared" si="1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IFERROR(__xludf.DUMMYFUNCTION("""COMPUTED_VALUE"""),3541.0)</f>
        <v>3541</v>
      </c>
      <c r="S13" s="49"/>
    </row>
    <row r="14">
      <c r="A14" s="43">
        <v>2.0</v>
      </c>
      <c r="B14" s="43">
        <v>4.0</v>
      </c>
      <c r="C14" s="43">
        <v>47.5433612003826</v>
      </c>
      <c r="D14" s="43">
        <v>18.4566083478262</v>
      </c>
      <c r="E14" s="43" t="s">
        <v>98</v>
      </c>
      <c r="F14" s="44" t="s">
        <v>114</v>
      </c>
      <c r="G14" s="45" t="s">
        <v>268</v>
      </c>
      <c r="H14" s="46"/>
      <c r="I14" s="11" t="b">
        <v>1</v>
      </c>
      <c r="J14" s="47" t="str">
        <f t="shared" si="1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IFERROR(__xludf.DUMMYFUNCTION("""COMPUTED_VALUE"""),14314.0)</f>
        <v>14314</v>
      </c>
      <c r="S14" s="49"/>
    </row>
    <row r="15">
      <c r="A15" s="43">
        <v>2.0</v>
      </c>
      <c r="B15" s="43">
        <v>5.0</v>
      </c>
      <c r="C15" s="43">
        <v>47.5433612001855</v>
      </c>
      <c r="D15" s="43">
        <v>18.4568212717108</v>
      </c>
      <c r="E15" s="43" t="s">
        <v>103</v>
      </c>
      <c r="F15" s="44" t="s">
        <v>116</v>
      </c>
      <c r="G15" s="45" t="s">
        <v>269</v>
      </c>
      <c r="H15" s="46"/>
      <c r="I15" s="11" t="b">
        <v>1</v>
      </c>
      <c r="J15" s="47" t="str">
        <f t="shared" si="1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IFERROR(__xludf.DUMMYFUNCTION("""COMPUTED_VALUE"""),5374.0)</f>
        <v>5374</v>
      </c>
      <c r="S15" s="49"/>
    </row>
    <row r="16">
      <c r="A16" s="43">
        <v>2.0</v>
      </c>
      <c r="B16" s="43">
        <v>6.0</v>
      </c>
      <c r="C16" s="43">
        <v>47.5433611999885</v>
      </c>
      <c r="D16" s="43">
        <v>18.4570341955954</v>
      </c>
      <c r="E16" s="43" t="s">
        <v>98</v>
      </c>
      <c r="F16" s="44" t="s">
        <v>99</v>
      </c>
      <c r="G16" s="52" t="s">
        <v>270</v>
      </c>
      <c r="H16" s="46"/>
      <c r="I16" s="11" t="b">
        <v>1</v>
      </c>
      <c r="J16" s="47" t="str">
        <f t="shared" si="1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IFERROR(__xludf.DUMMYFUNCTION("""COMPUTED_VALUE"""),"raunas")</f>
        <v>raunas</v>
      </c>
      <c r="R16" s="49">
        <f>IFERROR(__xludf.DUMMYFUNCTION("""COMPUTED_VALUE"""),7437.0)</f>
        <v>7437</v>
      </c>
      <c r="S16" s="49"/>
    </row>
    <row r="17">
      <c r="A17" s="43">
        <v>2.0</v>
      </c>
      <c r="B17" s="43">
        <v>7.0</v>
      </c>
      <c r="C17" s="43">
        <v>47.5433611997914</v>
      </c>
      <c r="D17" s="43">
        <v>18.4572471194801</v>
      </c>
      <c r="E17" s="43" t="s">
        <v>98</v>
      </c>
      <c r="F17" s="44" t="s">
        <v>120</v>
      </c>
      <c r="G17" s="45" t="s">
        <v>271</v>
      </c>
      <c r="H17" s="46"/>
      <c r="I17" s="11" t="b">
        <v>1</v>
      </c>
      <c r="J17" s="47" t="str">
        <f t="shared" si="1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IFERROR(__xludf.DUMMYFUNCTION("""COMPUTED_VALUE"""),"xrayneex")</f>
        <v>xrayneex</v>
      </c>
      <c r="R17" s="49">
        <f>IFERROR(__xludf.DUMMYFUNCTION("""COMPUTED_VALUE"""),2330.0)</f>
        <v>2330</v>
      </c>
      <c r="S17" s="49"/>
    </row>
    <row r="18">
      <c r="A18" s="43">
        <v>3.0</v>
      </c>
      <c r="B18" s="43">
        <v>1.0</v>
      </c>
      <c r="C18" s="43">
        <v>47.5432174705282</v>
      </c>
      <c r="D18" s="43">
        <v>18.4559695609939</v>
      </c>
      <c r="E18" s="43" t="s">
        <v>98</v>
      </c>
      <c r="F18" s="44" t="s">
        <v>122</v>
      </c>
      <c r="G18" s="52" t="s">
        <v>272</v>
      </c>
      <c r="H18" s="46"/>
      <c r="I18" s="11" t="b">
        <v>1</v>
      </c>
      <c r="J18" s="47" t="str">
        <f t="shared" si="1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IFERROR(__xludf.DUMMYFUNCTION("""COMPUTED_VALUE"""),"Drazoria")</f>
        <v>Drazoria</v>
      </c>
      <c r="R18" s="49">
        <f>IFERROR(__xludf.DUMMYFUNCTION("""COMPUTED_VALUE"""),1585.0)</f>
        <v>1585</v>
      </c>
      <c r="S18" s="51">
        <v>44368.411145254635</v>
      </c>
    </row>
    <row r="19">
      <c r="A19" s="43">
        <v>3.0</v>
      </c>
      <c r="B19" s="43">
        <v>2.0</v>
      </c>
      <c r="C19" s="43">
        <v>47.5432174703312</v>
      </c>
      <c r="D19" s="43">
        <v>18.4561824842948</v>
      </c>
      <c r="E19" s="43" t="s">
        <v>98</v>
      </c>
      <c r="F19" s="44" t="s">
        <v>124</v>
      </c>
      <c r="G19" s="45" t="s">
        <v>273</v>
      </c>
      <c r="H19" s="46"/>
      <c r="I19" s="11" t="b">
        <v>1</v>
      </c>
      <c r="J19" s="47" t="str">
        <f t="shared" si="1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IFERROR(__xludf.DUMMYFUNCTION("""COMPUTED_VALUE"""),"Tinake1309")</f>
        <v>Tinake1309</v>
      </c>
      <c r="R19" s="49">
        <f>IFERROR(__xludf.DUMMYFUNCTION("""COMPUTED_VALUE"""),1618.0)</f>
        <v>1618</v>
      </c>
      <c r="S19" s="51">
        <v>44370.12276255787</v>
      </c>
    </row>
    <row r="20">
      <c r="A20" s="43">
        <v>3.0</v>
      </c>
      <c r="B20" s="43">
        <v>3.0</v>
      </c>
      <c r="C20" s="43">
        <v>47.5432174701341</v>
      </c>
      <c r="D20" s="43">
        <v>18.4563954075956</v>
      </c>
      <c r="E20" s="43" t="s">
        <v>98</v>
      </c>
      <c r="F20" s="44" t="s">
        <v>126</v>
      </c>
      <c r="G20" s="45" t="s">
        <v>274</v>
      </c>
      <c r="H20" s="46"/>
      <c r="I20" s="11" t="b">
        <v>1</v>
      </c>
      <c r="J20" s="47" t="str">
        <f t="shared" si="1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IFERROR(__xludf.DUMMYFUNCTION("""COMPUTED_VALUE"""),"Berg14")</f>
        <v>Berg14</v>
      </c>
      <c r="R20" s="49">
        <f>IFERROR(__xludf.DUMMYFUNCTION("""COMPUTED_VALUE"""),1536.0)</f>
        <v>1536</v>
      </c>
      <c r="S20" s="51">
        <v>44370.12293064815</v>
      </c>
    </row>
    <row r="21">
      <c r="A21" s="43">
        <v>3.0</v>
      </c>
      <c r="B21" s="43">
        <v>4.0</v>
      </c>
      <c r="C21" s="43">
        <v>47.5432174699371</v>
      </c>
      <c r="D21" s="43">
        <v>18.4566083308965</v>
      </c>
      <c r="E21" s="43" t="s">
        <v>98</v>
      </c>
      <c r="F21" s="44" t="s">
        <v>128</v>
      </c>
      <c r="G21" s="45" t="s">
        <v>275</v>
      </c>
      <c r="H21" s="46"/>
      <c r="I21" s="11" t="b">
        <v>1</v>
      </c>
      <c r="J21" s="47" t="str">
        <f t="shared" si="1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IFERROR(__xludf.DUMMYFUNCTION("""COMPUTED_VALUE"""),"Niks13")</f>
        <v>Niks13</v>
      </c>
      <c r="R21" s="49">
        <f>IFERROR(__xludf.DUMMYFUNCTION("""COMPUTED_VALUE"""),1487.0)</f>
        <v>1487</v>
      </c>
      <c r="S21" s="51">
        <v>44370.123056446755</v>
      </c>
    </row>
    <row r="22">
      <c r="A22" s="43">
        <v>3.0</v>
      </c>
      <c r="B22" s="43">
        <v>5.0</v>
      </c>
      <c r="C22" s="43">
        <v>47.5432174697401</v>
      </c>
      <c r="D22" s="43">
        <v>18.4568212541973</v>
      </c>
      <c r="E22" s="43" t="s">
        <v>98</v>
      </c>
      <c r="F22" s="44" t="s">
        <v>130</v>
      </c>
      <c r="G22" s="45" t="s">
        <v>276</v>
      </c>
      <c r="H22" s="46"/>
      <c r="I22" s="11" t="b">
        <v>1</v>
      </c>
      <c r="J22" s="47" t="str">
        <f t="shared" si="1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IFERROR(__xludf.DUMMYFUNCTION("""COMPUTED_VALUE"""),"lupo6")</f>
        <v>lupo6</v>
      </c>
      <c r="R22" s="49">
        <f>IFERROR(__xludf.DUMMYFUNCTION("""COMPUTED_VALUE"""),6878.0)</f>
        <v>6878</v>
      </c>
      <c r="S22" s="49"/>
    </row>
    <row r="23">
      <c r="A23" s="43">
        <v>3.0</v>
      </c>
      <c r="B23" s="43">
        <v>6.0</v>
      </c>
      <c r="C23" s="43">
        <v>47.543217469543</v>
      </c>
      <c r="D23" s="43">
        <v>18.4570341774982</v>
      </c>
      <c r="E23" s="43" t="s">
        <v>98</v>
      </c>
      <c r="F23" s="44" t="s">
        <v>155</v>
      </c>
      <c r="G23" s="52" t="s">
        <v>277</v>
      </c>
      <c r="H23" s="46"/>
      <c r="I23" s="11" t="b">
        <v>1</v>
      </c>
      <c r="J23" s="47" t="str">
        <f t="shared" si="1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IFERROR(__xludf.DUMMYFUNCTION("""COMPUTED_VALUE"""),"Ellesche")</f>
        <v>Ellesche</v>
      </c>
      <c r="R23" s="49">
        <f>IFERROR(__xludf.DUMMYFUNCTION("""COMPUTED_VALUE"""),724.0)</f>
        <v>724</v>
      </c>
      <c r="S23" s="49"/>
    </row>
    <row r="24">
      <c r="A24" s="43">
        <v>3.0</v>
      </c>
      <c r="B24" s="43">
        <v>7.0</v>
      </c>
      <c r="C24" s="43">
        <v>47.543217469346</v>
      </c>
      <c r="D24" s="43">
        <v>18.4572471007991</v>
      </c>
      <c r="E24" s="43" t="s">
        <v>98</v>
      </c>
      <c r="F24" s="44" t="s">
        <v>136</v>
      </c>
      <c r="G24" s="45" t="s">
        <v>278</v>
      </c>
      <c r="H24" s="46"/>
      <c r="I24" s="11" t="b">
        <v>1</v>
      </c>
      <c r="J24" s="47" t="str">
        <f t="shared" si="1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IFERROR(__xludf.DUMMYFUNCTION("""COMPUTED_VALUE"""),"OdinsFiRe")</f>
        <v>OdinsFiRe</v>
      </c>
      <c r="R24" s="49">
        <f>IFERROR(__xludf.DUMMYFUNCTION("""COMPUTED_VALUE"""),2018.0)</f>
        <v>2018</v>
      </c>
      <c r="S24" s="49"/>
    </row>
    <row r="25">
      <c r="A25" s="43">
        <v>3.0</v>
      </c>
      <c r="B25" s="43">
        <v>8.0</v>
      </c>
      <c r="C25" s="43">
        <v>47.5432174691489</v>
      </c>
      <c r="D25" s="43">
        <v>18.4574600240999</v>
      </c>
      <c r="E25" s="43" t="s">
        <v>98</v>
      </c>
      <c r="F25" s="44" t="s">
        <v>279</v>
      </c>
      <c r="G25" s="45" t="s">
        <v>280</v>
      </c>
      <c r="H25" s="46"/>
      <c r="I25" s="11" t="b">
        <v>1</v>
      </c>
      <c r="J25" s="47" t="str">
        <f t="shared" si="1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IFERROR(__xludf.DUMMYFUNCTION("""COMPUTED_VALUE"""),"tommobil")</f>
        <v>tommobil</v>
      </c>
      <c r="R25" s="49">
        <f>IFERROR(__xludf.DUMMYFUNCTION("""COMPUTED_VALUE"""),1401.0)</f>
        <v>1401</v>
      </c>
      <c r="S25" s="49"/>
    </row>
    <row r="26">
      <c r="A26" s="43">
        <v>4.0</v>
      </c>
      <c r="B26" s="43">
        <v>1.0</v>
      </c>
      <c r="C26" s="43">
        <v>47.5430737400828</v>
      </c>
      <c r="D26" s="43">
        <v>18.4559695458156</v>
      </c>
      <c r="E26" s="43" t="s">
        <v>98</v>
      </c>
      <c r="F26" s="44" t="s">
        <v>151</v>
      </c>
      <c r="G26" s="52" t="s">
        <v>281</v>
      </c>
      <c r="H26" s="46"/>
      <c r="I26" s="11" t="b">
        <v>1</v>
      </c>
      <c r="J26" s="47" t="str">
        <f t="shared" si="1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IFERROR(__xludf.DUMMYFUNCTION("""COMPUTED_VALUE"""),"res2100")</f>
        <v>res2100</v>
      </c>
      <c r="R26" s="49">
        <f>IFERROR(__xludf.DUMMYFUNCTION("""COMPUTED_VALUE"""),886.0)</f>
        <v>886</v>
      </c>
      <c r="S26" s="49"/>
    </row>
    <row r="27">
      <c r="A27" s="43">
        <v>4.0</v>
      </c>
      <c r="B27" s="43">
        <v>2.0</v>
      </c>
      <c r="C27" s="43">
        <v>47.5430737398857</v>
      </c>
      <c r="D27" s="43">
        <v>18.4561824685326</v>
      </c>
      <c r="E27" s="43" t="s">
        <v>103</v>
      </c>
      <c r="F27" s="44" t="s">
        <v>279</v>
      </c>
      <c r="G27" s="45" t="s">
        <v>282</v>
      </c>
      <c r="H27" s="46"/>
      <c r="I27" s="11" t="b">
        <v>1</v>
      </c>
      <c r="J27" s="47" t="str">
        <f t="shared" si="1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IFERROR(__xludf.DUMMYFUNCTION("""COMPUTED_VALUE"""),"tommobil")</f>
        <v>tommobil</v>
      </c>
      <c r="R27" s="49">
        <f>IFERROR(__xludf.DUMMYFUNCTION("""COMPUTED_VALUE"""),1404.0)</f>
        <v>1404</v>
      </c>
      <c r="S27" s="49"/>
    </row>
    <row r="28">
      <c r="A28" s="43">
        <v>4.0</v>
      </c>
      <c r="B28" s="43">
        <v>3.0</v>
      </c>
      <c r="C28" s="43">
        <v>47.5430737396887</v>
      </c>
      <c r="D28" s="43">
        <v>18.4563953912497</v>
      </c>
      <c r="E28" s="43" t="s">
        <v>98</v>
      </c>
      <c r="F28" s="44" t="s">
        <v>283</v>
      </c>
      <c r="G28" s="45" t="s">
        <v>284</v>
      </c>
      <c r="H28" s="46"/>
      <c r="I28" s="11" t="b">
        <v>1</v>
      </c>
      <c r="J28" s="47" t="str">
        <f t="shared" si="1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IFERROR(__xludf.DUMMYFUNCTION("""COMPUTED_VALUE"""),"Csiki86")</f>
        <v>Csiki86</v>
      </c>
      <c r="R28" s="49">
        <f>IFERROR(__xludf.DUMMYFUNCTION("""COMPUTED_VALUE"""),450.0)</f>
        <v>450</v>
      </c>
      <c r="S28" s="49"/>
    </row>
    <row r="29">
      <c r="A29" s="43">
        <v>4.0</v>
      </c>
      <c r="B29" s="43">
        <v>4.0</v>
      </c>
      <c r="C29" s="43">
        <v>47.5430737394916</v>
      </c>
      <c r="D29" s="43">
        <v>18.4566083139668</v>
      </c>
      <c r="E29" s="43" t="s">
        <v>98</v>
      </c>
      <c r="F29" s="44" t="s">
        <v>138</v>
      </c>
      <c r="G29" s="45" t="s">
        <v>285</v>
      </c>
      <c r="H29" s="46"/>
      <c r="I29" s="11" t="b">
        <v>1</v>
      </c>
      <c r="J29" s="47" t="str">
        <f t="shared" si="1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IFERROR(__xludf.DUMMYFUNCTION("""COMPUTED_VALUE"""),4656.0)</f>
        <v>4656</v>
      </c>
      <c r="S29" s="49"/>
    </row>
    <row r="30">
      <c r="A30" s="43">
        <v>4.0</v>
      </c>
      <c r="B30" s="43">
        <v>5.0</v>
      </c>
      <c r="C30" s="43">
        <v>47.5430737392946</v>
      </c>
      <c r="D30" s="43">
        <v>18.4568212366839</v>
      </c>
      <c r="E30" s="43" t="s">
        <v>98</v>
      </c>
      <c r="F30" s="44" t="s">
        <v>286</v>
      </c>
      <c r="G30" s="45" t="s">
        <v>287</v>
      </c>
      <c r="H30" s="46"/>
      <c r="I30" s="11" t="b">
        <v>1</v>
      </c>
      <c r="J30" s="47" t="str">
        <f t="shared" si="1"/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IFERROR(__xludf.DUMMYFUNCTION("""COMPUTED_VALUE"""),"tommobil")</f>
        <v>tommobil</v>
      </c>
      <c r="R30" s="49">
        <f>IFERROR(__xludf.DUMMYFUNCTION("""COMPUTED_VALUE"""),1405.0)</f>
        <v>1405</v>
      </c>
      <c r="S30" s="49"/>
    </row>
    <row r="31">
      <c r="A31" s="43">
        <v>4.0</v>
      </c>
      <c r="B31" s="43">
        <v>6.0</v>
      </c>
      <c r="C31" s="43">
        <v>47.5430737390976</v>
      </c>
      <c r="D31" s="43">
        <v>18.457034159401</v>
      </c>
      <c r="E31" s="43" t="s">
        <v>103</v>
      </c>
      <c r="F31" s="44" t="s">
        <v>283</v>
      </c>
      <c r="G31" s="52" t="s">
        <v>288</v>
      </c>
      <c r="H31" s="46"/>
      <c r="I31" s="11" t="b">
        <v>1</v>
      </c>
      <c r="J31" s="47" t="str">
        <f t="shared" si="1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IFERROR(__xludf.DUMMYFUNCTION("""COMPUTED_VALUE"""),"Csiki86")</f>
        <v>Csiki86</v>
      </c>
      <c r="R31" s="49">
        <f>IFERROR(__xludf.DUMMYFUNCTION("""COMPUTED_VALUE"""),456.0)</f>
        <v>456</v>
      </c>
      <c r="S31" s="49"/>
    </row>
    <row r="32">
      <c r="A32" s="43">
        <v>4.0</v>
      </c>
      <c r="B32" s="43">
        <v>7.0</v>
      </c>
      <c r="C32" s="43">
        <v>47.5430737389005</v>
      </c>
      <c r="D32" s="43">
        <v>18.4572470821181</v>
      </c>
      <c r="E32" s="43" t="s">
        <v>98</v>
      </c>
      <c r="F32" s="44" t="s">
        <v>289</v>
      </c>
      <c r="G32" s="45" t="s">
        <v>290</v>
      </c>
      <c r="H32" s="46"/>
      <c r="I32" s="11" t="b">
        <v>1</v>
      </c>
      <c r="J32" s="47" t="str">
        <f t="shared" si="1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IFERROR(__xludf.DUMMYFUNCTION("""COMPUTED_VALUE"""),"alexmester")</f>
        <v>alexmester</v>
      </c>
      <c r="R32" s="49">
        <f>IFERROR(__xludf.DUMMYFUNCTION("""COMPUTED_VALUE"""),1235.0)</f>
        <v>1235</v>
      </c>
      <c r="S32" s="49"/>
    </row>
    <row r="33">
      <c r="A33" s="43">
        <v>4.0</v>
      </c>
      <c r="B33" s="43">
        <v>8.0</v>
      </c>
      <c r="C33" s="43">
        <v>47.5430737387035</v>
      </c>
      <c r="D33" s="43">
        <v>18.4574600048351</v>
      </c>
      <c r="E33" s="43" t="s">
        <v>98</v>
      </c>
      <c r="F33" s="44" t="s">
        <v>132</v>
      </c>
      <c r="G33" s="45" t="s">
        <v>291</v>
      </c>
      <c r="H33" s="46"/>
      <c r="I33" s="11" t="b">
        <v>1</v>
      </c>
      <c r="J33" s="47" t="str">
        <f t="shared" si="1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2"/>
        <v>2</v>
      </c>
      <c r="N33" s="49" t="str">
        <f>IFERROR(__xludf.DUMMYFUNCTION("split(G33,""/"")"),"https:")</f>
        <v>https:</v>
      </c>
      <c r="O33" s="50" t="str">
        <f>IFERROR(__xludf.DUMMYFUNCTION("""COMPUTED_VALUE"""),"www.munzee.com")</f>
        <v>www.munzee.com</v>
      </c>
      <c r="P33" s="49" t="str">
        <f>IFERROR(__xludf.DUMMYFUNCTION("""COMPUTED_VALUE"""),"m")</f>
        <v>m</v>
      </c>
      <c r="Q33" s="49" t="str">
        <f>IFERROR(__xludf.DUMMYFUNCTION("""COMPUTED_VALUE"""),"crscousins")</f>
        <v>crscousins</v>
      </c>
      <c r="R33" s="49">
        <f>IFERROR(__xludf.DUMMYFUNCTION("""COMPUTED_VALUE"""),7148.0)</f>
        <v>7148</v>
      </c>
      <c r="S33" s="49"/>
    </row>
    <row r="34">
      <c r="A34" s="43">
        <v>5.0</v>
      </c>
      <c r="B34" s="43">
        <v>1.0</v>
      </c>
      <c r="C34" s="43">
        <v>47.5429300096373</v>
      </c>
      <c r="D34" s="43">
        <v>18.4559695306372</v>
      </c>
      <c r="E34" s="43" t="s">
        <v>103</v>
      </c>
      <c r="F34" s="44" t="s">
        <v>292</v>
      </c>
      <c r="G34" s="45" t="s">
        <v>293</v>
      </c>
      <c r="H34" s="46"/>
      <c r="I34" s="11" t="b">
        <v>1</v>
      </c>
      <c r="J34" s="47" t="str">
        <f t="shared" si="1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IFERROR(__xludf.DUMMYFUNCTION("""COMPUTED_VALUE"""),"alexmester")</f>
        <v>alexmester</v>
      </c>
      <c r="R34" s="49">
        <f>IFERROR(__xludf.DUMMYFUNCTION("""COMPUTED_VALUE"""),1234.0)</f>
        <v>1234</v>
      </c>
      <c r="S34" s="49"/>
    </row>
    <row r="35">
      <c r="A35" s="43">
        <v>5.0</v>
      </c>
      <c r="B35" s="43">
        <v>2.0</v>
      </c>
      <c r="C35" s="43">
        <v>47.5429300094403</v>
      </c>
      <c r="D35" s="43">
        <v>18.4561824527705</v>
      </c>
      <c r="E35" s="43" t="s">
        <v>98</v>
      </c>
      <c r="F35" s="44" t="s">
        <v>141</v>
      </c>
      <c r="G35" s="45" t="s">
        <v>294</v>
      </c>
      <c r="H35" s="46"/>
      <c r="I35" s="11" t="b">
        <v>1</v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IFERROR(__xludf.DUMMYFUNCTION("""COMPUTED_VALUE"""),3662.0)</f>
        <v>3662</v>
      </c>
      <c r="S35" s="49"/>
    </row>
    <row r="36">
      <c r="A36" s="43">
        <v>5.0</v>
      </c>
      <c r="B36" s="43">
        <v>3.0</v>
      </c>
      <c r="C36" s="43">
        <v>47.5429300092432</v>
      </c>
      <c r="D36" s="43">
        <v>18.4563953749038</v>
      </c>
      <c r="E36" s="43" t="s">
        <v>103</v>
      </c>
      <c r="F36" s="44" t="s">
        <v>80</v>
      </c>
      <c r="G36" s="52" t="s">
        <v>295</v>
      </c>
      <c r="H36" s="46"/>
      <c r="I36" s="11" t="b">
        <v>1</v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2"/>
        <v>2</v>
      </c>
      <c r="N36" s="49" t="str">
        <f>IFERROR(__xludf.DUMMYFUNCTION("split(G36,""/"")"),"https:")</f>
        <v>https:</v>
      </c>
      <c r="O36" s="50" t="str">
        <f>IFERROR(__xludf.DUMMYFUNCTION("""COMPUTED_VALUE"""),"www.munzee.com")</f>
        <v>www.munzee.com</v>
      </c>
      <c r="P36" s="49" t="str">
        <f>IFERROR(__xludf.DUMMYFUNCTION("""COMPUTED_VALUE"""),"m")</f>
        <v>m</v>
      </c>
      <c r="Q36" s="49" t="str">
        <f>IFERROR(__xludf.DUMMYFUNCTION("""COMPUTED_VALUE"""),"Derlame")</f>
        <v>Derlame</v>
      </c>
      <c r="R36" s="49">
        <f>IFERROR(__xludf.DUMMYFUNCTION("""COMPUTED_VALUE"""),45500.0)</f>
        <v>45500</v>
      </c>
      <c r="S36" s="51">
        <v>44698.60627416667</v>
      </c>
    </row>
    <row r="37">
      <c r="A37" s="43">
        <v>5.0</v>
      </c>
      <c r="B37" s="43">
        <v>4.0</v>
      </c>
      <c r="C37" s="43">
        <v>47.5429300090462</v>
      </c>
      <c r="D37" s="43">
        <v>18.4566082970371</v>
      </c>
      <c r="E37" s="43" t="s">
        <v>98</v>
      </c>
      <c r="F37" s="44" t="s">
        <v>292</v>
      </c>
      <c r="G37" s="45" t="s">
        <v>296</v>
      </c>
      <c r="H37" s="46"/>
      <c r="I37" s="11" t="b">
        <v>1</v>
      </c>
      <c r="J37" s="47" t="str">
        <f t="shared" ref="J37:J41" si="3">if(I37=true,"",S37)</f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2"/>
        <v>2</v>
      </c>
      <c r="N37" s="49" t="str">
        <f>IFERROR(__xludf.DUMMYFUNCTION("split(G37,""/"")"),"https:")</f>
        <v>https:</v>
      </c>
      <c r="O37" s="50" t="str">
        <f>IFERROR(__xludf.DUMMYFUNCTION("""COMPUTED_VALUE"""),"www.munzee.com")</f>
        <v>www.munzee.com</v>
      </c>
      <c r="P37" s="49" t="str">
        <f>IFERROR(__xludf.DUMMYFUNCTION("""COMPUTED_VALUE"""),"m")</f>
        <v>m</v>
      </c>
      <c r="Q37" s="49" t="str">
        <f>IFERROR(__xludf.DUMMYFUNCTION("""COMPUTED_VALUE"""),"alexmester")</f>
        <v>alexmester</v>
      </c>
      <c r="R37" s="49">
        <f>IFERROR(__xludf.DUMMYFUNCTION("""COMPUTED_VALUE"""),1236.0)</f>
        <v>1236</v>
      </c>
      <c r="S37" s="49"/>
    </row>
    <row r="38">
      <c r="A38" s="43">
        <v>5.0</v>
      </c>
      <c r="B38" s="43">
        <v>5.0</v>
      </c>
      <c r="C38" s="43">
        <v>47.5429300088492</v>
      </c>
      <c r="D38" s="43">
        <v>18.4568212191704</v>
      </c>
      <c r="E38" s="43" t="s">
        <v>98</v>
      </c>
      <c r="F38" s="44" t="s">
        <v>143</v>
      </c>
      <c r="G38" s="52" t="s">
        <v>297</v>
      </c>
      <c r="H38" s="46"/>
      <c r="I38" s="11" t="b">
        <v>1</v>
      </c>
      <c r="J38" s="47" t="str">
        <f t="shared" si="3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2"/>
        <v>2</v>
      </c>
      <c r="N38" s="49" t="str">
        <f>IFERROR(__xludf.DUMMYFUNCTION("split(G38,""/"")"),"https:")</f>
        <v>https:</v>
      </c>
      <c r="O38" s="50" t="str">
        <f>IFERROR(__xludf.DUMMYFUNCTION("""COMPUTED_VALUE"""),"www.munzee.com")</f>
        <v>www.munzee.com</v>
      </c>
      <c r="P38" s="49" t="str">
        <f>IFERROR(__xludf.DUMMYFUNCTION("""COMPUTED_VALUE"""),"m")</f>
        <v>m</v>
      </c>
      <c r="Q38" s="49" t="str">
        <f>IFERROR(__xludf.DUMMYFUNCTION("""COMPUTED_VALUE"""),"CzPeet")</f>
        <v>CzPeet</v>
      </c>
      <c r="R38" s="49">
        <f>IFERROR(__xludf.DUMMYFUNCTION("""COMPUTED_VALUE"""),6764.0)</f>
        <v>6764</v>
      </c>
      <c r="S38" s="49"/>
    </row>
    <row r="39">
      <c r="A39" s="43">
        <v>5.0</v>
      </c>
      <c r="B39" s="43">
        <v>6.0</v>
      </c>
      <c r="C39" s="43">
        <v>47.5429300086521</v>
      </c>
      <c r="D39" s="43">
        <v>18.4570341413037</v>
      </c>
      <c r="E39" s="43" t="s">
        <v>98</v>
      </c>
      <c r="F39" s="44" t="s">
        <v>243</v>
      </c>
      <c r="G39" s="52" t="s">
        <v>298</v>
      </c>
      <c r="H39" s="46"/>
      <c r="I39" s="11" t="b">
        <v>1</v>
      </c>
      <c r="J39" s="47" t="str">
        <f t="shared" si="3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2"/>
        <v>2</v>
      </c>
      <c r="N39" s="49" t="str">
        <f>IFERROR(__xludf.DUMMYFUNCTION("split(G39,""/"")"),"https:")</f>
        <v>https:</v>
      </c>
      <c r="O39" s="50" t="str">
        <f>IFERROR(__xludf.DUMMYFUNCTION("""COMPUTED_VALUE"""),"www.munzee.com")</f>
        <v>www.munzee.com</v>
      </c>
      <c r="P39" s="49" t="str">
        <f>IFERROR(__xludf.DUMMYFUNCTION("""COMPUTED_VALUE"""),"m")</f>
        <v>m</v>
      </c>
      <c r="Q39" s="49" t="str">
        <f>IFERROR(__xludf.DUMMYFUNCTION("""COMPUTED_VALUE"""),"Aniara")</f>
        <v>Aniara</v>
      </c>
      <c r="R39" s="49">
        <f>IFERROR(__xludf.DUMMYFUNCTION("""COMPUTED_VALUE"""),17961.0)</f>
        <v>17961</v>
      </c>
      <c r="S39" s="49"/>
    </row>
    <row r="40">
      <c r="A40" s="43">
        <v>5.0</v>
      </c>
      <c r="B40" s="43">
        <v>7.0</v>
      </c>
      <c r="C40" s="43">
        <v>47.5429300084551</v>
      </c>
      <c r="D40" s="43">
        <v>18.457247063437</v>
      </c>
      <c r="E40" s="43" t="s">
        <v>98</v>
      </c>
      <c r="F40" s="44" t="s">
        <v>178</v>
      </c>
      <c r="G40" s="45" t="s">
        <v>299</v>
      </c>
      <c r="H40" s="46"/>
      <c r="I40" s="11" t="b">
        <v>1</v>
      </c>
      <c r="J40" s="47" t="str">
        <f t="shared" si="3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IFERROR(__xludf.DUMMYFUNCTION("""COMPUTED_VALUE"""),"lison55")</f>
        <v>lison55</v>
      </c>
      <c r="R40" s="49">
        <f>IFERROR(__xludf.DUMMYFUNCTION("""COMPUTED_VALUE"""),16649.0)</f>
        <v>16649</v>
      </c>
      <c r="S40" s="49"/>
    </row>
    <row r="41">
      <c r="A41" s="43">
        <v>5.0</v>
      </c>
      <c r="B41" s="43">
        <v>8.0</v>
      </c>
      <c r="C41" s="43">
        <v>47.542930008258</v>
      </c>
      <c r="D41" s="43">
        <v>18.4574599855703</v>
      </c>
      <c r="E41" s="43" t="s">
        <v>98</v>
      </c>
      <c r="F41" s="44" t="s">
        <v>141</v>
      </c>
      <c r="G41" s="52" t="s">
        <v>300</v>
      </c>
      <c r="H41" s="46"/>
      <c r="I41" s="11" t="b">
        <v>1</v>
      </c>
      <c r="J41" s="47" t="str">
        <f t="shared" si="3"/>
        <v/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IFERROR(__xludf.DUMMYFUNCTION("""COMPUTED_VALUE"""),"cbf600")</f>
        <v>cbf600</v>
      </c>
      <c r="R41" s="49">
        <f>IFERROR(__xludf.DUMMYFUNCTION("""COMPUTED_VALUE"""),12154.0)</f>
        <v>12154</v>
      </c>
      <c r="S41" s="49"/>
    </row>
    <row r="42">
      <c r="A42" s="11">
        <v>6.0</v>
      </c>
      <c r="B42" s="11">
        <v>1.0</v>
      </c>
      <c r="C42" s="11">
        <v>47.542786279192</v>
      </c>
      <c r="D42" s="11">
        <v>18.4559695154589</v>
      </c>
      <c r="E42" s="11" t="s">
        <v>98</v>
      </c>
      <c r="F42" s="44"/>
      <c r="G42" s="44"/>
      <c r="H42" s="46"/>
      <c r="I42" s="47" t="b">
        <v>0</v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2"/>
        <v>0</v>
      </c>
      <c r="N42" s="49" t="str">
        <f>IFERROR(__xludf.DUMMYFUNCTION("split(G42,""/"")"),"#VALUE!")</f>
        <v>#VALUE!</v>
      </c>
      <c r="O42" s="50"/>
      <c r="P42" s="49"/>
      <c r="Q42" s="49"/>
      <c r="R42" s="49"/>
      <c r="S42" s="51">
        <v>44934.675344097224</v>
      </c>
    </row>
    <row r="43">
      <c r="A43" s="43">
        <v>6.0</v>
      </c>
      <c r="B43" s="43">
        <v>2.0</v>
      </c>
      <c r="C43" s="43">
        <v>47.542786278995</v>
      </c>
      <c r="D43" s="43">
        <v>18.4561824370084</v>
      </c>
      <c r="E43" s="43" t="s">
        <v>98</v>
      </c>
      <c r="F43" s="44" t="s">
        <v>149</v>
      </c>
      <c r="G43" s="45" t="s">
        <v>301</v>
      </c>
      <c r="H43" s="46"/>
      <c r="I43" s="11" t="b">
        <v>1</v>
      </c>
      <c r="J43" s="47" t="str">
        <f t="shared" ref="J43:J55" si="4">if(I43=true,"",S43)</f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IFERROR(__xludf.DUMMYFUNCTION("""COMPUTED_VALUE"""),"Bisquick2")</f>
        <v>Bisquick2</v>
      </c>
      <c r="R43" s="49">
        <f>IFERROR(__xludf.DUMMYFUNCTION("""COMPUTED_VALUE"""),7109.0)</f>
        <v>7109</v>
      </c>
      <c r="S43" s="49"/>
    </row>
    <row r="44">
      <c r="A44" s="43">
        <v>6.0</v>
      </c>
      <c r="B44" s="43">
        <v>3.0</v>
      </c>
      <c r="C44" s="43">
        <v>47.5427862787979</v>
      </c>
      <c r="D44" s="43">
        <v>18.4563953585579</v>
      </c>
      <c r="E44" s="43" t="s">
        <v>103</v>
      </c>
      <c r="F44" s="44" t="s">
        <v>99</v>
      </c>
      <c r="G44" s="45" t="s">
        <v>302</v>
      </c>
      <c r="H44" s="46"/>
      <c r="I44" s="11" t="b">
        <v>1</v>
      </c>
      <c r="J44" s="47" t="str">
        <f t="shared" si="4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IFERROR(__xludf.DUMMYFUNCTION("""COMPUTED_VALUE"""),"raunas")</f>
        <v>raunas</v>
      </c>
      <c r="R44" s="49">
        <f>IFERROR(__xludf.DUMMYFUNCTION("""COMPUTED_VALUE"""),12598.0)</f>
        <v>12598</v>
      </c>
      <c r="S44" s="49"/>
    </row>
    <row r="45">
      <c r="A45" s="43">
        <v>6.0</v>
      </c>
      <c r="B45" s="43">
        <v>4.0</v>
      </c>
      <c r="C45" s="43">
        <v>47.5427862786009</v>
      </c>
      <c r="D45" s="43">
        <v>18.4566082801075</v>
      </c>
      <c r="E45" s="43" t="s">
        <v>98</v>
      </c>
      <c r="F45" s="44" t="s">
        <v>157</v>
      </c>
      <c r="G45" s="45" t="s">
        <v>303</v>
      </c>
      <c r="H45" s="46"/>
      <c r="I45" s="11" t="b">
        <v>1</v>
      </c>
      <c r="J45" s="47" t="str">
        <f t="shared" si="4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IFERROR(__xludf.DUMMYFUNCTION("""COMPUTED_VALUE"""),"barefootguru")</f>
        <v>barefootguru</v>
      </c>
      <c r="R45" s="49">
        <f>IFERROR(__xludf.DUMMYFUNCTION("""COMPUTED_VALUE"""),5278.0)</f>
        <v>5278</v>
      </c>
      <c r="S45" s="49"/>
    </row>
    <row r="46">
      <c r="A46" s="43">
        <v>6.0</v>
      </c>
      <c r="B46" s="43">
        <v>5.0</v>
      </c>
      <c r="C46" s="43">
        <v>47.5427862784038</v>
      </c>
      <c r="D46" s="43">
        <v>18.456821201657</v>
      </c>
      <c r="E46" s="43" t="s">
        <v>98</v>
      </c>
      <c r="F46" s="44" t="s">
        <v>141</v>
      </c>
      <c r="G46" s="52" t="s">
        <v>304</v>
      </c>
      <c r="H46" s="46"/>
      <c r="I46" s="11" t="b">
        <v>1</v>
      </c>
      <c r="J46" s="47" t="str">
        <f t="shared" si="4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2"/>
        <v>2</v>
      </c>
      <c r="N46" s="49" t="str">
        <f>IFERROR(__xludf.DUMMYFUNCTION("split(G46,""/"")"),"https:")</f>
        <v>https:</v>
      </c>
      <c r="O46" s="50" t="str">
        <f>IFERROR(__xludf.DUMMYFUNCTION("""COMPUTED_VALUE"""),"www.munzee.com")</f>
        <v>www.munzee.com</v>
      </c>
      <c r="P46" s="49" t="str">
        <f>IFERROR(__xludf.DUMMYFUNCTION("""COMPUTED_VALUE"""),"m")</f>
        <v>m</v>
      </c>
      <c r="Q46" s="49" t="str">
        <f>IFERROR(__xludf.DUMMYFUNCTION("""COMPUTED_VALUE"""),"cbf600")</f>
        <v>cbf600</v>
      </c>
      <c r="R46" s="49">
        <f>IFERROR(__xludf.DUMMYFUNCTION("""COMPUTED_VALUE"""),12155.0)</f>
        <v>12155</v>
      </c>
      <c r="S46" s="49"/>
    </row>
    <row r="47">
      <c r="A47" s="43">
        <v>6.0</v>
      </c>
      <c r="B47" s="43">
        <v>6.0</v>
      </c>
      <c r="C47" s="43">
        <v>47.5427862782068</v>
      </c>
      <c r="D47" s="43">
        <v>18.4570341232065</v>
      </c>
      <c r="E47" s="43" t="s">
        <v>103</v>
      </c>
      <c r="F47" s="44" t="s">
        <v>108</v>
      </c>
      <c r="G47" s="45" t="s">
        <v>305</v>
      </c>
      <c r="H47" s="46"/>
      <c r="I47" s="11" t="b">
        <v>1</v>
      </c>
      <c r="J47" s="47" t="str">
        <f t="shared" si="4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IFERROR(__xludf.DUMMYFUNCTION("""COMPUTED_VALUE"""),"Bungle")</f>
        <v>Bungle</v>
      </c>
      <c r="R47" s="49">
        <f>IFERROR(__xludf.DUMMYFUNCTION("""COMPUTED_VALUE"""),10437.0)</f>
        <v>10437</v>
      </c>
      <c r="S47" s="49"/>
    </row>
    <row r="48">
      <c r="A48" s="43">
        <v>6.0</v>
      </c>
      <c r="B48" s="43">
        <v>7.0</v>
      </c>
      <c r="C48" s="43">
        <v>47.5427862780098</v>
      </c>
      <c r="D48" s="43">
        <v>18.457247044756</v>
      </c>
      <c r="E48" s="43" t="s">
        <v>98</v>
      </c>
      <c r="F48" s="44" t="s">
        <v>145</v>
      </c>
      <c r="G48" s="45" t="s">
        <v>306</v>
      </c>
      <c r="H48" s="46"/>
      <c r="I48" s="11" t="b">
        <v>1</v>
      </c>
      <c r="J48" s="47" t="str">
        <f t="shared" si="4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IFERROR(__xludf.DUMMYFUNCTION("""COMPUTED_VALUE"""),5375.0)</f>
        <v>5375</v>
      </c>
      <c r="S48" s="51">
        <v>44357.49152769676</v>
      </c>
    </row>
    <row r="49">
      <c r="A49" s="43">
        <v>6.0</v>
      </c>
      <c r="B49" s="43">
        <v>8.0</v>
      </c>
      <c r="C49" s="43">
        <v>47.5427862778127</v>
      </c>
      <c r="D49" s="43">
        <v>18.4574599663055</v>
      </c>
      <c r="E49" s="43" t="s">
        <v>98</v>
      </c>
      <c r="F49" s="44" t="s">
        <v>147</v>
      </c>
      <c r="G49" s="52" t="s">
        <v>307</v>
      </c>
      <c r="H49" s="46"/>
      <c r="I49" s="11" t="b">
        <v>1</v>
      </c>
      <c r="J49" s="47" t="str">
        <f t="shared" si="4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IFERROR(__xludf.DUMMYFUNCTION("""COMPUTED_VALUE"""),13724.0)</f>
        <v>13724</v>
      </c>
      <c r="S49" s="51">
        <v>44357.49168160879</v>
      </c>
    </row>
    <row r="50">
      <c r="A50" s="43">
        <v>7.0</v>
      </c>
      <c r="B50" s="43">
        <v>2.0</v>
      </c>
      <c r="C50" s="43">
        <v>47.5426425485495</v>
      </c>
      <c r="D50" s="43">
        <v>18.4561824212463</v>
      </c>
      <c r="E50" s="43" t="s">
        <v>103</v>
      </c>
      <c r="F50" s="44" t="s">
        <v>279</v>
      </c>
      <c r="G50" s="45" t="s">
        <v>308</v>
      </c>
      <c r="H50" s="46"/>
      <c r="I50" s="11" t="b">
        <v>1</v>
      </c>
      <c r="J50" s="47" t="str">
        <f t="shared" si="4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IFERROR(__xludf.DUMMYFUNCTION("""COMPUTED_VALUE"""),"tommobil")</f>
        <v>tommobil</v>
      </c>
      <c r="R50" s="49">
        <f>IFERROR(__xludf.DUMMYFUNCTION("""COMPUTED_VALUE"""),1407.0)</f>
        <v>1407</v>
      </c>
      <c r="S50" s="49"/>
    </row>
    <row r="51">
      <c r="A51" s="43">
        <v>7.0</v>
      </c>
      <c r="B51" s="43">
        <v>3.0</v>
      </c>
      <c r="C51" s="43">
        <v>47.5426425483525</v>
      </c>
      <c r="D51" s="43">
        <v>18.456395342212</v>
      </c>
      <c r="E51" s="43" t="s">
        <v>98</v>
      </c>
      <c r="F51" s="44" t="s">
        <v>153</v>
      </c>
      <c r="G51" s="45" t="s">
        <v>309</v>
      </c>
      <c r="H51" s="46"/>
      <c r="I51" s="11" t="b">
        <v>1</v>
      </c>
      <c r="J51" s="47" t="str">
        <f t="shared" si="4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2"/>
        <v>2</v>
      </c>
      <c r="N51" s="49" t="str">
        <f>IFERROR(__xludf.DUMMYFUNCTION("split(G51,""/"")"),"https:")</f>
        <v>https:</v>
      </c>
      <c r="O51" s="50" t="str">
        <f>IFERROR(__xludf.DUMMYFUNCTION("""COMPUTED_VALUE"""),"www.munzee.com")</f>
        <v>www.munzee.com</v>
      </c>
      <c r="P51" s="49" t="str">
        <f>IFERROR(__xludf.DUMMYFUNCTION("""COMPUTED_VALUE"""),"m")</f>
        <v>m</v>
      </c>
      <c r="Q51" s="49" t="str">
        <f>IFERROR(__xludf.DUMMYFUNCTION("""COMPUTED_VALUE"""),"mortonfox")</f>
        <v>mortonfox</v>
      </c>
      <c r="R51" s="49">
        <f>IFERROR(__xludf.DUMMYFUNCTION("""COMPUTED_VALUE"""),22624.0)</f>
        <v>22624</v>
      </c>
      <c r="S51" s="49"/>
    </row>
    <row r="52">
      <c r="A52" s="55">
        <v>7.0</v>
      </c>
      <c r="B52" s="55">
        <v>4.0</v>
      </c>
      <c r="C52" s="55">
        <v>47.5426425481555</v>
      </c>
      <c r="D52" s="55">
        <v>18.4566082631778</v>
      </c>
      <c r="E52" s="55" t="s">
        <v>98</v>
      </c>
      <c r="F52" s="44" t="s">
        <v>140</v>
      </c>
      <c r="G52" s="45" t="s">
        <v>310</v>
      </c>
      <c r="H52" s="46"/>
      <c r="I52" s="47" t="b">
        <v>0</v>
      </c>
      <c r="J52" s="47" t="str">
        <f t="shared" si="4"/>
        <v/>
      </c>
      <c r="K52" s="48" t="str">
        <f>IFERROR(__xludf.DUMMYFUNCTION("IF(M52=1,IFERROR(TRIM(IMPORTXML(G52, ""//p[@class='status-date']"")), ""Not deployed""),"""")"),"Deployed")</f>
        <v>Deployed</v>
      </c>
      <c r="L52" s="48"/>
      <c r="M52" s="48">
        <f t="shared" si="2"/>
        <v>1</v>
      </c>
      <c r="N52" s="49" t="str">
        <f>IFERROR(__xludf.DUMMYFUNCTION("split(G52,""/"")"),"https:")</f>
        <v>https:</v>
      </c>
      <c r="O52" s="50" t="str">
        <f>IFERROR(__xludf.DUMMYFUNCTION("""COMPUTED_VALUE"""),"www.munzee.com")</f>
        <v>www.munzee.com</v>
      </c>
      <c r="P52" s="49" t="str">
        <f>IFERROR(__xludf.DUMMYFUNCTION("""COMPUTED_VALUE"""),"m")</f>
        <v>m</v>
      </c>
      <c r="Q52" s="49" t="str">
        <f>IFERROR(__xludf.DUMMYFUNCTION("""COMPUTED_VALUE"""),"Fossillady")</f>
        <v>Fossillady</v>
      </c>
      <c r="R52" s="49">
        <f>IFERROR(__xludf.DUMMYFUNCTION("""COMPUTED_VALUE"""),5417.0)</f>
        <v>5417</v>
      </c>
      <c r="S52" s="49"/>
    </row>
    <row r="53">
      <c r="A53" s="43">
        <v>7.0</v>
      </c>
      <c r="B53" s="43">
        <v>5.0</v>
      </c>
      <c r="C53" s="43">
        <v>47.5426425479584</v>
      </c>
      <c r="D53" s="43">
        <v>18.4568211841435</v>
      </c>
      <c r="E53" s="43" t="s">
        <v>98</v>
      </c>
      <c r="F53" s="44" t="s">
        <v>279</v>
      </c>
      <c r="G53" s="45" t="s">
        <v>311</v>
      </c>
      <c r="H53" s="46"/>
      <c r="I53" s="11" t="b">
        <v>1</v>
      </c>
      <c r="J53" s="47" t="str">
        <f t="shared" si="4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2"/>
        <v>2</v>
      </c>
      <c r="N53" s="49" t="str">
        <f>IFERROR(__xludf.DUMMYFUNCTION("split(G53,""/"")"),"https:")</f>
        <v>https:</v>
      </c>
      <c r="O53" s="50" t="str">
        <f>IFERROR(__xludf.DUMMYFUNCTION("""COMPUTED_VALUE"""),"www.munzee.com")</f>
        <v>www.munzee.com</v>
      </c>
      <c r="P53" s="49" t="str">
        <f>IFERROR(__xludf.DUMMYFUNCTION("""COMPUTED_VALUE"""),"m")</f>
        <v>m</v>
      </c>
      <c r="Q53" s="49" t="str">
        <f>IFERROR(__xludf.DUMMYFUNCTION("""COMPUTED_VALUE"""),"tommobil")</f>
        <v>tommobil</v>
      </c>
      <c r="R53" s="49">
        <f>IFERROR(__xludf.DUMMYFUNCTION("""COMPUTED_VALUE"""),1409.0)</f>
        <v>1409</v>
      </c>
      <c r="S53" s="49"/>
    </row>
    <row r="54">
      <c r="A54" s="55">
        <v>7.0</v>
      </c>
      <c r="B54" s="55">
        <v>6.0</v>
      </c>
      <c r="C54" s="55">
        <v>47.5426425477614</v>
      </c>
      <c r="D54" s="55">
        <v>18.4570341051093</v>
      </c>
      <c r="E54" s="55" t="s">
        <v>98</v>
      </c>
      <c r="F54" s="44"/>
      <c r="G54" s="46"/>
      <c r="H54" s="46"/>
      <c r="I54" s="47" t="b">
        <v>0</v>
      </c>
      <c r="J54" s="47" t="str">
        <f t="shared" si="4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2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47.5426425475644</v>
      </c>
      <c r="D55" s="43">
        <v>18.457247026075</v>
      </c>
      <c r="E55" s="43" t="s">
        <v>98</v>
      </c>
      <c r="F55" s="44" t="s">
        <v>292</v>
      </c>
      <c r="G55" s="45" t="s">
        <v>312</v>
      </c>
      <c r="H55" s="46"/>
      <c r="I55" s="11" t="b">
        <v>1</v>
      </c>
      <c r="J55" s="47" t="str">
        <f t="shared" si="4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IFERROR(__xludf.DUMMYFUNCTION("""COMPUTED_VALUE"""),"alexmester")</f>
        <v>alexmester</v>
      </c>
      <c r="R55" s="49">
        <f>IFERROR(__xludf.DUMMYFUNCTION("""COMPUTED_VALUE"""),1257.0)</f>
        <v>1257</v>
      </c>
      <c r="S55" s="49"/>
    </row>
    <row r="56">
      <c r="A56" s="55">
        <v>8.0</v>
      </c>
      <c r="B56" s="55">
        <v>3.0</v>
      </c>
      <c r="C56" s="55">
        <v>47.5424988179072</v>
      </c>
      <c r="D56" s="55">
        <v>18.4563953258661</v>
      </c>
      <c r="E56" s="55" t="s">
        <v>98</v>
      </c>
      <c r="F56" s="46"/>
      <c r="G56" s="46"/>
      <c r="H56" s="46"/>
      <c r="I56" s="47" t="b">
        <v>0</v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2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43">
        <v>8.0</v>
      </c>
      <c r="B57" s="43">
        <v>4.0</v>
      </c>
      <c r="C57" s="43">
        <v>47.5424988177102</v>
      </c>
      <c r="D57" s="43">
        <v>18.4566082462481</v>
      </c>
      <c r="E57" s="43" t="s">
        <v>103</v>
      </c>
      <c r="F57" s="44" t="s">
        <v>292</v>
      </c>
      <c r="G57" s="45" t="s">
        <v>313</v>
      </c>
      <c r="H57" s="46"/>
      <c r="I57" s="11" t="b">
        <v>1</v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IFERROR(__xludf.DUMMYFUNCTION("""COMPUTED_VALUE"""),"alexmester")</f>
        <v>alexmester</v>
      </c>
      <c r="R57" s="49">
        <f>IFERROR(__xludf.DUMMYFUNCTION("""COMPUTED_VALUE"""),1237.0)</f>
        <v>1237</v>
      </c>
      <c r="S57" s="49"/>
    </row>
    <row r="58">
      <c r="A58" s="43">
        <v>8.0</v>
      </c>
      <c r="B58" s="43">
        <v>5.0</v>
      </c>
      <c r="C58" s="43">
        <v>47.5424988175131</v>
      </c>
      <c r="D58" s="43">
        <v>18.4568211666301</v>
      </c>
      <c r="E58" s="43" t="s">
        <v>103</v>
      </c>
      <c r="F58" s="44" t="s">
        <v>314</v>
      </c>
      <c r="G58" s="68" t="s">
        <v>315</v>
      </c>
      <c r="H58" s="46"/>
      <c r="I58" s="11" t="b">
        <v>1</v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IFERROR(__xludf.DUMMYFUNCTION("""COMPUTED_VALUE"""),"Trappertje")</f>
        <v>Trappertje</v>
      </c>
      <c r="R58" s="49">
        <f>IFERROR(__xludf.DUMMYFUNCTION("""COMPUTED_VALUE"""),15129.0)</f>
        <v>15129</v>
      </c>
      <c r="S58" s="51">
        <v>44698.606333958334</v>
      </c>
    </row>
    <row r="59">
      <c r="A59" s="43">
        <v>8.0</v>
      </c>
      <c r="B59" s="43">
        <v>6.0</v>
      </c>
      <c r="C59" s="43">
        <v>47.5424988173161</v>
      </c>
      <c r="D59" s="43">
        <v>18.457034087012</v>
      </c>
      <c r="E59" s="43" t="s">
        <v>98</v>
      </c>
      <c r="F59" s="44" t="s">
        <v>283</v>
      </c>
      <c r="G59" s="52" t="s">
        <v>316</v>
      </c>
      <c r="H59" s="46"/>
      <c r="I59" s="11" t="b">
        <v>1</v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IFERROR(__xludf.DUMMYFUNCTION("""COMPUTED_VALUE"""),"Csiki86")</f>
        <v>Csiki86</v>
      </c>
      <c r="R59" s="49">
        <f>IFERROR(__xludf.DUMMYFUNCTION("""COMPUTED_VALUE"""),457.0)</f>
        <v>457</v>
      </c>
      <c r="S59" s="49"/>
    </row>
    <row r="61" hidden="1">
      <c r="F61" s="47">
        <f t="shared" ref="F61:G61" si="5">COUNTIF(F8:F59,"")</f>
        <v>3</v>
      </c>
      <c r="G61" s="47">
        <f t="shared" si="5"/>
        <v>3</v>
      </c>
      <c r="I61" s="47">
        <f>COUNTIF(I8:I59,TRUE)</f>
        <v>48</v>
      </c>
    </row>
    <row r="62" hidden="1"/>
    <row r="63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G33"/>
    <hyperlink r:id="rId54" ref="O33"/>
    <hyperlink r:id="rId55" ref="G34"/>
    <hyperlink r:id="rId56" ref="O34"/>
    <hyperlink r:id="rId57" ref="G35"/>
    <hyperlink r:id="rId58" ref="O35"/>
    <hyperlink r:id="rId59" ref="G36"/>
    <hyperlink r:id="rId60" ref="O36"/>
    <hyperlink r:id="rId61" ref="G37"/>
    <hyperlink r:id="rId62" ref="O37"/>
    <hyperlink r:id="rId63" ref="G38"/>
    <hyperlink r:id="rId64" ref="O38"/>
    <hyperlink r:id="rId65" ref="G39"/>
    <hyperlink r:id="rId66" ref="O39"/>
    <hyperlink r:id="rId67" ref="G40"/>
    <hyperlink r:id="rId68" ref="O40"/>
    <hyperlink r:id="rId69" ref="G41"/>
    <hyperlink r:id="rId70" ref="O41"/>
    <hyperlink r:id="rId71" ref="O42"/>
    <hyperlink r:id="rId72" ref="G43"/>
    <hyperlink r:id="rId73" ref="O43"/>
    <hyperlink r:id="rId74" ref="G44"/>
    <hyperlink r:id="rId75" ref="O44"/>
    <hyperlink r:id="rId76" ref="G45"/>
    <hyperlink r:id="rId77" ref="O45"/>
    <hyperlink r:id="rId78" ref="G46"/>
    <hyperlink r:id="rId79" ref="O46"/>
    <hyperlink r:id="rId80" ref="G47"/>
    <hyperlink r:id="rId81" ref="O47"/>
    <hyperlink r:id="rId82" ref="G48"/>
    <hyperlink r:id="rId83" ref="O48"/>
    <hyperlink r:id="rId84" ref="G49"/>
    <hyperlink r:id="rId85" ref="O49"/>
    <hyperlink r:id="rId86" ref="G50"/>
    <hyperlink r:id="rId87" ref="O50"/>
    <hyperlink r:id="rId88" ref="G51"/>
    <hyperlink r:id="rId89" ref="O51"/>
    <hyperlink r:id="rId90" ref="G52"/>
    <hyperlink r:id="rId91" ref="O52"/>
    <hyperlink r:id="rId92" ref="G53"/>
    <hyperlink r:id="rId93" ref="O53"/>
    <hyperlink r:id="rId94" ref="O54"/>
    <hyperlink r:id="rId95" ref="G55"/>
    <hyperlink r:id="rId96" ref="O55"/>
    <hyperlink r:id="rId97" ref="O56"/>
    <hyperlink r:id="rId98" ref="G57"/>
    <hyperlink r:id="rId99" ref="O57"/>
    <hyperlink r:id="rId100" ref="G58"/>
    <hyperlink r:id="rId101" ref="O58"/>
    <hyperlink r:id="rId102" ref="G59"/>
    <hyperlink r:id="rId103" ref="O59"/>
  </hyperlinks>
  <drawing r:id="rId104"/>
  <tableParts count="1">
    <tablePart r:id="rId106"/>
  </tableParts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0"/>
    <col customWidth="1" min="2" max="2" width="12.0"/>
    <col customWidth="1" min="3" max="3" width="13.25"/>
    <col customWidth="1" min="4" max="4" width="13.38"/>
    <col customWidth="1" min="5" max="5" width="18.38"/>
    <col customWidth="1" min="6" max="6" width="15.5"/>
    <col customWidth="1" min="7" max="7" width="39.38"/>
    <col customWidth="1" min="8" max="8" width="15.75"/>
    <col customWidth="1" min="9" max="9" width="9.2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20</v>
      </c>
      <c r="B1" s="37" t="s">
        <v>67</v>
      </c>
      <c r="D1" s="37"/>
      <c r="E1" s="2" t="s">
        <v>79</v>
      </c>
      <c r="F1" s="59" t="s">
        <v>80</v>
      </c>
      <c r="G1" s="69" t="s">
        <v>317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318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1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11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40</v>
      </c>
      <c r="G5" s="39">
        <f>F5/52</f>
        <v>0.7692307692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39.6505823682381</v>
      </c>
      <c r="D8" s="43">
        <v>-77.74111383909</v>
      </c>
      <c r="E8" s="43" t="s">
        <v>98</v>
      </c>
      <c r="F8" s="44" t="s">
        <v>319</v>
      </c>
      <c r="G8" s="52" t="s">
        <v>320</v>
      </c>
      <c r="H8" s="70"/>
      <c r="I8" s="11" t="b">
        <v>1</v>
      </c>
      <c r="J8" s="47" t="str">
        <f t="shared" ref="J8:J15" si="1">if(I8=true,"",S8)</f>
        <v/>
      </c>
      <c r="K8" s="49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IFERROR(__xludf.DUMMYFUNCTION("""COMPUTED_VALUE"""),3775.0)</f>
        <v>3775</v>
      </c>
      <c r="S8" s="51">
        <v>44357.48987334491</v>
      </c>
    </row>
    <row r="9">
      <c r="A9" s="43">
        <v>1.0</v>
      </c>
      <c r="B9" s="43">
        <v>4.0</v>
      </c>
      <c r="C9" s="43">
        <v>39.6505823680887</v>
      </c>
      <c r="D9" s="43">
        <v>-77.7409271641021</v>
      </c>
      <c r="E9" s="43" t="s">
        <v>98</v>
      </c>
      <c r="F9" s="44" t="s">
        <v>101</v>
      </c>
      <c r="G9" s="45" t="s">
        <v>321</v>
      </c>
      <c r="H9" s="71"/>
      <c r="I9" s="11" t="b">
        <v>1</v>
      </c>
      <c r="J9" s="47" t="str">
        <f t="shared" si="1"/>
        <v/>
      </c>
      <c r="K9" s="49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IFERROR(__xludf.DUMMYFUNCTION("""COMPUTED_VALUE"""),6281.0)</f>
        <v>6281</v>
      </c>
      <c r="S9" s="51">
        <v>44357.48989561343</v>
      </c>
    </row>
    <row r="10">
      <c r="A10" s="43">
        <v>1.0</v>
      </c>
      <c r="B10" s="43">
        <v>5.0</v>
      </c>
      <c r="C10" s="43">
        <v>39.6505823679392</v>
      </c>
      <c r="D10" s="43">
        <v>-77.7407404891142</v>
      </c>
      <c r="E10" s="43" t="s">
        <v>103</v>
      </c>
      <c r="F10" s="44" t="s">
        <v>217</v>
      </c>
      <c r="G10" s="45" t="s">
        <v>322</v>
      </c>
      <c r="H10" s="71"/>
      <c r="I10" s="11" t="b">
        <v>1</v>
      </c>
      <c r="J10" s="47" t="str">
        <f t="shared" si="1"/>
        <v/>
      </c>
      <c r="K10" s="49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IFERROR(__xludf.DUMMYFUNCTION("""COMPUTED_VALUE"""),"EmileP68")</f>
        <v>EmileP68</v>
      </c>
      <c r="R10" s="49">
        <f>IFERROR(__xludf.DUMMYFUNCTION("""COMPUTED_VALUE"""),5117.0)</f>
        <v>5117</v>
      </c>
      <c r="S10" s="51">
        <v>44357.489945381945</v>
      </c>
    </row>
    <row r="11">
      <c r="A11" s="43">
        <v>1.0</v>
      </c>
      <c r="B11" s="43">
        <v>6.0</v>
      </c>
      <c r="C11" s="43">
        <v>39.6505823677898</v>
      </c>
      <c r="D11" s="43">
        <v>-77.7405538141263</v>
      </c>
      <c r="E11" s="43" t="s">
        <v>103</v>
      </c>
      <c r="F11" s="44" t="s">
        <v>323</v>
      </c>
      <c r="G11" s="45" t="s">
        <v>324</v>
      </c>
      <c r="H11" s="71"/>
      <c r="I11" s="11" t="b">
        <v>1</v>
      </c>
      <c r="J11" s="47" t="str">
        <f t="shared" si="1"/>
        <v/>
      </c>
      <c r="K11" s="49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IFERROR(__xludf.DUMMYFUNCTION("""COMPUTED_VALUE"""),"PawPatrolThomas")</f>
        <v>PawPatrolThomas</v>
      </c>
      <c r="R11" s="49">
        <f>IFERROR(__xludf.DUMMYFUNCTION("""COMPUTED_VALUE"""),4301.0)</f>
        <v>4301</v>
      </c>
      <c r="S11" s="51">
        <v>44357.48999983796</v>
      </c>
    </row>
    <row r="12">
      <c r="A12" s="43">
        <v>2.0</v>
      </c>
      <c r="B12" s="43">
        <v>2.0</v>
      </c>
      <c r="C12" s="43">
        <v>39.6504386379422</v>
      </c>
      <c r="D12" s="43">
        <v>-77.7413005245571</v>
      </c>
      <c r="E12" s="43" t="s">
        <v>98</v>
      </c>
      <c r="F12" s="44" t="s">
        <v>110</v>
      </c>
      <c r="G12" s="52" t="s">
        <v>325</v>
      </c>
      <c r="H12" s="72"/>
      <c r="I12" s="11" t="b">
        <v>1</v>
      </c>
      <c r="J12" s="47" t="str">
        <f t="shared" si="1"/>
        <v/>
      </c>
      <c r="K12" s="49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IFERROR(__xludf.DUMMYFUNCTION("""COMPUTED_VALUE"""),5246.0)</f>
        <v>5246</v>
      </c>
      <c r="S12" s="49"/>
    </row>
    <row r="13">
      <c r="A13" s="43">
        <v>2.0</v>
      </c>
      <c r="B13" s="43">
        <v>3.0</v>
      </c>
      <c r="C13" s="43">
        <v>39.6504386377928</v>
      </c>
      <c r="D13" s="43">
        <v>-77.7411138499573</v>
      </c>
      <c r="E13" s="43" t="s">
        <v>98</v>
      </c>
      <c r="F13" s="44" t="s">
        <v>112</v>
      </c>
      <c r="G13" s="52" t="s">
        <v>326</v>
      </c>
      <c r="H13" s="70"/>
      <c r="I13" s="11" t="b">
        <v>1</v>
      </c>
      <c r="J13" s="47" t="str">
        <f t="shared" si="1"/>
        <v/>
      </c>
      <c r="K13" s="49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IFERROR(__xludf.DUMMYFUNCTION("""COMPUTED_VALUE"""),3545.0)</f>
        <v>3545</v>
      </c>
      <c r="S13" s="49"/>
    </row>
    <row r="14">
      <c r="A14" s="43">
        <v>2.0</v>
      </c>
      <c r="B14" s="43">
        <v>4.0</v>
      </c>
      <c r="C14" s="43">
        <v>39.6504386376434</v>
      </c>
      <c r="D14" s="43">
        <v>-77.7409271753575</v>
      </c>
      <c r="E14" s="43" t="s">
        <v>98</v>
      </c>
      <c r="F14" s="44" t="s">
        <v>114</v>
      </c>
      <c r="G14" s="45" t="s">
        <v>327</v>
      </c>
      <c r="H14" s="71"/>
      <c r="I14" s="11" t="b">
        <v>1</v>
      </c>
      <c r="J14" s="47" t="str">
        <f t="shared" si="1"/>
        <v/>
      </c>
      <c r="K14" s="49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IFERROR(__xludf.DUMMYFUNCTION("""COMPUTED_VALUE"""),14455.0)</f>
        <v>14455</v>
      </c>
      <c r="S14" s="49"/>
    </row>
    <row r="15">
      <c r="A15" s="43">
        <v>2.0</v>
      </c>
      <c r="B15" s="43">
        <v>5.0</v>
      </c>
      <c r="C15" s="43">
        <v>39.650438637494</v>
      </c>
      <c r="D15" s="43">
        <v>-77.7407405007576</v>
      </c>
      <c r="E15" s="43" t="s">
        <v>103</v>
      </c>
      <c r="F15" s="44" t="s">
        <v>178</v>
      </c>
      <c r="G15" s="45" t="s">
        <v>328</v>
      </c>
      <c r="H15" s="71"/>
      <c r="I15" s="11" t="b">
        <v>1</v>
      </c>
      <c r="J15" s="47" t="str">
        <f t="shared" si="1"/>
        <v/>
      </c>
      <c r="K15" s="49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IFERROR(__xludf.DUMMYFUNCTION("""COMPUTED_VALUE"""),"lison55")</f>
        <v>lison55</v>
      </c>
      <c r="R15" s="49">
        <f>IFERROR(__xludf.DUMMYFUNCTION("""COMPUTED_VALUE"""),8396.0)</f>
        <v>8396</v>
      </c>
      <c r="S15" s="49"/>
    </row>
    <row r="16">
      <c r="A16" s="43">
        <v>2.0</v>
      </c>
      <c r="B16" s="43">
        <v>6.0</v>
      </c>
      <c r="C16" s="43">
        <v>39.6504386373446</v>
      </c>
      <c r="D16" s="43">
        <v>-77.7405538261578</v>
      </c>
      <c r="E16" s="43" t="s">
        <v>98</v>
      </c>
      <c r="F16" s="44" t="s">
        <v>116</v>
      </c>
      <c r="G16" s="45" t="s">
        <v>329</v>
      </c>
      <c r="H16" s="71"/>
      <c r="I16" s="11" t="b">
        <v>1</v>
      </c>
      <c r="J16" s="53"/>
      <c r="K16" s="49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IFERROR(__xludf.DUMMYFUNCTION("""COMPUTED_VALUE"""),"fsafranek")</f>
        <v>fsafranek</v>
      </c>
      <c r="R16" s="49">
        <f>IFERROR(__xludf.DUMMYFUNCTION("""COMPUTED_VALUE"""),5371.0)</f>
        <v>5371</v>
      </c>
      <c r="S16" s="49"/>
    </row>
    <row r="17">
      <c r="A17" s="43">
        <v>2.0</v>
      </c>
      <c r="B17" s="43">
        <v>7.0</v>
      </c>
      <c r="C17" s="43">
        <v>39.6504386371952</v>
      </c>
      <c r="D17" s="43">
        <v>-77.740367151558</v>
      </c>
      <c r="E17" s="43" t="s">
        <v>98</v>
      </c>
      <c r="F17" s="44" t="s">
        <v>99</v>
      </c>
      <c r="G17" s="45" t="s">
        <v>330</v>
      </c>
      <c r="H17" s="71"/>
      <c r="I17" s="11" t="b">
        <v>1</v>
      </c>
      <c r="J17" s="47" t="str">
        <f t="shared" ref="J17:J30" si="3">if(I17=true,"",S17)</f>
        <v/>
      </c>
      <c r="K17" s="49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IFERROR(__xludf.DUMMYFUNCTION("""COMPUTED_VALUE"""),"raunas")</f>
        <v>raunas</v>
      </c>
      <c r="R17" s="49">
        <f>IFERROR(__xludf.DUMMYFUNCTION("""COMPUTED_VALUE"""),7250.0)</f>
        <v>7250</v>
      </c>
      <c r="S17" s="49"/>
    </row>
    <row r="18">
      <c r="A18" s="43">
        <v>3.0</v>
      </c>
      <c r="B18" s="43">
        <v>1.0</v>
      </c>
      <c r="C18" s="43">
        <v>39.6502949076462</v>
      </c>
      <c r="D18" s="43">
        <v>-77.7414872092478</v>
      </c>
      <c r="E18" s="43" t="s">
        <v>98</v>
      </c>
      <c r="F18" s="44" t="s">
        <v>331</v>
      </c>
      <c r="G18" s="52" t="s">
        <v>332</v>
      </c>
      <c r="H18" s="70"/>
      <c r="I18" s="11" t="b">
        <v>1</v>
      </c>
      <c r="J18" s="47" t="str">
        <f t="shared" si="3"/>
        <v/>
      </c>
      <c r="K18" s="49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IFERROR(__xludf.DUMMYFUNCTION("""COMPUTED_VALUE"""),"Whatsoverthere")</f>
        <v>Whatsoverthere</v>
      </c>
      <c r="R18" s="49">
        <f>IFERROR(__xludf.DUMMYFUNCTION("""COMPUTED_VALUE"""),8615.0)</f>
        <v>8615</v>
      </c>
      <c r="S18" s="49"/>
    </row>
    <row r="19">
      <c r="A19" s="43">
        <v>3.0</v>
      </c>
      <c r="B19" s="43">
        <v>2.0</v>
      </c>
      <c r="C19" s="43">
        <v>39.6502949074968</v>
      </c>
      <c r="D19" s="43">
        <v>-77.741300535036</v>
      </c>
      <c r="E19" s="43" t="s">
        <v>98</v>
      </c>
      <c r="F19" s="44" t="s">
        <v>237</v>
      </c>
      <c r="G19" s="52" t="s">
        <v>333</v>
      </c>
      <c r="H19" s="70"/>
      <c r="I19" s="11" t="b">
        <v>1</v>
      </c>
      <c r="J19" s="47" t="str">
        <f t="shared" si="3"/>
        <v/>
      </c>
      <c r="K19" s="49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IFERROR(__xludf.DUMMYFUNCTION("""COMPUTED_VALUE"""),"Oppresso1983")</f>
        <v>Oppresso1983</v>
      </c>
      <c r="R19" s="49">
        <f>IFERROR(__xludf.DUMMYFUNCTION("""COMPUTED_VALUE"""),3939.0)</f>
        <v>3939</v>
      </c>
      <c r="S19" s="49"/>
    </row>
    <row r="20">
      <c r="A20" s="43">
        <v>3.0</v>
      </c>
      <c r="B20" s="43">
        <v>3.0</v>
      </c>
      <c r="C20" s="43">
        <v>39.6502949073474</v>
      </c>
      <c r="D20" s="43">
        <v>-77.7411138608243</v>
      </c>
      <c r="E20" s="43" t="s">
        <v>98</v>
      </c>
      <c r="F20" s="44" t="s">
        <v>120</v>
      </c>
      <c r="G20" s="45" t="s">
        <v>334</v>
      </c>
      <c r="H20" s="71"/>
      <c r="I20" s="11" t="b">
        <v>1</v>
      </c>
      <c r="J20" s="47" t="str">
        <f t="shared" si="3"/>
        <v/>
      </c>
      <c r="K20" s="49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IFERROR(__xludf.DUMMYFUNCTION("""COMPUTED_VALUE"""),"xrayneex")</f>
        <v>xrayneex</v>
      </c>
      <c r="R20" s="49">
        <f>IFERROR(__xludf.DUMMYFUNCTION("""COMPUTED_VALUE"""),2644.0)</f>
        <v>2644</v>
      </c>
      <c r="S20" s="49"/>
    </row>
    <row r="21">
      <c r="A21" s="43">
        <v>3.0</v>
      </c>
      <c r="B21" s="43">
        <v>4.0</v>
      </c>
      <c r="C21" s="43">
        <v>39.650294907198</v>
      </c>
      <c r="D21" s="43">
        <v>-77.7409271866126</v>
      </c>
      <c r="E21" s="43" t="s">
        <v>98</v>
      </c>
      <c r="F21" s="44" t="s">
        <v>331</v>
      </c>
      <c r="G21" s="52" t="s">
        <v>335</v>
      </c>
      <c r="H21" s="70"/>
      <c r="I21" s="11" t="b">
        <v>1</v>
      </c>
      <c r="J21" s="47" t="str">
        <f t="shared" si="3"/>
        <v/>
      </c>
      <c r="K21" s="49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IFERROR(__xludf.DUMMYFUNCTION("""COMPUTED_VALUE"""),"Whatsoverthere")</f>
        <v>Whatsoverthere</v>
      </c>
      <c r="R21" s="49">
        <f>IFERROR(__xludf.DUMMYFUNCTION("""COMPUTED_VALUE"""),8614.0)</f>
        <v>8614</v>
      </c>
      <c r="S21" s="49"/>
    </row>
    <row r="22">
      <c r="A22" s="43">
        <v>3.0</v>
      </c>
      <c r="B22" s="43">
        <v>5.0</v>
      </c>
      <c r="C22" s="43">
        <v>39.6502949070486</v>
      </c>
      <c r="D22" s="43">
        <v>-77.7407405124009</v>
      </c>
      <c r="E22" s="43" t="s">
        <v>98</v>
      </c>
      <c r="F22" s="44" t="s">
        <v>237</v>
      </c>
      <c r="G22" s="52" t="s">
        <v>336</v>
      </c>
      <c r="H22" s="70"/>
      <c r="I22" s="11" t="b">
        <v>1</v>
      </c>
      <c r="J22" s="47" t="str">
        <f t="shared" si="3"/>
        <v/>
      </c>
      <c r="K22" s="49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IFERROR(__xludf.DUMMYFUNCTION("""COMPUTED_VALUE"""),"Oppresso1983")</f>
        <v>Oppresso1983</v>
      </c>
      <c r="R22" s="49">
        <f>IFERROR(__xludf.DUMMYFUNCTION("""COMPUTED_VALUE"""),3938.0)</f>
        <v>3938</v>
      </c>
      <c r="S22" s="49"/>
    </row>
    <row r="23">
      <c r="A23" s="43">
        <v>3.0</v>
      </c>
      <c r="B23" s="43">
        <v>6.0</v>
      </c>
      <c r="C23" s="43">
        <v>39.6502949068992</v>
      </c>
      <c r="D23" s="43">
        <v>-77.7405538381892</v>
      </c>
      <c r="E23" s="43" t="s">
        <v>98</v>
      </c>
      <c r="F23" s="44" t="s">
        <v>122</v>
      </c>
      <c r="G23" s="45" t="s">
        <v>337</v>
      </c>
      <c r="H23" s="71"/>
      <c r="I23" s="11" t="b">
        <v>1</v>
      </c>
      <c r="J23" s="47" t="str">
        <f t="shared" si="3"/>
        <v/>
      </c>
      <c r="K23" s="49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IFERROR(__xludf.DUMMYFUNCTION("""COMPUTED_VALUE"""),"Drazoria")</f>
        <v>Drazoria</v>
      </c>
      <c r="R23" s="49">
        <f>IFERROR(__xludf.DUMMYFUNCTION("""COMPUTED_VALUE"""),1580.0)</f>
        <v>1580</v>
      </c>
      <c r="S23" s="51">
        <v>44368.41565008102</v>
      </c>
    </row>
    <row r="24">
      <c r="A24" s="43">
        <v>3.0</v>
      </c>
      <c r="B24" s="43">
        <v>7.0</v>
      </c>
      <c r="C24" s="43">
        <v>39.6502949067498</v>
      </c>
      <c r="D24" s="43">
        <v>-77.7403671639775</v>
      </c>
      <c r="E24" s="43" t="s">
        <v>98</v>
      </c>
      <c r="F24" s="44" t="s">
        <v>124</v>
      </c>
      <c r="G24" s="45" t="s">
        <v>338</v>
      </c>
      <c r="H24" s="71"/>
      <c r="I24" s="11" t="b">
        <v>1</v>
      </c>
      <c r="J24" s="47" t="str">
        <f t="shared" si="3"/>
        <v/>
      </c>
      <c r="K24" s="49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IFERROR(__xludf.DUMMYFUNCTION("""COMPUTED_VALUE"""),"Tinake1309")</f>
        <v>Tinake1309</v>
      </c>
      <c r="R24" s="49">
        <f>IFERROR(__xludf.DUMMYFUNCTION("""COMPUTED_VALUE"""),1592.0)</f>
        <v>1592</v>
      </c>
      <c r="S24" s="51">
        <v>44370.120252719906</v>
      </c>
    </row>
    <row r="25">
      <c r="A25" s="43">
        <v>3.0</v>
      </c>
      <c r="B25" s="43">
        <v>8.0</v>
      </c>
      <c r="C25" s="43">
        <v>39.6502949066004</v>
      </c>
      <c r="D25" s="43">
        <v>-77.7401804897658</v>
      </c>
      <c r="E25" s="43" t="s">
        <v>98</v>
      </c>
      <c r="F25" s="44" t="s">
        <v>126</v>
      </c>
      <c r="G25" s="45" t="s">
        <v>339</v>
      </c>
      <c r="H25" s="73" t="s">
        <v>340</v>
      </c>
      <c r="I25" s="11" t="b">
        <v>1</v>
      </c>
      <c r="J25" s="47" t="str">
        <f t="shared" si="3"/>
        <v/>
      </c>
      <c r="K25" s="49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IFERROR(__xludf.DUMMYFUNCTION("""COMPUTED_VALUE"""),"Berg14")</f>
        <v>Berg14</v>
      </c>
      <c r="R25" s="49">
        <f>IFERROR(__xludf.DUMMYFUNCTION("""COMPUTED_VALUE"""),1514.0)</f>
        <v>1514</v>
      </c>
      <c r="S25" s="51">
        <v>44370.12034357639</v>
      </c>
    </row>
    <row r="26">
      <c r="A26" s="43">
        <v>4.0</v>
      </c>
      <c r="B26" s="43">
        <v>1.0</v>
      </c>
      <c r="C26" s="43">
        <v>39.6501511772008</v>
      </c>
      <c r="D26" s="43">
        <v>-77.741487219338</v>
      </c>
      <c r="E26" s="43" t="s">
        <v>98</v>
      </c>
      <c r="F26" s="44" t="s">
        <v>128</v>
      </c>
      <c r="G26" s="45" t="s">
        <v>341</v>
      </c>
      <c r="H26" s="71"/>
      <c r="I26" s="11" t="b">
        <v>1</v>
      </c>
      <c r="J26" s="47" t="str">
        <f t="shared" si="3"/>
        <v/>
      </c>
      <c r="K26" s="49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IFERROR(__xludf.DUMMYFUNCTION("""COMPUTED_VALUE"""),"Niks13")</f>
        <v>Niks13</v>
      </c>
      <c r="R26" s="49">
        <f>IFERROR(__xludf.DUMMYFUNCTION("""COMPUTED_VALUE"""),1497.0)</f>
        <v>1497</v>
      </c>
      <c r="S26" s="51">
        <v>44370.120403356486</v>
      </c>
    </row>
    <row r="27">
      <c r="A27" s="43">
        <v>4.0</v>
      </c>
      <c r="B27" s="43">
        <v>2.0</v>
      </c>
      <c r="C27" s="43">
        <v>39.6501511770514</v>
      </c>
      <c r="D27" s="43">
        <v>-77.7413005455143</v>
      </c>
      <c r="E27" s="43" t="s">
        <v>103</v>
      </c>
      <c r="F27" s="44" t="s">
        <v>130</v>
      </c>
      <c r="G27" s="45" t="s">
        <v>342</v>
      </c>
      <c r="H27" s="71"/>
      <c r="I27" s="11" t="b">
        <v>1</v>
      </c>
      <c r="J27" s="47" t="str">
        <f t="shared" si="3"/>
        <v/>
      </c>
      <c r="K27" s="49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IFERROR(__xludf.DUMMYFUNCTION("""COMPUTED_VALUE"""),"lupo6")</f>
        <v>lupo6</v>
      </c>
      <c r="R27" s="49">
        <f>IFERROR(__xludf.DUMMYFUNCTION("""COMPUTED_VALUE"""),6879.0)</f>
        <v>6879</v>
      </c>
      <c r="S27" s="49"/>
    </row>
    <row r="28">
      <c r="A28" s="43">
        <v>4.0</v>
      </c>
      <c r="B28" s="43">
        <v>3.0</v>
      </c>
      <c r="C28" s="43">
        <v>39.650151176902</v>
      </c>
      <c r="D28" s="43">
        <v>-77.7411138716907</v>
      </c>
      <c r="E28" s="43" t="s">
        <v>98</v>
      </c>
      <c r="F28" s="44" t="s">
        <v>136</v>
      </c>
      <c r="G28" s="45" t="s">
        <v>343</v>
      </c>
      <c r="H28" s="71"/>
      <c r="I28" s="11" t="b">
        <v>1</v>
      </c>
      <c r="J28" s="47" t="str">
        <f t="shared" si="3"/>
        <v/>
      </c>
      <c r="K28" s="49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IFERROR(__xludf.DUMMYFUNCTION("""COMPUTED_VALUE"""),"OdinsFiRe")</f>
        <v>OdinsFiRe</v>
      </c>
      <c r="R28" s="49">
        <f>IFERROR(__xludf.DUMMYFUNCTION("""COMPUTED_VALUE"""),2062.0)</f>
        <v>2062</v>
      </c>
      <c r="S28" s="49"/>
    </row>
    <row r="29">
      <c r="A29" s="43">
        <v>4.0</v>
      </c>
      <c r="B29" s="43">
        <v>4.0</v>
      </c>
      <c r="C29" s="43">
        <v>39.6501511767526</v>
      </c>
      <c r="D29" s="43">
        <v>-77.7409271978671</v>
      </c>
      <c r="E29" s="43" t="s">
        <v>98</v>
      </c>
      <c r="F29" s="44" t="s">
        <v>138</v>
      </c>
      <c r="G29" s="45" t="s">
        <v>344</v>
      </c>
      <c r="H29" s="71"/>
      <c r="I29" s="11" t="b">
        <v>1</v>
      </c>
      <c r="J29" s="47" t="str">
        <f t="shared" si="3"/>
        <v/>
      </c>
      <c r="K29" s="49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IFERROR(__xludf.DUMMYFUNCTION("""COMPUTED_VALUE"""),4684.0)</f>
        <v>4684</v>
      </c>
      <c r="S29" s="49"/>
    </row>
    <row r="30">
      <c r="A30" s="43">
        <v>4.0</v>
      </c>
      <c r="B30" s="43">
        <v>5.0</v>
      </c>
      <c r="C30" s="43">
        <v>39.6501511766031</v>
      </c>
      <c r="D30" s="43">
        <v>-77.7407405240434</v>
      </c>
      <c r="E30" s="43" t="s">
        <v>98</v>
      </c>
      <c r="F30" s="44" t="s">
        <v>132</v>
      </c>
      <c r="G30" s="45" t="s">
        <v>345</v>
      </c>
      <c r="H30" s="71"/>
      <c r="I30" s="11" t="b">
        <v>1</v>
      </c>
      <c r="J30" s="47" t="str">
        <f t="shared" si="3"/>
        <v/>
      </c>
      <c r="K30" s="49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IFERROR(__xludf.DUMMYFUNCTION("""COMPUTED_VALUE"""),"crscousins")</f>
        <v>crscousins</v>
      </c>
      <c r="R30" s="49">
        <f>IFERROR(__xludf.DUMMYFUNCTION("""COMPUTED_VALUE"""),7150.0)</f>
        <v>7150</v>
      </c>
      <c r="S30" s="49"/>
    </row>
    <row r="31">
      <c r="A31" s="43">
        <v>4.0</v>
      </c>
      <c r="B31" s="43">
        <v>6.0</v>
      </c>
      <c r="C31" s="43">
        <v>39.6501511764537</v>
      </c>
      <c r="D31" s="43">
        <v>-77.7405538502198</v>
      </c>
      <c r="E31" s="43" t="s">
        <v>103</v>
      </c>
      <c r="F31" s="44" t="s">
        <v>108</v>
      </c>
      <c r="G31" s="52" t="s">
        <v>346</v>
      </c>
      <c r="H31" s="71"/>
      <c r="I31" s="11" t="b">
        <v>1</v>
      </c>
      <c r="K31" s="49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IFERROR(__xludf.DUMMYFUNCTION("""COMPUTED_VALUE"""),"Bungle")</f>
        <v>Bungle</v>
      </c>
      <c r="R31" s="49">
        <f>IFERROR(__xludf.DUMMYFUNCTION("""COMPUTED_VALUE"""),10528.0)</f>
        <v>10528</v>
      </c>
      <c r="S31" s="51">
        <v>44698.60707427083</v>
      </c>
    </row>
    <row r="32">
      <c r="A32" s="43">
        <v>4.0</v>
      </c>
      <c r="B32" s="43">
        <v>7.0</v>
      </c>
      <c r="C32" s="43">
        <v>39.6501511763043</v>
      </c>
      <c r="D32" s="43">
        <v>-77.7403671763962</v>
      </c>
      <c r="E32" s="43" t="s">
        <v>98</v>
      </c>
      <c r="F32" s="44" t="s">
        <v>118</v>
      </c>
      <c r="G32" s="45" t="s">
        <v>347</v>
      </c>
      <c r="H32" s="73" t="s">
        <v>203</v>
      </c>
      <c r="I32" s="11" t="b">
        <v>1</v>
      </c>
      <c r="J32" s="47" t="str">
        <f t="shared" ref="J32:J41" si="4">if(I32=true,"",S32)</f>
        <v/>
      </c>
      <c r="K32" s="49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IFERROR(__xludf.DUMMYFUNCTION("""COMPUTED_VALUE"""),"rita85gto")</f>
        <v>rita85gto</v>
      </c>
      <c r="R32" s="49">
        <f>IFERROR(__xludf.DUMMYFUNCTION("""COMPUTED_VALUE"""),5115.0)</f>
        <v>5115</v>
      </c>
      <c r="S32" s="49"/>
    </row>
    <row r="33">
      <c r="A33" s="55">
        <v>4.0</v>
      </c>
      <c r="B33" s="55">
        <v>8.0</v>
      </c>
      <c r="C33" s="55">
        <v>39.6501511761549</v>
      </c>
      <c r="D33" s="55">
        <v>-77.7401805025725</v>
      </c>
      <c r="E33" s="55" t="s">
        <v>98</v>
      </c>
      <c r="F33" s="46"/>
      <c r="G33" s="46"/>
      <c r="H33" s="71"/>
      <c r="I33" s="47" t="b">
        <v>0</v>
      </c>
      <c r="J33" s="47" t="str">
        <f t="shared" si="4"/>
        <v/>
      </c>
      <c r="K33" s="49" t="str">
        <f>IFERROR(__xludf.DUMMYFUNCTION("IF(M33=1,IFERROR(TRIM(IMPORTXML(G33, ""//p[@class='status-date']"")), ""Not deployed""),"""")"),"")</f>
        <v/>
      </c>
      <c r="L33" s="48"/>
      <c r="M33" s="48">
        <f t="shared" si="2"/>
        <v>0</v>
      </c>
      <c r="N33" s="49" t="str">
        <f>IFERROR(__xludf.DUMMYFUNCTION("split(G33,""/"")"),"#VALUE!")</f>
        <v>#VALUE!</v>
      </c>
      <c r="O33" s="50"/>
      <c r="P33" s="49"/>
      <c r="Q33" s="49"/>
      <c r="R33" s="49"/>
      <c r="S33" s="49"/>
    </row>
    <row r="34">
      <c r="A34" s="43">
        <v>5.0</v>
      </c>
      <c r="B34" s="43">
        <v>1.0</v>
      </c>
      <c r="C34" s="43">
        <v>39.6500074467553</v>
      </c>
      <c r="D34" s="43">
        <v>-77.7414872294279</v>
      </c>
      <c r="E34" s="43" t="s">
        <v>103</v>
      </c>
      <c r="F34" s="44" t="s">
        <v>134</v>
      </c>
      <c r="G34" s="52" t="s">
        <v>348</v>
      </c>
      <c r="H34" s="70"/>
      <c r="I34" s="11" t="b">
        <v>1</v>
      </c>
      <c r="J34" s="47" t="str">
        <f t="shared" si="4"/>
        <v/>
      </c>
      <c r="K34" s="49" t="str">
        <f>IFERROR(__xludf.DUMMYFUNCTION("IF(M34=1,IFERROR(TRIM(IMPORTXML(G34, ""//p[@class='status-date']"")), ""Not deployed""),"""")"),"")</f>
        <v/>
      </c>
      <c r="L34" s="48"/>
      <c r="M34" s="48">
        <f t="shared" si="2"/>
        <v>2</v>
      </c>
      <c r="N34" s="49" t="str">
        <f>IFERROR(__xludf.DUMMYFUNCTION("split(G34,""/"")"),"https:")</f>
        <v>https:</v>
      </c>
      <c r="O34" s="50" t="str">
        <f>IFERROR(__xludf.DUMMYFUNCTION("""COMPUTED_VALUE"""),"www.munzee.com")</f>
        <v>www.munzee.com</v>
      </c>
      <c r="P34" s="49" t="str">
        <f>IFERROR(__xludf.DUMMYFUNCTION("""COMPUTED_VALUE"""),"m")</f>
        <v>m</v>
      </c>
      <c r="Q34" s="49" t="str">
        <f>IFERROR(__xludf.DUMMYFUNCTION("""COMPUTED_VALUE"""),"Wangotango")</f>
        <v>Wangotango</v>
      </c>
      <c r="R34" s="49">
        <f>IFERROR(__xludf.DUMMYFUNCTION("""COMPUTED_VALUE"""),1369.0)</f>
        <v>1369</v>
      </c>
      <c r="S34" s="49"/>
    </row>
    <row r="35">
      <c r="A35" s="43">
        <v>5.0</v>
      </c>
      <c r="B35" s="43">
        <v>2.0</v>
      </c>
      <c r="C35" s="43">
        <v>39.650007446606</v>
      </c>
      <c r="D35" s="43">
        <v>-77.7413005559923</v>
      </c>
      <c r="E35" s="43" t="s">
        <v>98</v>
      </c>
      <c r="F35" s="44" t="s">
        <v>141</v>
      </c>
      <c r="G35" s="45" t="s">
        <v>349</v>
      </c>
      <c r="H35" s="71"/>
      <c r="I35" s="11" t="b">
        <v>1</v>
      </c>
      <c r="J35" s="47" t="str">
        <f t="shared" si="4"/>
        <v/>
      </c>
      <c r="K35" s="49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IFERROR(__xludf.DUMMYFUNCTION("""COMPUTED_VALUE"""),3585.0)</f>
        <v>3585</v>
      </c>
      <c r="S35" s="49"/>
    </row>
    <row r="36">
      <c r="A36" s="55">
        <v>5.0</v>
      </c>
      <c r="B36" s="55">
        <v>3.0</v>
      </c>
      <c r="C36" s="55">
        <v>39.6500074464565</v>
      </c>
      <c r="D36" s="55">
        <v>-77.7411138825568</v>
      </c>
      <c r="E36" s="55" t="s">
        <v>103</v>
      </c>
      <c r="F36" s="46"/>
      <c r="G36" s="46"/>
      <c r="H36" s="71"/>
      <c r="I36" s="47" t="b">
        <v>0</v>
      </c>
      <c r="J36" s="47" t="str">
        <f t="shared" si="4"/>
        <v/>
      </c>
      <c r="K36" s="49" t="str">
        <f>IFERROR(__xludf.DUMMYFUNCTION("IF(M36=1,IFERROR(TRIM(IMPORTXML(G36, ""//p[@class='status-date']"")), ""Not deployed""),"""")"),"")</f>
        <v/>
      </c>
      <c r="L36" s="48"/>
      <c r="M36" s="48">
        <f t="shared" si="2"/>
        <v>0</v>
      </c>
      <c r="N36" s="49" t="str">
        <f>IFERROR(__xludf.DUMMYFUNCTION("split(G36,""/"")"),"#VALUE!")</f>
        <v>#VALUE!</v>
      </c>
      <c r="O36" s="50"/>
      <c r="P36" s="49"/>
      <c r="Q36" s="49"/>
      <c r="R36" s="49"/>
      <c r="S36" s="49"/>
    </row>
    <row r="37">
      <c r="A37" s="55">
        <v>5.0</v>
      </c>
      <c r="B37" s="55">
        <v>4.0</v>
      </c>
      <c r="C37" s="55">
        <v>39.6500074463071</v>
      </c>
      <c r="D37" s="55">
        <v>-77.7409272091212</v>
      </c>
      <c r="E37" s="55" t="s">
        <v>98</v>
      </c>
      <c r="F37" s="46"/>
      <c r="G37" s="46"/>
      <c r="H37" s="71"/>
      <c r="I37" s="47" t="b">
        <v>0</v>
      </c>
      <c r="J37" s="47" t="str">
        <f t="shared" si="4"/>
        <v/>
      </c>
      <c r="K37" s="49" t="str">
        <f>IFERROR(__xludf.DUMMYFUNCTION("IF(M37=1,IFERROR(TRIM(IMPORTXML(G37, ""//p[@class='status-date']"")), ""Not deployed""),"""")"),"")</f>
        <v/>
      </c>
      <c r="L37" s="48"/>
      <c r="M37" s="48">
        <f t="shared" si="2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55">
        <v>5.0</v>
      </c>
      <c r="B38" s="55">
        <v>5.0</v>
      </c>
      <c r="C38" s="55">
        <v>39.6500074461577</v>
      </c>
      <c r="D38" s="55">
        <v>-77.7407405356856</v>
      </c>
      <c r="E38" s="55" t="s">
        <v>98</v>
      </c>
      <c r="F38" s="46"/>
      <c r="G38" s="46"/>
      <c r="H38" s="71"/>
      <c r="I38" s="47" t="b">
        <v>0</v>
      </c>
      <c r="J38" s="47" t="str">
        <f t="shared" si="4"/>
        <v/>
      </c>
      <c r="K38" s="49" t="str">
        <f>IFERROR(__xludf.DUMMYFUNCTION("IF(M38=1,IFERROR(TRIM(IMPORTXML(G38, ""//p[@class='status-date']"")), ""Not deployed""),"""")"),"")</f>
        <v/>
      </c>
      <c r="L38" s="48"/>
      <c r="M38" s="48">
        <f t="shared" si="2"/>
        <v>0</v>
      </c>
      <c r="N38" s="49" t="str">
        <f>IFERROR(__xludf.DUMMYFUNCTION("split(G38,""/"")"),"#VALUE!")</f>
        <v>#VALUE!</v>
      </c>
      <c r="O38" s="50"/>
      <c r="P38" s="49"/>
      <c r="Q38" s="49"/>
      <c r="R38" s="49"/>
      <c r="S38" s="49"/>
    </row>
    <row r="39">
      <c r="A39" s="55">
        <v>5.0</v>
      </c>
      <c r="B39" s="55">
        <v>6.0</v>
      </c>
      <c r="C39" s="55">
        <v>39.6500074460083</v>
      </c>
      <c r="D39" s="55">
        <v>-77.7405538622501</v>
      </c>
      <c r="E39" s="55" t="s">
        <v>98</v>
      </c>
      <c r="F39" s="46"/>
      <c r="G39" s="46"/>
      <c r="H39" s="71"/>
      <c r="I39" s="47" t="b">
        <v>0</v>
      </c>
      <c r="J39" s="47" t="str">
        <f t="shared" si="4"/>
        <v/>
      </c>
      <c r="K39" s="49" t="str">
        <f>IFERROR(__xludf.DUMMYFUNCTION("IF(M39=1,IFERROR(TRIM(IMPORTXML(G39, ""//p[@class='status-date']"")), ""Not deployed""),"""")"),"")</f>
        <v/>
      </c>
      <c r="L39" s="48"/>
      <c r="M39" s="48">
        <f t="shared" si="2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49"/>
    </row>
    <row r="40">
      <c r="A40" s="43">
        <v>5.0</v>
      </c>
      <c r="B40" s="43">
        <v>7.0</v>
      </c>
      <c r="C40" s="43">
        <v>39.6500074458589</v>
      </c>
      <c r="D40" s="43">
        <v>-77.7403671888145</v>
      </c>
      <c r="E40" s="43" t="s">
        <v>98</v>
      </c>
      <c r="F40" s="44" t="s">
        <v>331</v>
      </c>
      <c r="G40" s="52" t="s">
        <v>350</v>
      </c>
      <c r="H40" s="70"/>
      <c r="I40" s="11" t="b">
        <v>1</v>
      </c>
      <c r="J40" s="47" t="str">
        <f t="shared" si="4"/>
        <v/>
      </c>
      <c r="K40" s="49" t="str">
        <f>IFERROR(__xludf.DUMMYFUNCTION("IF(M40=1,IFERROR(TRIM(IMPORTXML(G40, ""//p[@class='status-date']"")), ""Not deployed""),"""")"),"")</f>
        <v/>
      </c>
      <c r="L40" s="48"/>
      <c r="M40" s="48">
        <f t="shared" si="2"/>
        <v>2</v>
      </c>
      <c r="N40" s="49" t="str">
        <f>IFERROR(__xludf.DUMMYFUNCTION("split(G40,""/"")"),"https:")</f>
        <v>https:</v>
      </c>
      <c r="O40" s="50" t="str">
        <f>IFERROR(__xludf.DUMMYFUNCTION("""COMPUTED_VALUE"""),"www.munzee.com")</f>
        <v>www.munzee.com</v>
      </c>
      <c r="P40" s="49" t="str">
        <f>IFERROR(__xludf.DUMMYFUNCTION("""COMPUTED_VALUE"""),"m")</f>
        <v>m</v>
      </c>
      <c r="Q40" s="49" t="str">
        <f>IFERROR(__xludf.DUMMYFUNCTION("""COMPUTED_VALUE"""),"Whatsoverthere")</f>
        <v>Whatsoverthere</v>
      </c>
      <c r="R40" s="49">
        <f>IFERROR(__xludf.DUMMYFUNCTION("""COMPUTED_VALUE"""),8478.0)</f>
        <v>8478</v>
      </c>
      <c r="S40" s="49"/>
    </row>
    <row r="41">
      <c r="A41" s="43">
        <v>5.0</v>
      </c>
      <c r="B41" s="43">
        <v>8.0</v>
      </c>
      <c r="C41" s="43">
        <v>39.6500074457095</v>
      </c>
      <c r="D41" s="43">
        <v>-77.740180515379</v>
      </c>
      <c r="E41" s="43" t="s">
        <v>98</v>
      </c>
      <c r="F41" s="44" t="s">
        <v>237</v>
      </c>
      <c r="G41" s="52" t="s">
        <v>351</v>
      </c>
      <c r="H41" s="70"/>
      <c r="I41" s="11" t="b">
        <v>1</v>
      </c>
      <c r="J41" s="47" t="str">
        <f t="shared" si="4"/>
        <v/>
      </c>
      <c r="K41" s="49" t="str">
        <f>IFERROR(__xludf.DUMMYFUNCTION("IF(M41=1,IFERROR(TRIM(IMPORTXML(G41, ""//p[@class='status-date']"")), ""Not deployed""),"""")"),"")</f>
        <v/>
      </c>
      <c r="L41" s="48"/>
      <c r="M41" s="48">
        <f t="shared" si="2"/>
        <v>2</v>
      </c>
      <c r="N41" s="49" t="str">
        <f>IFERROR(__xludf.DUMMYFUNCTION("split(G41,""/"")"),"https:")</f>
        <v>https:</v>
      </c>
      <c r="O41" s="50" t="str">
        <f>IFERROR(__xludf.DUMMYFUNCTION("""COMPUTED_VALUE"""),"www.munzee.com")</f>
        <v>www.munzee.com</v>
      </c>
      <c r="P41" s="49" t="str">
        <f>IFERROR(__xludf.DUMMYFUNCTION("""COMPUTED_VALUE"""),"m")</f>
        <v>m</v>
      </c>
      <c r="Q41" s="49" t="str">
        <f>IFERROR(__xludf.DUMMYFUNCTION("""COMPUTED_VALUE"""),"Oppresso1983")</f>
        <v>Oppresso1983</v>
      </c>
      <c r="R41" s="49">
        <f>IFERROR(__xludf.DUMMYFUNCTION("""COMPUTED_VALUE"""),3845.0)</f>
        <v>3845</v>
      </c>
      <c r="S41" s="49"/>
    </row>
    <row r="42">
      <c r="A42" s="55">
        <v>6.0</v>
      </c>
      <c r="B42" s="55">
        <v>1.0</v>
      </c>
      <c r="C42" s="55">
        <v>39.6498637163099</v>
      </c>
      <c r="D42" s="55">
        <v>-77.7414872395181</v>
      </c>
      <c r="E42" s="55" t="s">
        <v>98</v>
      </c>
      <c r="F42" s="44" t="s">
        <v>340</v>
      </c>
      <c r="G42" s="44"/>
      <c r="H42" s="71"/>
      <c r="I42" s="47" t="b">
        <v>0</v>
      </c>
      <c r="K42" s="49" t="str">
        <f>IFERROR(__xludf.DUMMYFUNCTION("IF(M42=1,IFERROR(TRIM(IMPORTXML(G42, ""//p[@class='status-date']"")), ""Not deployed""),"""")"),"")</f>
        <v/>
      </c>
      <c r="L42" s="48"/>
      <c r="M42" s="48">
        <f t="shared" si="2"/>
        <v>0</v>
      </c>
      <c r="N42" s="49" t="str">
        <f>IFERROR(__xludf.DUMMYFUNCTION("split(G42,""/"")"),"#VALUE!")</f>
        <v>#VALUE!</v>
      </c>
      <c r="O42" s="50"/>
      <c r="P42" s="49"/>
      <c r="Q42" s="49"/>
      <c r="R42" s="49"/>
      <c r="S42" s="51">
        <v>44357.48968614583</v>
      </c>
    </row>
    <row r="43">
      <c r="A43" s="43">
        <v>6.0</v>
      </c>
      <c r="B43" s="43">
        <v>2.0</v>
      </c>
      <c r="C43" s="43">
        <v>39.6498637161605</v>
      </c>
      <c r="D43" s="43">
        <v>-77.7413005664707</v>
      </c>
      <c r="E43" s="43" t="s">
        <v>98</v>
      </c>
      <c r="F43" s="44" t="s">
        <v>149</v>
      </c>
      <c r="G43" s="45" t="s">
        <v>352</v>
      </c>
      <c r="H43" s="71"/>
      <c r="I43" s="11" t="b">
        <v>1</v>
      </c>
      <c r="J43" s="47" t="str">
        <f t="shared" ref="J43:J56" si="5">if(I43=true,"",S43)</f>
        <v/>
      </c>
      <c r="K43" s="49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IFERROR(__xludf.DUMMYFUNCTION("""COMPUTED_VALUE"""),"Bisquick2")</f>
        <v>Bisquick2</v>
      </c>
      <c r="R43" s="49">
        <f>IFERROR(__xludf.DUMMYFUNCTION("""COMPUTED_VALUE"""),7138.0)</f>
        <v>7138</v>
      </c>
      <c r="S43" s="49"/>
    </row>
    <row r="44">
      <c r="A44" s="43">
        <v>6.0</v>
      </c>
      <c r="B44" s="43">
        <v>3.0</v>
      </c>
      <c r="C44" s="43">
        <v>39.6498637160111</v>
      </c>
      <c r="D44" s="43">
        <v>-77.7411138934232</v>
      </c>
      <c r="E44" s="43" t="s">
        <v>103</v>
      </c>
      <c r="F44" s="44" t="s">
        <v>331</v>
      </c>
      <c r="G44" s="52" t="s">
        <v>353</v>
      </c>
      <c r="H44" s="70"/>
      <c r="I44" s="11" t="b">
        <v>1</v>
      </c>
      <c r="J44" s="47" t="str">
        <f t="shared" si="5"/>
        <v/>
      </c>
      <c r="K44" s="49" t="str">
        <f>IFERROR(__xludf.DUMMYFUNCTION("IF(M44=1,IFERROR(TRIM(IMPORTXML(G44, ""//p[@class='status-date']"")), ""Not deployed""),"""")"),"")</f>
        <v/>
      </c>
      <c r="L44" s="48"/>
      <c r="M44" s="48">
        <f t="shared" si="2"/>
        <v>2</v>
      </c>
      <c r="N44" s="49" t="str">
        <f>IFERROR(__xludf.DUMMYFUNCTION("split(G44,""/"")"),"https:")</f>
        <v>https:</v>
      </c>
      <c r="O44" s="50" t="str">
        <f>IFERROR(__xludf.DUMMYFUNCTION("""COMPUTED_VALUE"""),"www.munzee.com")</f>
        <v>www.munzee.com</v>
      </c>
      <c r="P44" s="49" t="str">
        <f>IFERROR(__xludf.DUMMYFUNCTION("""COMPUTED_VALUE"""),"m")</f>
        <v>m</v>
      </c>
      <c r="Q44" s="49" t="str">
        <f>IFERROR(__xludf.DUMMYFUNCTION("""COMPUTED_VALUE"""),"Whatsoverthere")</f>
        <v>Whatsoverthere</v>
      </c>
      <c r="R44" s="49">
        <f>IFERROR(__xludf.DUMMYFUNCTION("""COMPUTED_VALUE"""),8248.0)</f>
        <v>8248</v>
      </c>
      <c r="S44" s="49"/>
    </row>
    <row r="45">
      <c r="A45" s="43">
        <v>6.0</v>
      </c>
      <c r="B45" s="43">
        <v>4.0</v>
      </c>
      <c r="C45" s="43">
        <v>39.6498637158617</v>
      </c>
      <c r="D45" s="43">
        <v>-77.7409272203758</v>
      </c>
      <c r="E45" s="43" t="s">
        <v>98</v>
      </c>
      <c r="F45" s="44" t="s">
        <v>237</v>
      </c>
      <c r="G45" s="52" t="s">
        <v>354</v>
      </c>
      <c r="H45" s="70"/>
      <c r="I45" s="11" t="b">
        <v>1</v>
      </c>
      <c r="J45" s="47" t="str">
        <f t="shared" si="5"/>
        <v/>
      </c>
      <c r="K45" s="49" t="str">
        <f>IFERROR(__xludf.DUMMYFUNCTION("IF(M45=1,IFERROR(TRIM(IMPORTXML(G45, ""//p[@class='status-date']"")), ""Not deployed""),"""")"),"")</f>
        <v/>
      </c>
      <c r="L45" s="48"/>
      <c r="M45" s="48">
        <f t="shared" si="2"/>
        <v>2</v>
      </c>
      <c r="N45" s="49" t="str">
        <f>IFERROR(__xludf.DUMMYFUNCTION("split(G45,""/"")"),"https:")</f>
        <v>https:</v>
      </c>
      <c r="O45" s="50" t="str">
        <f>IFERROR(__xludf.DUMMYFUNCTION("""COMPUTED_VALUE"""),"www.munzee.com")</f>
        <v>www.munzee.com</v>
      </c>
      <c r="P45" s="49" t="str">
        <f>IFERROR(__xludf.DUMMYFUNCTION("""COMPUTED_VALUE"""),"m")</f>
        <v>m</v>
      </c>
      <c r="Q45" s="49" t="str">
        <f>IFERROR(__xludf.DUMMYFUNCTION("""COMPUTED_VALUE"""),"Oppresso1983")</f>
        <v>Oppresso1983</v>
      </c>
      <c r="R45" s="49">
        <f>IFERROR(__xludf.DUMMYFUNCTION("""COMPUTED_VALUE"""),3782.0)</f>
        <v>3782</v>
      </c>
      <c r="S45" s="49"/>
    </row>
    <row r="46">
      <c r="A46" s="55">
        <v>6.0</v>
      </c>
      <c r="B46" s="55">
        <v>5.0</v>
      </c>
      <c r="C46" s="55">
        <v>39.6498637157123</v>
      </c>
      <c r="D46" s="55">
        <v>-77.7407405473284</v>
      </c>
      <c r="E46" s="55" t="s">
        <v>98</v>
      </c>
      <c r="F46" s="44"/>
      <c r="G46" s="46"/>
      <c r="H46" s="71"/>
      <c r="I46" s="11" t="b">
        <v>0</v>
      </c>
      <c r="J46" s="47" t="str">
        <f t="shared" si="5"/>
        <v/>
      </c>
      <c r="K46" s="49" t="str">
        <f>IFERROR(__xludf.DUMMYFUNCTION("IF(M46=1,IFERROR(TRIM(IMPORTXML(G46, ""//p[@class='status-date']"")), ""Not deployed""),"""")"),"")</f>
        <v/>
      </c>
      <c r="L46" s="48"/>
      <c r="M46" s="48">
        <f t="shared" si="2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43">
        <v>6.0</v>
      </c>
      <c r="B47" s="43">
        <v>6.0</v>
      </c>
      <c r="C47" s="43">
        <v>39.6498637155629</v>
      </c>
      <c r="D47" s="43">
        <v>-77.7405538742809</v>
      </c>
      <c r="E47" s="43" t="s">
        <v>103</v>
      </c>
      <c r="F47" s="44" t="s">
        <v>151</v>
      </c>
      <c r="G47" s="52" t="s">
        <v>355</v>
      </c>
      <c r="H47" s="70"/>
      <c r="I47" s="11" t="b">
        <v>1</v>
      </c>
      <c r="J47" s="47" t="str">
        <f t="shared" si="5"/>
        <v/>
      </c>
      <c r="K47" s="49" t="str">
        <f>IFERROR(__xludf.DUMMYFUNCTION("IF(M47=1,IFERROR(TRIM(IMPORTXML(G47, ""//p[@class='status-date']"")), ""Not deployed""),"""")"),"")</f>
        <v/>
      </c>
      <c r="L47" s="48"/>
      <c r="M47" s="48">
        <f t="shared" si="2"/>
        <v>2</v>
      </c>
      <c r="N47" s="49" t="str">
        <f>IFERROR(__xludf.DUMMYFUNCTION("split(G47,""/"")"),"https:")</f>
        <v>https:</v>
      </c>
      <c r="O47" s="50" t="str">
        <f>IFERROR(__xludf.DUMMYFUNCTION("""COMPUTED_VALUE"""),"www.munzee.com")</f>
        <v>www.munzee.com</v>
      </c>
      <c r="P47" s="49" t="str">
        <f>IFERROR(__xludf.DUMMYFUNCTION("""COMPUTED_VALUE"""),"m")</f>
        <v>m</v>
      </c>
      <c r="Q47" s="49" t="str">
        <f>IFERROR(__xludf.DUMMYFUNCTION("""COMPUTED_VALUE"""),"res2100")</f>
        <v>res2100</v>
      </c>
      <c r="R47" s="49">
        <f>IFERROR(__xludf.DUMMYFUNCTION("""COMPUTED_VALUE"""),872.0)</f>
        <v>872</v>
      </c>
      <c r="S47" s="49"/>
    </row>
    <row r="48">
      <c r="A48" s="43">
        <v>6.0</v>
      </c>
      <c r="B48" s="43">
        <v>7.0</v>
      </c>
      <c r="C48" s="43">
        <v>39.6498637154135</v>
      </c>
      <c r="D48" s="43">
        <v>-77.7403672012335</v>
      </c>
      <c r="E48" s="43" t="s">
        <v>98</v>
      </c>
      <c r="F48" s="44" t="s">
        <v>145</v>
      </c>
      <c r="G48" s="45" t="s">
        <v>356</v>
      </c>
      <c r="H48" s="71"/>
      <c r="I48" s="11" t="b">
        <v>1</v>
      </c>
      <c r="J48" s="47" t="str">
        <f t="shared" si="5"/>
        <v/>
      </c>
      <c r="K48" s="49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IFERROR(__xludf.DUMMYFUNCTION("""COMPUTED_VALUE"""),3574.0)</f>
        <v>3574</v>
      </c>
      <c r="S48" s="51">
        <v>44357.4897566088</v>
      </c>
    </row>
    <row r="49">
      <c r="A49" s="43">
        <v>6.0</v>
      </c>
      <c r="B49" s="43">
        <v>8.0</v>
      </c>
      <c r="C49" s="43">
        <v>39.6498637152641</v>
      </c>
      <c r="D49" s="43">
        <v>-77.7401805281861</v>
      </c>
      <c r="E49" s="43" t="s">
        <v>98</v>
      </c>
      <c r="F49" s="44" t="s">
        <v>147</v>
      </c>
      <c r="G49" s="52" t="s">
        <v>357</v>
      </c>
      <c r="H49" s="70"/>
      <c r="I49" s="11" t="b">
        <v>1</v>
      </c>
      <c r="J49" s="47" t="str">
        <f t="shared" si="5"/>
        <v/>
      </c>
      <c r="K49" s="49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IFERROR(__xludf.DUMMYFUNCTION("""COMPUTED_VALUE"""),13725.0)</f>
        <v>13725</v>
      </c>
      <c r="S49" s="51">
        <v>44357.48982069445</v>
      </c>
    </row>
    <row r="50">
      <c r="A50" s="43">
        <v>7.0</v>
      </c>
      <c r="B50" s="43">
        <v>2.0</v>
      </c>
      <c r="C50" s="43">
        <v>39.649719985715</v>
      </c>
      <c r="D50" s="43">
        <v>-77.741300576949</v>
      </c>
      <c r="E50" s="43" t="s">
        <v>103</v>
      </c>
      <c r="F50" s="44" t="s">
        <v>155</v>
      </c>
      <c r="G50" s="52" t="s">
        <v>358</v>
      </c>
      <c r="H50" s="70"/>
      <c r="I50" s="11" t="b">
        <v>1</v>
      </c>
      <c r="J50" s="47" t="str">
        <f t="shared" si="5"/>
        <v/>
      </c>
      <c r="K50" s="49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IFERROR(__xludf.DUMMYFUNCTION("""COMPUTED_VALUE"""),"Ellesche")</f>
        <v>Ellesche</v>
      </c>
      <c r="R50" s="49">
        <f>IFERROR(__xludf.DUMMYFUNCTION("""COMPUTED_VALUE"""),827.0)</f>
        <v>827</v>
      </c>
      <c r="S50" s="49"/>
    </row>
    <row r="51">
      <c r="A51" s="55">
        <v>7.0</v>
      </c>
      <c r="B51" s="55">
        <v>3.0</v>
      </c>
      <c r="C51" s="55">
        <v>39.6497199855656</v>
      </c>
      <c r="D51" s="55">
        <v>-77.7411139042897</v>
      </c>
      <c r="E51" s="55" t="s">
        <v>98</v>
      </c>
      <c r="F51" s="46"/>
      <c r="G51" s="46"/>
      <c r="H51" s="71"/>
      <c r="I51" s="47" t="b">
        <v>0</v>
      </c>
      <c r="J51" s="47" t="str">
        <f t="shared" si="5"/>
        <v/>
      </c>
      <c r="K51" s="49" t="str">
        <f>IFERROR(__xludf.DUMMYFUNCTION("IF(M51=1,IFERROR(TRIM(IMPORTXML(G51, ""//p[@class='status-date']"")), ""Not deployed""),"""")"),"")</f>
        <v/>
      </c>
      <c r="L51" s="48"/>
      <c r="M51" s="48">
        <f t="shared" si="2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55">
        <v>39.6497199854162</v>
      </c>
      <c r="D52" s="55">
        <v>-77.7409272316303</v>
      </c>
      <c r="E52" s="55" t="s">
        <v>98</v>
      </c>
      <c r="F52" s="44"/>
      <c r="G52" s="46"/>
      <c r="H52" s="71"/>
      <c r="I52" s="47" t="b">
        <v>0</v>
      </c>
      <c r="J52" s="47" t="str">
        <f t="shared" si="5"/>
        <v/>
      </c>
      <c r="K52" s="49" t="str">
        <f>IFERROR(__xludf.DUMMYFUNCTION("IF(M52=1,IFERROR(TRIM(IMPORTXML(G52, ""//p[@class='status-date']"")), ""Not deployed""),"""")"),"")</f>
        <v/>
      </c>
      <c r="L52" s="48"/>
      <c r="M52" s="48">
        <f t="shared" si="2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55">
        <v>39.6497199852668</v>
      </c>
      <c r="D53" s="55">
        <v>-77.7407405589709</v>
      </c>
      <c r="E53" s="55" t="s">
        <v>98</v>
      </c>
      <c r="F53" s="46"/>
      <c r="G53" s="46"/>
      <c r="H53" s="71"/>
      <c r="I53" s="11" t="b">
        <v>0</v>
      </c>
      <c r="J53" s="47" t="str">
        <f t="shared" si="5"/>
        <v/>
      </c>
      <c r="K53" s="49" t="str">
        <f>IFERROR(__xludf.DUMMYFUNCTION("IF(M53=1,IFERROR(TRIM(IMPORTXML(G53, ""//p[@class='status-date']"")), ""Not deployed""),"""")"),"")</f>
        <v/>
      </c>
      <c r="L53" s="48"/>
      <c r="M53" s="48">
        <f t="shared" si="2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55">
        <v>39.6497199851174</v>
      </c>
      <c r="D54" s="55">
        <v>-77.7405538863116</v>
      </c>
      <c r="E54" s="55" t="s">
        <v>98</v>
      </c>
      <c r="F54" s="46"/>
      <c r="G54" s="46"/>
      <c r="H54" s="71"/>
      <c r="I54" s="47" t="b">
        <v>0</v>
      </c>
      <c r="J54" s="47" t="str">
        <f t="shared" si="5"/>
        <v/>
      </c>
      <c r="K54" s="49" t="str">
        <f>IFERROR(__xludf.DUMMYFUNCTION("IF(M54=1,IFERROR(TRIM(IMPORTXML(G54, ""//p[@class='status-date']"")), ""Not deployed""),"""")"),"")</f>
        <v/>
      </c>
      <c r="L54" s="48"/>
      <c r="M54" s="48">
        <f t="shared" si="2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39.649719984968</v>
      </c>
      <c r="D55" s="43">
        <v>-77.7403672136522</v>
      </c>
      <c r="E55" s="43" t="s">
        <v>98</v>
      </c>
      <c r="F55" s="44" t="s">
        <v>153</v>
      </c>
      <c r="G55" s="45" t="s">
        <v>359</v>
      </c>
      <c r="H55" s="71"/>
      <c r="I55" s="11" t="b">
        <v>1</v>
      </c>
      <c r="J55" s="47" t="str">
        <f t="shared" si="5"/>
        <v/>
      </c>
      <c r="K55" s="49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IFERROR(__xludf.DUMMYFUNCTION("""COMPUTED_VALUE"""),22766.0)</f>
        <v>22766</v>
      </c>
      <c r="S55" s="49"/>
    </row>
    <row r="56">
      <c r="A56" s="55">
        <v>8.0</v>
      </c>
      <c r="B56" s="55">
        <v>3.0</v>
      </c>
      <c r="C56" s="55">
        <v>39.6495762551202</v>
      </c>
      <c r="D56" s="55">
        <v>-77.7411139151562</v>
      </c>
      <c r="E56" s="55" t="s">
        <v>98</v>
      </c>
      <c r="F56" s="46"/>
      <c r="G56" s="46"/>
      <c r="H56" s="71"/>
      <c r="I56" s="47" t="b">
        <v>0</v>
      </c>
      <c r="J56" s="47" t="str">
        <f t="shared" si="5"/>
        <v/>
      </c>
      <c r="K56" s="49" t="str">
        <f>IFERROR(__xludf.DUMMYFUNCTION("IF(M56=1,IFERROR(TRIM(IMPORTXML(G56, ""//p[@class='status-date']"")), ""Not deployed""),"""")"),"")</f>
        <v/>
      </c>
      <c r="L56" s="48"/>
      <c r="M56" s="48">
        <f t="shared" si="2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43">
        <v>8.0</v>
      </c>
      <c r="B57" s="43">
        <v>4.0</v>
      </c>
      <c r="C57" s="43">
        <v>39.6495762549708</v>
      </c>
      <c r="D57" s="43">
        <v>-77.7409272428849</v>
      </c>
      <c r="E57" s="43" t="s">
        <v>103</v>
      </c>
      <c r="F57" s="44" t="s">
        <v>99</v>
      </c>
      <c r="G57" s="52" t="s">
        <v>360</v>
      </c>
      <c r="H57" s="71"/>
      <c r="I57" s="11" t="b">
        <v>1</v>
      </c>
      <c r="K57" s="49" t="str">
        <f>IFERROR(__xludf.DUMMYFUNCTION("IF(M57=1,IFERROR(TRIM(IMPORTXML(G57, ""//p[@class='status-date']"")), ""Not deployed""),"""")"),"")</f>
        <v/>
      </c>
      <c r="L57" s="48"/>
      <c r="M57" s="48">
        <f t="shared" si="2"/>
        <v>2</v>
      </c>
      <c r="N57" s="49" t="str">
        <f>IFERROR(__xludf.DUMMYFUNCTION("split(G57,""/"")"),"https:")</f>
        <v>https:</v>
      </c>
      <c r="O57" s="50" t="str">
        <f>IFERROR(__xludf.DUMMYFUNCTION("""COMPUTED_VALUE"""),"www.munzee.com")</f>
        <v>www.munzee.com</v>
      </c>
      <c r="P57" s="49" t="str">
        <f>IFERROR(__xludf.DUMMYFUNCTION("""COMPUTED_VALUE"""),"m")</f>
        <v>m</v>
      </c>
      <c r="Q57" s="49" t="str">
        <f>IFERROR(__xludf.DUMMYFUNCTION("""COMPUTED_VALUE"""),"raunas")</f>
        <v>raunas</v>
      </c>
      <c r="R57" s="49">
        <f>IFERROR(__xludf.DUMMYFUNCTION("""COMPUTED_VALUE"""),12671.0)</f>
        <v>12671</v>
      </c>
      <c r="S57" s="51">
        <v>44698.60718608796</v>
      </c>
    </row>
    <row r="58">
      <c r="A58" s="43">
        <v>8.0</v>
      </c>
      <c r="B58" s="43">
        <v>5.0</v>
      </c>
      <c r="C58" s="43">
        <v>39.6495762548214</v>
      </c>
      <c r="D58" s="43">
        <v>-77.7407405706136</v>
      </c>
      <c r="E58" s="43" t="s">
        <v>103</v>
      </c>
      <c r="F58" s="44" t="s">
        <v>157</v>
      </c>
      <c r="G58" s="45" t="s">
        <v>361</v>
      </c>
      <c r="H58" s="71"/>
      <c r="I58" s="11" t="b">
        <v>1</v>
      </c>
      <c r="J58" s="47" t="str">
        <f t="shared" ref="J58:J59" si="6">if(I58=true,"",S58)</f>
        <v/>
      </c>
      <c r="K58" s="49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IFERROR(__xludf.DUMMYFUNCTION("""COMPUTED_VALUE"""),"barefootguru")</f>
        <v>barefootguru</v>
      </c>
      <c r="R58" s="49">
        <f>IFERROR(__xludf.DUMMYFUNCTION("""COMPUTED_VALUE"""),3398.0)</f>
        <v>3398</v>
      </c>
      <c r="S58" s="49"/>
    </row>
    <row r="59">
      <c r="A59" s="43">
        <v>8.0</v>
      </c>
      <c r="B59" s="43">
        <v>6.0</v>
      </c>
      <c r="C59" s="43">
        <v>39.649576254672</v>
      </c>
      <c r="D59" s="43">
        <v>-77.7405538983423</v>
      </c>
      <c r="E59" s="43" t="s">
        <v>98</v>
      </c>
      <c r="F59" s="44" t="s">
        <v>331</v>
      </c>
      <c r="G59" s="52" t="s">
        <v>362</v>
      </c>
      <c r="H59" s="70"/>
      <c r="I59" s="11" t="b">
        <v>1</v>
      </c>
      <c r="J59" s="47" t="str">
        <f t="shared" si="6"/>
        <v/>
      </c>
      <c r="K59" s="49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IFERROR(__xludf.DUMMYFUNCTION("""COMPUTED_VALUE"""),"Whatsoverthere")</f>
        <v>Whatsoverthere</v>
      </c>
      <c r="R59" s="49">
        <f>IFERROR(__xludf.DUMMYFUNCTION("""COMPUTED_VALUE"""),8114.0)</f>
        <v>8114</v>
      </c>
      <c r="S59" s="49"/>
    </row>
    <row r="61" hidden="1">
      <c r="F61" s="47">
        <f t="shared" ref="F61:G61" si="7">COUNTIF(F8:F59,"")</f>
        <v>11</v>
      </c>
      <c r="G61" s="47">
        <f t="shared" si="7"/>
        <v>12</v>
      </c>
      <c r="I61" s="47">
        <f>COUNTIF(I8:I59,TRUE)</f>
        <v>40</v>
      </c>
    </row>
    <row r="62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O33"/>
    <hyperlink r:id="rId54" ref="G34"/>
    <hyperlink r:id="rId55" ref="O34"/>
    <hyperlink r:id="rId56" ref="G35"/>
    <hyperlink r:id="rId57" ref="O35"/>
    <hyperlink r:id="rId58" ref="O36"/>
    <hyperlink r:id="rId59" ref="O37"/>
    <hyperlink r:id="rId60" ref="O38"/>
    <hyperlink r:id="rId61" ref="O39"/>
    <hyperlink r:id="rId62" ref="G40"/>
    <hyperlink r:id="rId63" ref="O40"/>
    <hyperlink r:id="rId64" ref="G41"/>
    <hyperlink r:id="rId65" ref="O41"/>
    <hyperlink r:id="rId66" ref="O42"/>
    <hyperlink r:id="rId67" ref="G43"/>
    <hyperlink r:id="rId68" ref="O43"/>
    <hyperlink r:id="rId69" ref="G44"/>
    <hyperlink r:id="rId70" ref="O44"/>
    <hyperlink r:id="rId71" ref="G45"/>
    <hyperlink r:id="rId72" ref="O45"/>
    <hyperlink r:id="rId73" ref="O46"/>
    <hyperlink r:id="rId74" ref="G47"/>
    <hyperlink r:id="rId75" ref="O47"/>
    <hyperlink r:id="rId76" ref="G48"/>
    <hyperlink r:id="rId77" ref="O48"/>
    <hyperlink r:id="rId78" ref="G49"/>
    <hyperlink r:id="rId79" ref="O49"/>
    <hyperlink r:id="rId80" ref="G50"/>
    <hyperlink r:id="rId81" ref="O50"/>
    <hyperlink r:id="rId82" ref="O51"/>
    <hyperlink r:id="rId83" ref="O52"/>
    <hyperlink r:id="rId84" ref="O53"/>
    <hyperlink r:id="rId85" ref="O54"/>
    <hyperlink r:id="rId86" ref="G55"/>
    <hyperlink r:id="rId87" ref="O55"/>
    <hyperlink r:id="rId88" ref="O56"/>
    <hyperlink r:id="rId89" ref="G57"/>
    <hyperlink r:id="rId90" ref="O57"/>
    <hyperlink r:id="rId91" ref="G58"/>
    <hyperlink r:id="rId92" ref="O58"/>
    <hyperlink r:id="rId93" ref="G59"/>
    <hyperlink r:id="rId94" ref="O59"/>
  </hyperlinks>
  <drawing r:id="rId95"/>
  <tableParts count="1">
    <tablePart r:id="rId97"/>
  </tableParts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75"/>
    <col customWidth="1" min="2" max="2" width="8.13"/>
    <col customWidth="1" min="3" max="3" width="14.13"/>
    <col customWidth="1" min="4" max="4" width="14.0"/>
    <col customWidth="1" min="5" max="5" width="19.75"/>
    <col customWidth="1" min="6" max="6" width="14.25"/>
    <col customWidth="1" min="7" max="7" width="43.25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33</v>
      </c>
      <c r="B1" s="37" t="s">
        <v>74</v>
      </c>
      <c r="D1" s="37"/>
      <c r="E1" s="2" t="s">
        <v>79</v>
      </c>
      <c r="F1" s="59" t="s">
        <v>80</v>
      </c>
      <c r="G1" s="69" t="s">
        <v>363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364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1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19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32</v>
      </c>
      <c r="G5" s="39">
        <f>F5/52</f>
        <v>0.6153846154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-32.1125308993677</v>
      </c>
      <c r="D8" s="43">
        <v>115.996558483506</v>
      </c>
      <c r="E8" s="43" t="s">
        <v>98</v>
      </c>
      <c r="F8" s="44" t="s">
        <v>99</v>
      </c>
      <c r="G8" s="45" t="s">
        <v>365</v>
      </c>
      <c r="H8" s="46"/>
      <c r="I8" s="11" t="b">
        <v>1</v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1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IFERROR(__xludf.DUMMYFUNCTION("""COMPUTED_VALUE"""),"raunas")</f>
        <v>raunas</v>
      </c>
      <c r="R8" s="49">
        <f>IFERROR(__xludf.DUMMYFUNCTION("""COMPUTED_VALUE"""),12597.0)</f>
        <v>12597</v>
      </c>
      <c r="S8" s="51">
        <v>44749.24878537037</v>
      </c>
    </row>
    <row r="9">
      <c r="A9" s="43">
        <v>1.0</v>
      </c>
      <c r="B9" s="43">
        <v>4.0</v>
      </c>
      <c r="C9" s="43">
        <v>-32.1125308992545</v>
      </c>
      <c r="D9" s="43">
        <v>115.996728175928</v>
      </c>
      <c r="E9" s="43" t="s">
        <v>98</v>
      </c>
      <c r="F9" s="44" t="s">
        <v>101</v>
      </c>
      <c r="G9" s="45" t="s">
        <v>366</v>
      </c>
      <c r="H9" s="46"/>
      <c r="I9" s="11" t="b">
        <v>1</v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1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IFERROR(__xludf.DUMMYFUNCTION("""COMPUTED_VALUE"""),6279.0)</f>
        <v>6279</v>
      </c>
      <c r="S9" s="51">
        <v>44357.5693097801</v>
      </c>
    </row>
    <row r="10">
      <c r="A10" s="43">
        <v>1.0</v>
      </c>
      <c r="B10" s="43">
        <v>5.0</v>
      </c>
      <c r="C10" s="43">
        <v>-32.1125308991413</v>
      </c>
      <c r="D10" s="43">
        <v>115.99689786835</v>
      </c>
      <c r="E10" s="43" t="s">
        <v>103</v>
      </c>
      <c r="F10" s="44" t="s">
        <v>104</v>
      </c>
      <c r="G10" s="45" t="s">
        <v>367</v>
      </c>
      <c r="H10" s="46"/>
      <c r="I10" s="11" t="b">
        <v>1</v>
      </c>
      <c r="J10" s="47" t="str">
        <f t="shared" ref="J10:J30" si="2">if(I10=true,"",S10)</f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1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IFERROR(__xludf.DUMMYFUNCTION("""COMPUTED_VALUE"""),4209.0)</f>
        <v>4209</v>
      </c>
      <c r="S10" s="51">
        <v>44357.56934439814</v>
      </c>
    </row>
    <row r="11">
      <c r="A11" s="43">
        <v>1.0</v>
      </c>
      <c r="B11" s="43">
        <v>6.0</v>
      </c>
      <c r="C11" s="43">
        <v>-32.1125308990282</v>
      </c>
      <c r="D11" s="43">
        <v>115.997067560771</v>
      </c>
      <c r="E11" s="43" t="s">
        <v>103</v>
      </c>
      <c r="F11" s="44" t="s">
        <v>106</v>
      </c>
      <c r="G11" s="45" t="s">
        <v>368</v>
      </c>
      <c r="H11" s="46"/>
      <c r="I11" s="11" t="b">
        <v>1</v>
      </c>
      <c r="J11" s="47" t="str">
        <f t="shared" si="2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1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IFERROR(__xludf.DUMMYFUNCTION("""COMPUTED_VALUE"""),5027.0)</f>
        <v>5027</v>
      </c>
      <c r="S11" s="51">
        <v>44357.56937295139</v>
      </c>
    </row>
    <row r="12">
      <c r="A12" s="43">
        <v>2.0</v>
      </c>
      <c r="B12" s="43">
        <v>2.0</v>
      </c>
      <c r="C12" s="43">
        <v>-32.1126746299262</v>
      </c>
      <c r="D12" s="43">
        <v>115.996388798297</v>
      </c>
      <c r="E12" s="43" t="s">
        <v>98</v>
      </c>
      <c r="F12" s="44" t="s">
        <v>110</v>
      </c>
      <c r="G12" s="52" t="s">
        <v>369</v>
      </c>
      <c r="H12" s="44"/>
      <c r="I12" s="11" t="b">
        <v>1</v>
      </c>
      <c r="J12" s="47" t="str">
        <f t="shared" si="2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1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IFERROR(__xludf.DUMMYFUNCTION("""COMPUTED_VALUE"""),5258.0)</f>
        <v>5258</v>
      </c>
      <c r="S12" s="49"/>
    </row>
    <row r="13">
      <c r="A13" s="43">
        <v>2.0</v>
      </c>
      <c r="B13" s="43">
        <v>3.0</v>
      </c>
      <c r="C13" s="43">
        <v>-32.1126746298131</v>
      </c>
      <c r="D13" s="43">
        <v>115.996558490986</v>
      </c>
      <c r="E13" s="43" t="s">
        <v>98</v>
      </c>
      <c r="F13" s="44" t="s">
        <v>112</v>
      </c>
      <c r="G13" s="52" t="s">
        <v>370</v>
      </c>
      <c r="H13" s="46"/>
      <c r="I13" s="11" t="b">
        <v>1</v>
      </c>
      <c r="J13" s="47" t="str">
        <f t="shared" si="2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1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IFERROR(__xludf.DUMMYFUNCTION("""COMPUTED_VALUE"""),3589.0)</f>
        <v>3589</v>
      </c>
      <c r="S13" s="49"/>
    </row>
    <row r="14">
      <c r="A14" s="43">
        <v>2.0</v>
      </c>
      <c r="B14" s="43">
        <v>4.0</v>
      </c>
      <c r="C14" s="43">
        <v>-32.1126746297</v>
      </c>
      <c r="D14" s="43">
        <v>115.996728183675</v>
      </c>
      <c r="E14" s="43" t="s">
        <v>98</v>
      </c>
      <c r="F14" s="44" t="s">
        <v>114</v>
      </c>
      <c r="G14" s="45" t="s">
        <v>371</v>
      </c>
      <c r="H14" s="46"/>
      <c r="I14" s="11" t="b">
        <v>1</v>
      </c>
      <c r="J14" s="47" t="str">
        <f t="shared" si="2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1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IFERROR(__xludf.DUMMYFUNCTION("""COMPUTED_VALUE"""),13013.0)</f>
        <v>13013</v>
      </c>
      <c r="S14" s="49"/>
    </row>
    <row r="15">
      <c r="A15" s="43">
        <v>2.0</v>
      </c>
      <c r="B15" s="43">
        <v>5.0</v>
      </c>
      <c r="C15" s="43">
        <v>-32.1126746295868</v>
      </c>
      <c r="D15" s="43">
        <v>115.996897876364</v>
      </c>
      <c r="E15" s="43" t="s">
        <v>103</v>
      </c>
      <c r="F15" s="44" t="s">
        <v>116</v>
      </c>
      <c r="G15" s="45" t="s">
        <v>372</v>
      </c>
      <c r="H15" s="46"/>
      <c r="I15" s="11" t="b">
        <v>1</v>
      </c>
      <c r="J15" s="47" t="str">
        <f t="shared" si="2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1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IFERROR(__xludf.DUMMYFUNCTION("""COMPUTED_VALUE"""),5489.0)</f>
        <v>5489</v>
      </c>
      <c r="S15" s="49"/>
    </row>
    <row r="16">
      <c r="A16" s="43">
        <v>2.0</v>
      </c>
      <c r="B16" s="43">
        <v>6.0</v>
      </c>
      <c r="C16" s="43">
        <v>-32.1126746294737</v>
      </c>
      <c r="D16" s="43">
        <v>115.997067569054</v>
      </c>
      <c r="E16" s="43" t="s">
        <v>98</v>
      </c>
      <c r="F16" s="44" t="s">
        <v>155</v>
      </c>
      <c r="G16" s="52" t="s">
        <v>373</v>
      </c>
      <c r="H16" s="46"/>
      <c r="I16" s="11" t="b">
        <v>1</v>
      </c>
      <c r="J16" s="47" t="str">
        <f t="shared" si="2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1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IFERROR(__xludf.DUMMYFUNCTION("""COMPUTED_VALUE"""),"Ellesche")</f>
        <v>Ellesche</v>
      </c>
      <c r="R16" s="49">
        <f>IFERROR(__xludf.DUMMYFUNCTION("""COMPUTED_VALUE"""),811.0)</f>
        <v>811</v>
      </c>
      <c r="S16" s="49"/>
    </row>
    <row r="17">
      <c r="A17" s="43">
        <v>2.0</v>
      </c>
      <c r="B17" s="43">
        <v>7.0</v>
      </c>
      <c r="C17" s="43">
        <v>-32.1126746293605</v>
      </c>
      <c r="D17" s="43">
        <v>115.997237261743</v>
      </c>
      <c r="E17" s="43" t="s">
        <v>98</v>
      </c>
      <c r="F17" s="44" t="s">
        <v>120</v>
      </c>
      <c r="G17" s="45" t="s">
        <v>374</v>
      </c>
      <c r="H17" s="46"/>
      <c r="I17" s="11" t="b">
        <v>1</v>
      </c>
      <c r="J17" s="47" t="str">
        <f t="shared" si="2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1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IFERROR(__xludf.DUMMYFUNCTION("""COMPUTED_VALUE"""),"xrayneex")</f>
        <v>xrayneex</v>
      </c>
      <c r="R17" s="49">
        <f>IFERROR(__xludf.DUMMYFUNCTION("""COMPUTED_VALUE"""),2645.0)</f>
        <v>2645</v>
      </c>
      <c r="S17" s="49"/>
    </row>
    <row r="18">
      <c r="A18" s="43">
        <v>3.0</v>
      </c>
      <c r="B18" s="43">
        <v>1.0</v>
      </c>
      <c r="C18" s="43">
        <v>-32.1128183604848</v>
      </c>
      <c r="D18" s="43">
        <v>115.996219112555</v>
      </c>
      <c r="E18" s="43" t="s">
        <v>98</v>
      </c>
      <c r="F18" s="44" t="s">
        <v>151</v>
      </c>
      <c r="G18" s="52" t="s">
        <v>375</v>
      </c>
      <c r="H18" s="46"/>
      <c r="I18" s="11" t="b">
        <v>1</v>
      </c>
      <c r="J18" s="47" t="str">
        <f t="shared" si="2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1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IFERROR(__xludf.DUMMYFUNCTION("""COMPUTED_VALUE"""),"res2100")</f>
        <v>res2100</v>
      </c>
      <c r="R18" s="49">
        <f>IFERROR(__xludf.DUMMYFUNCTION("""COMPUTED_VALUE"""),845.0)</f>
        <v>845</v>
      </c>
      <c r="S18" s="49"/>
    </row>
    <row r="19">
      <c r="A19" s="43">
        <v>3.0</v>
      </c>
      <c r="B19" s="43">
        <v>2.0</v>
      </c>
      <c r="C19" s="43">
        <v>-32.1128183603717</v>
      </c>
      <c r="D19" s="43">
        <v>115.996388805511</v>
      </c>
      <c r="E19" s="43" t="s">
        <v>98</v>
      </c>
      <c r="F19" s="44" t="s">
        <v>122</v>
      </c>
      <c r="G19" s="45" t="s">
        <v>376</v>
      </c>
      <c r="H19" s="46"/>
      <c r="I19" s="11" t="b">
        <v>1</v>
      </c>
      <c r="J19" s="47" t="str">
        <f t="shared" si="2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1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IFERROR(__xludf.DUMMYFUNCTION("""COMPUTED_VALUE"""),"Drazoria")</f>
        <v>Drazoria</v>
      </c>
      <c r="R19" s="49">
        <f>IFERROR(__xludf.DUMMYFUNCTION("""COMPUTED_VALUE"""),1687.0)</f>
        <v>1687</v>
      </c>
      <c r="S19" s="51">
        <v>44368.416254270836</v>
      </c>
    </row>
    <row r="20">
      <c r="A20" s="43">
        <v>3.0</v>
      </c>
      <c r="B20" s="43">
        <v>3.0</v>
      </c>
      <c r="C20" s="43">
        <v>-32.1128183602585</v>
      </c>
      <c r="D20" s="43">
        <v>115.996558498467</v>
      </c>
      <c r="E20" s="43" t="s">
        <v>98</v>
      </c>
      <c r="F20" s="44" t="s">
        <v>124</v>
      </c>
      <c r="G20" s="45" t="s">
        <v>377</v>
      </c>
      <c r="H20" s="46"/>
      <c r="I20" s="11" t="b">
        <v>1</v>
      </c>
      <c r="J20" s="47" t="str">
        <f t="shared" si="2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1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IFERROR(__xludf.DUMMYFUNCTION("""COMPUTED_VALUE"""),"Tinake1309")</f>
        <v>Tinake1309</v>
      </c>
      <c r="R20" s="49">
        <f>IFERROR(__xludf.DUMMYFUNCTION("""COMPUTED_VALUE"""),1595.0)</f>
        <v>1595</v>
      </c>
      <c r="S20" s="49"/>
    </row>
    <row r="21">
      <c r="A21" s="43">
        <v>3.0</v>
      </c>
      <c r="B21" s="43">
        <v>4.0</v>
      </c>
      <c r="C21" s="43">
        <v>-32.1128183601454</v>
      </c>
      <c r="D21" s="43">
        <v>115.996728191423</v>
      </c>
      <c r="E21" s="43" t="s">
        <v>98</v>
      </c>
      <c r="F21" s="44" t="s">
        <v>126</v>
      </c>
      <c r="G21" s="45" t="s">
        <v>378</v>
      </c>
      <c r="H21" s="46"/>
      <c r="I21" s="11" t="b">
        <v>1</v>
      </c>
      <c r="J21" s="47" t="str">
        <f t="shared" si="2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1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IFERROR(__xludf.DUMMYFUNCTION("""COMPUTED_VALUE"""),"Berg14")</f>
        <v>Berg14</v>
      </c>
      <c r="R21" s="49">
        <f>IFERROR(__xludf.DUMMYFUNCTION("""COMPUTED_VALUE"""),1515.0)</f>
        <v>1515</v>
      </c>
      <c r="S21" s="49"/>
    </row>
    <row r="22">
      <c r="A22" s="43">
        <v>3.0</v>
      </c>
      <c r="B22" s="43">
        <v>5.0</v>
      </c>
      <c r="C22" s="43">
        <v>-32.1128183600322</v>
      </c>
      <c r="D22" s="43">
        <v>115.996897884379</v>
      </c>
      <c r="E22" s="43" t="s">
        <v>98</v>
      </c>
      <c r="F22" s="44" t="s">
        <v>128</v>
      </c>
      <c r="G22" s="45" t="s">
        <v>379</v>
      </c>
      <c r="H22" s="46"/>
      <c r="I22" s="11" t="b">
        <v>1</v>
      </c>
      <c r="J22" s="47" t="str">
        <f t="shared" si="2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1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IFERROR(__xludf.DUMMYFUNCTION("""COMPUTED_VALUE"""),"Niks13")</f>
        <v>Niks13</v>
      </c>
      <c r="R22" s="49">
        <f>IFERROR(__xludf.DUMMYFUNCTION("""COMPUTED_VALUE"""),1498.0)</f>
        <v>1498</v>
      </c>
      <c r="S22" s="49"/>
    </row>
    <row r="23">
      <c r="A23" s="43">
        <v>3.0</v>
      </c>
      <c r="B23" s="43">
        <v>6.0</v>
      </c>
      <c r="C23" s="43">
        <v>-32.1128183599191</v>
      </c>
      <c r="D23" s="43">
        <v>115.997067577336</v>
      </c>
      <c r="E23" s="43" t="s">
        <v>98</v>
      </c>
      <c r="F23" s="44" t="s">
        <v>130</v>
      </c>
      <c r="G23" s="45" t="s">
        <v>380</v>
      </c>
      <c r="H23" s="46"/>
      <c r="I23" s="11" t="b">
        <v>1</v>
      </c>
      <c r="J23" s="47" t="str">
        <f t="shared" si="2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1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IFERROR(__xludf.DUMMYFUNCTION("""COMPUTED_VALUE"""),"lupo6")</f>
        <v>lupo6</v>
      </c>
      <c r="R23" s="49">
        <f>IFERROR(__xludf.DUMMYFUNCTION("""COMPUTED_VALUE"""),6419.0)</f>
        <v>6419</v>
      </c>
      <c r="S23" s="49"/>
    </row>
    <row r="24">
      <c r="A24" s="43">
        <v>3.0</v>
      </c>
      <c r="B24" s="43">
        <v>7.0</v>
      </c>
      <c r="C24" s="43">
        <v>-32.1128183598059</v>
      </c>
      <c r="D24" s="43">
        <v>115.997237270292</v>
      </c>
      <c r="E24" s="43" t="s">
        <v>98</v>
      </c>
      <c r="F24" s="44" t="s">
        <v>381</v>
      </c>
      <c r="G24" s="45" t="s">
        <v>382</v>
      </c>
      <c r="H24" s="46"/>
      <c r="I24" s="11" t="b">
        <v>1</v>
      </c>
      <c r="J24" s="47" t="str">
        <f t="shared" si="2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1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IFERROR(__xludf.DUMMYFUNCTION("""COMPUTED_VALUE"""),"TD42")</f>
        <v>TD42</v>
      </c>
      <c r="R24" s="49">
        <f>IFERROR(__xludf.DUMMYFUNCTION("""COMPUTED_VALUE"""),3513.0)</f>
        <v>3513</v>
      </c>
      <c r="S24" s="49"/>
    </row>
    <row r="25">
      <c r="A25" s="43">
        <v>3.0</v>
      </c>
      <c r="B25" s="43">
        <v>8.0</v>
      </c>
      <c r="C25" s="43">
        <v>-32.1128183596928</v>
      </c>
      <c r="D25" s="43">
        <v>115.997406963248</v>
      </c>
      <c r="E25" s="43" t="s">
        <v>98</v>
      </c>
      <c r="F25" s="44" t="s">
        <v>136</v>
      </c>
      <c r="G25" s="45" t="s">
        <v>383</v>
      </c>
      <c r="H25" s="46"/>
      <c r="I25" s="11" t="b">
        <v>1</v>
      </c>
      <c r="J25" s="47" t="str">
        <f t="shared" si="2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1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IFERROR(__xludf.DUMMYFUNCTION("""COMPUTED_VALUE"""),"OdinsFiRe")</f>
        <v>OdinsFiRe</v>
      </c>
      <c r="R25" s="49">
        <f>IFERROR(__xludf.DUMMYFUNCTION("""COMPUTED_VALUE"""),2065.0)</f>
        <v>2065</v>
      </c>
      <c r="S25" s="49"/>
    </row>
    <row r="26">
      <c r="A26" s="43">
        <v>4.0</v>
      </c>
      <c r="B26" s="43">
        <v>1.0</v>
      </c>
      <c r="C26" s="43">
        <v>-32.1129620909302</v>
      </c>
      <c r="D26" s="43">
        <v>115.996219119501</v>
      </c>
      <c r="E26" s="43" t="s">
        <v>98</v>
      </c>
      <c r="F26" s="44" t="s">
        <v>130</v>
      </c>
      <c r="G26" s="45" t="s">
        <v>384</v>
      </c>
      <c r="H26" s="46"/>
      <c r="I26" s="11" t="b">
        <v>1</v>
      </c>
      <c r="J26" s="47" t="str">
        <f t="shared" si="2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1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IFERROR(__xludf.DUMMYFUNCTION("""COMPUTED_VALUE"""),"lupo6")</f>
        <v>lupo6</v>
      </c>
      <c r="R26" s="49">
        <f>IFERROR(__xludf.DUMMYFUNCTION("""COMPUTED_VALUE"""),2732.0)</f>
        <v>2732</v>
      </c>
      <c r="S26" s="49"/>
    </row>
    <row r="27">
      <c r="A27" s="43">
        <v>4.0</v>
      </c>
      <c r="B27" s="43">
        <v>2.0</v>
      </c>
      <c r="C27" s="43">
        <v>-32.1129620908171</v>
      </c>
      <c r="D27" s="43">
        <v>115.996388812724</v>
      </c>
      <c r="E27" s="43" t="s">
        <v>103</v>
      </c>
      <c r="F27" s="44" t="s">
        <v>132</v>
      </c>
      <c r="G27" s="45" t="s">
        <v>385</v>
      </c>
      <c r="H27" s="46"/>
      <c r="I27" s="11" t="b">
        <v>1</v>
      </c>
      <c r="J27" s="47" t="str">
        <f t="shared" si="2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1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IFERROR(__xludf.DUMMYFUNCTION("""COMPUTED_VALUE"""),"crscousins")</f>
        <v>crscousins</v>
      </c>
      <c r="R27" s="49">
        <f>IFERROR(__xludf.DUMMYFUNCTION("""COMPUTED_VALUE"""),7152.0)</f>
        <v>7152</v>
      </c>
      <c r="S27" s="49"/>
    </row>
    <row r="28">
      <c r="A28" s="43">
        <v>4.0</v>
      </c>
      <c r="B28" s="43">
        <v>3.0</v>
      </c>
      <c r="C28" s="43">
        <v>-32.112962090704</v>
      </c>
      <c r="D28" s="43">
        <v>115.996558505948</v>
      </c>
      <c r="E28" s="43" t="s">
        <v>98</v>
      </c>
      <c r="F28" s="44" t="s">
        <v>381</v>
      </c>
      <c r="G28" s="45" t="s">
        <v>386</v>
      </c>
      <c r="H28" s="46"/>
      <c r="I28" s="11" t="b">
        <v>1</v>
      </c>
      <c r="J28" s="47" t="str">
        <f t="shared" si="2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1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IFERROR(__xludf.DUMMYFUNCTION("""COMPUTED_VALUE"""),"TD42")</f>
        <v>TD42</v>
      </c>
      <c r="R28" s="49">
        <f>IFERROR(__xludf.DUMMYFUNCTION("""COMPUTED_VALUE"""),3511.0)</f>
        <v>3511</v>
      </c>
      <c r="S28" s="49"/>
    </row>
    <row r="29">
      <c r="A29" s="43">
        <v>4.0</v>
      </c>
      <c r="B29" s="43">
        <v>4.0</v>
      </c>
      <c r="C29" s="43">
        <v>-32.1129620905908</v>
      </c>
      <c r="D29" s="43">
        <v>115.996728199171</v>
      </c>
      <c r="E29" s="43" t="s">
        <v>98</v>
      </c>
      <c r="F29" s="44" t="s">
        <v>138</v>
      </c>
      <c r="G29" s="45" t="s">
        <v>387</v>
      </c>
      <c r="H29" s="46"/>
      <c r="I29" s="11" t="b">
        <v>1</v>
      </c>
      <c r="J29" s="47" t="str">
        <f t="shared" si="2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1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IFERROR(__xludf.DUMMYFUNCTION("""COMPUTED_VALUE"""),4628.0)</f>
        <v>4628</v>
      </c>
      <c r="S29" s="49"/>
    </row>
    <row r="30">
      <c r="A30" s="43">
        <v>4.0</v>
      </c>
      <c r="B30" s="43">
        <v>5.0</v>
      </c>
      <c r="C30" s="43">
        <v>-32.1129620904777</v>
      </c>
      <c r="D30" s="43">
        <v>115.996897892394</v>
      </c>
      <c r="E30" s="43" t="s">
        <v>98</v>
      </c>
      <c r="F30" s="44" t="s">
        <v>190</v>
      </c>
      <c r="G30" s="45" t="s">
        <v>388</v>
      </c>
      <c r="H30" s="46"/>
      <c r="I30" s="11" t="b">
        <v>1</v>
      </c>
      <c r="J30" s="47" t="str">
        <f t="shared" si="2"/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1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IFERROR(__xludf.DUMMYFUNCTION("""COMPUTED_VALUE"""),"GroteSufferd")</f>
        <v>GroteSufferd</v>
      </c>
      <c r="R30" s="49">
        <f>IFERROR(__xludf.DUMMYFUNCTION("""COMPUTED_VALUE"""),754.0)</f>
        <v>754</v>
      </c>
      <c r="S30" s="49"/>
    </row>
    <row r="31">
      <c r="A31" s="43">
        <v>4.0</v>
      </c>
      <c r="B31" s="43">
        <v>6.0</v>
      </c>
      <c r="C31" s="43">
        <v>-32.1129620903645</v>
      </c>
      <c r="D31" s="43">
        <v>115.997067585618</v>
      </c>
      <c r="E31" s="43" t="s">
        <v>103</v>
      </c>
      <c r="F31" s="44" t="s">
        <v>108</v>
      </c>
      <c r="G31" s="52" t="s">
        <v>389</v>
      </c>
      <c r="H31" s="46"/>
      <c r="I31" s="11" t="b">
        <v>1</v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1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IFERROR(__xludf.DUMMYFUNCTION("""COMPUTED_VALUE"""),"Bungle")</f>
        <v>Bungle</v>
      </c>
      <c r="R31" s="49">
        <f>IFERROR(__xludf.DUMMYFUNCTION("""COMPUTED_VALUE"""),10657.0)</f>
        <v>10657</v>
      </c>
      <c r="S31" s="51">
        <v>44698.607265439816</v>
      </c>
    </row>
    <row r="32">
      <c r="A32" s="43">
        <v>4.0</v>
      </c>
      <c r="B32" s="43">
        <v>7.0</v>
      </c>
      <c r="C32" s="43">
        <v>-32.1129620902514</v>
      </c>
      <c r="D32" s="43">
        <v>115.997237278841</v>
      </c>
      <c r="E32" s="43" t="s">
        <v>98</v>
      </c>
      <c r="F32" s="44" t="s">
        <v>118</v>
      </c>
      <c r="G32" s="45" t="s">
        <v>390</v>
      </c>
      <c r="H32" s="44" t="s">
        <v>203</v>
      </c>
      <c r="I32" s="11" t="b">
        <v>1</v>
      </c>
      <c r="J32" s="47" t="str">
        <f t="shared" ref="J32:J40" si="3">if(I32=true,"",S32)</f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1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IFERROR(__xludf.DUMMYFUNCTION("""COMPUTED_VALUE"""),"rita85gto")</f>
        <v>rita85gto</v>
      </c>
      <c r="R32" s="49">
        <f>IFERROR(__xludf.DUMMYFUNCTION("""COMPUTED_VALUE"""),5116.0)</f>
        <v>5116</v>
      </c>
      <c r="S32" s="49"/>
    </row>
    <row r="33">
      <c r="A33" s="55">
        <v>4.0</v>
      </c>
      <c r="B33" s="55">
        <v>8.0</v>
      </c>
      <c r="C33" s="55">
        <v>-32.1129620901382</v>
      </c>
      <c r="D33" s="55">
        <v>115.997406972064</v>
      </c>
      <c r="E33" s="55" t="s">
        <v>98</v>
      </c>
      <c r="F33" s="46"/>
      <c r="G33" s="46"/>
      <c r="H33" s="46"/>
      <c r="I33" s="47" t="b">
        <v>0</v>
      </c>
      <c r="J33" s="47" t="str">
        <f t="shared" si="3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1"/>
        <v>0</v>
      </c>
      <c r="N33" s="49" t="str">
        <f>IFERROR(__xludf.DUMMYFUNCTION("split(G33,""/"")"),"#VALUE!")</f>
        <v>#VALUE!</v>
      </c>
      <c r="O33" s="50"/>
      <c r="P33" s="49"/>
      <c r="Q33" s="49"/>
      <c r="R33" s="49"/>
      <c r="S33" s="49"/>
    </row>
    <row r="34">
      <c r="A34" s="55">
        <v>5.0</v>
      </c>
      <c r="B34" s="55">
        <v>1.0</v>
      </c>
      <c r="C34" s="55">
        <v>-32.1131058213757</v>
      </c>
      <c r="D34" s="55">
        <v>115.996219126447</v>
      </c>
      <c r="E34" s="55" t="s">
        <v>103</v>
      </c>
      <c r="F34" s="46"/>
      <c r="G34" s="46"/>
      <c r="H34" s="46"/>
      <c r="I34" s="47" t="b">
        <v>0</v>
      </c>
      <c r="J34" s="47" t="str">
        <f t="shared" si="3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1"/>
        <v>0</v>
      </c>
      <c r="N34" s="49" t="str">
        <f>IFERROR(__xludf.DUMMYFUNCTION("split(G34,""/"")"),"#VALUE!")</f>
        <v>#VALUE!</v>
      </c>
      <c r="O34" s="50"/>
      <c r="P34" s="49"/>
      <c r="Q34" s="49"/>
      <c r="R34" s="49"/>
      <c r="S34" s="49"/>
    </row>
    <row r="35">
      <c r="A35" s="43">
        <v>5.0</v>
      </c>
      <c r="B35" s="43">
        <v>2.0</v>
      </c>
      <c r="C35" s="43">
        <v>-32.1131058212625</v>
      </c>
      <c r="D35" s="43">
        <v>115.996388819938</v>
      </c>
      <c r="E35" s="43" t="s">
        <v>98</v>
      </c>
      <c r="F35" s="44" t="s">
        <v>141</v>
      </c>
      <c r="G35" s="52" t="s">
        <v>391</v>
      </c>
      <c r="H35" s="46"/>
      <c r="I35" s="11" t="b">
        <v>1</v>
      </c>
      <c r="J35" s="47" t="str">
        <f t="shared" si="3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1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IFERROR(__xludf.DUMMYFUNCTION("""COMPUTED_VALUE"""),3801.0)</f>
        <v>3801</v>
      </c>
      <c r="S35" s="49"/>
    </row>
    <row r="36">
      <c r="A36" s="55">
        <v>5.0</v>
      </c>
      <c r="B36" s="55">
        <v>3.0</v>
      </c>
      <c r="C36" s="55">
        <v>-32.1131058211494</v>
      </c>
      <c r="D36" s="55">
        <v>115.996558513429</v>
      </c>
      <c r="E36" s="55" t="s">
        <v>103</v>
      </c>
      <c r="F36" s="46"/>
      <c r="G36" s="46"/>
      <c r="H36" s="46"/>
      <c r="I36" s="47" t="b">
        <v>0</v>
      </c>
      <c r="J36" s="47" t="str">
        <f t="shared" si="3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1"/>
        <v>0</v>
      </c>
      <c r="N36" s="49" t="str">
        <f>IFERROR(__xludf.DUMMYFUNCTION("split(G36,""/"")"),"#VALUE!")</f>
        <v>#VALUE!</v>
      </c>
      <c r="O36" s="50"/>
      <c r="P36" s="49"/>
      <c r="Q36" s="49"/>
      <c r="R36" s="49"/>
      <c r="S36" s="49"/>
    </row>
    <row r="37">
      <c r="A37" s="55">
        <v>5.0</v>
      </c>
      <c r="B37" s="55">
        <v>4.0</v>
      </c>
      <c r="C37" s="55">
        <v>-32.1131058210362</v>
      </c>
      <c r="D37" s="55">
        <v>115.996728206919</v>
      </c>
      <c r="E37" s="55" t="s">
        <v>98</v>
      </c>
      <c r="F37" s="46"/>
      <c r="G37" s="46"/>
      <c r="H37" s="46"/>
      <c r="I37" s="47" t="b">
        <v>0</v>
      </c>
      <c r="J37" s="47" t="str">
        <f t="shared" si="3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1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55">
        <v>5.0</v>
      </c>
      <c r="B38" s="55">
        <v>5.0</v>
      </c>
      <c r="C38" s="55">
        <v>-32.1131058209231</v>
      </c>
      <c r="D38" s="55">
        <v>115.99689790041</v>
      </c>
      <c r="E38" s="55" t="s">
        <v>98</v>
      </c>
      <c r="F38" s="46"/>
      <c r="G38" s="46"/>
      <c r="H38" s="46"/>
      <c r="I38" s="47" t="b">
        <v>0</v>
      </c>
      <c r="J38" s="47" t="str">
        <f t="shared" si="3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1"/>
        <v>0</v>
      </c>
      <c r="N38" s="49" t="str">
        <f>IFERROR(__xludf.DUMMYFUNCTION("split(G38,""/"")"),"#VALUE!")</f>
        <v>#VALUE!</v>
      </c>
      <c r="O38" s="50"/>
      <c r="P38" s="49"/>
      <c r="Q38" s="49"/>
      <c r="R38" s="49"/>
      <c r="S38" s="49"/>
    </row>
    <row r="39">
      <c r="A39" s="55">
        <v>5.0</v>
      </c>
      <c r="B39" s="55">
        <v>6.0</v>
      </c>
      <c r="C39" s="55">
        <v>-32.1131058208099</v>
      </c>
      <c r="D39" s="55">
        <v>115.9970675939</v>
      </c>
      <c r="E39" s="55" t="s">
        <v>98</v>
      </c>
      <c r="F39" s="46"/>
      <c r="G39" s="46"/>
      <c r="H39" s="46"/>
      <c r="I39" s="47" t="b">
        <v>0</v>
      </c>
      <c r="J39" s="47" t="str">
        <f t="shared" si="3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1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49"/>
    </row>
    <row r="40">
      <c r="A40" s="55">
        <v>5.0</v>
      </c>
      <c r="B40" s="55">
        <v>7.0</v>
      </c>
      <c r="C40" s="55">
        <v>-32.1131058206968</v>
      </c>
      <c r="D40" s="55">
        <v>115.997237287391</v>
      </c>
      <c r="E40" s="55" t="s">
        <v>98</v>
      </c>
      <c r="F40" s="46"/>
      <c r="G40" s="46"/>
      <c r="H40" s="46"/>
      <c r="I40" s="47" t="b">
        <v>0</v>
      </c>
      <c r="J40" s="47" t="str">
        <f t="shared" si="3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1"/>
        <v>0</v>
      </c>
      <c r="N40" s="49" t="str">
        <f>IFERROR(__xludf.DUMMYFUNCTION("split(G40,""/"")"),"#VALUE!")</f>
        <v>#VALUE!</v>
      </c>
      <c r="O40" s="50"/>
      <c r="P40" s="49"/>
      <c r="Q40" s="49"/>
      <c r="R40" s="49"/>
      <c r="S40" s="49"/>
    </row>
    <row r="41">
      <c r="A41" s="55">
        <v>5.0</v>
      </c>
      <c r="B41" s="55">
        <v>8.0</v>
      </c>
      <c r="C41" s="55">
        <v>-32.1131058205836</v>
      </c>
      <c r="D41" s="55">
        <v>115.997406980882</v>
      </c>
      <c r="E41" s="55" t="s">
        <v>98</v>
      </c>
      <c r="F41" s="44" t="s">
        <v>340</v>
      </c>
      <c r="G41" s="46"/>
      <c r="H41" s="46"/>
      <c r="I41" s="47" t="b">
        <v>0</v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1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51">
        <v>44357.5694578125</v>
      </c>
    </row>
    <row r="42">
      <c r="A42" s="43">
        <v>6.0</v>
      </c>
      <c r="B42" s="43">
        <v>1.0</v>
      </c>
      <c r="C42" s="43">
        <v>-32.1132495518212</v>
      </c>
      <c r="D42" s="43">
        <v>115.996219133393</v>
      </c>
      <c r="E42" s="43" t="s">
        <v>98</v>
      </c>
      <c r="F42" s="44" t="s">
        <v>149</v>
      </c>
      <c r="G42" s="45" t="s">
        <v>392</v>
      </c>
      <c r="H42" s="46"/>
      <c r="I42" s="11" t="b">
        <v>1</v>
      </c>
      <c r="J42" s="47" t="str">
        <f t="shared" ref="J42:J56" si="4">if(I42=true,"",S42)</f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1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IFERROR(__xludf.DUMMYFUNCTION("""COMPUTED_VALUE"""),7168.0)</f>
        <v>7168</v>
      </c>
      <c r="S42" s="49"/>
    </row>
    <row r="43">
      <c r="A43" s="55">
        <v>6.0</v>
      </c>
      <c r="B43" s="55">
        <v>2.0</v>
      </c>
      <c r="C43" s="55">
        <v>-32.113249551708</v>
      </c>
      <c r="D43" s="55">
        <v>115.996388827151</v>
      </c>
      <c r="E43" s="55" t="s">
        <v>98</v>
      </c>
      <c r="F43" s="46"/>
      <c r="G43" s="46"/>
      <c r="H43" s="46"/>
      <c r="I43" s="47" t="b">
        <v>0</v>
      </c>
      <c r="J43" s="47" t="str">
        <f t="shared" si="4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1"/>
        <v>0</v>
      </c>
      <c r="N43" s="49" t="str">
        <f>IFERROR(__xludf.DUMMYFUNCTION("split(G43,""/"")"),"#VALUE!")</f>
        <v>#VALUE!</v>
      </c>
      <c r="O43" s="50"/>
      <c r="P43" s="49"/>
      <c r="Q43" s="49"/>
      <c r="R43" s="49"/>
      <c r="S43" s="49"/>
    </row>
    <row r="44">
      <c r="A44" s="55">
        <v>6.0</v>
      </c>
      <c r="B44" s="55">
        <v>3.0</v>
      </c>
      <c r="C44" s="55">
        <v>-32.1132495515949</v>
      </c>
      <c r="D44" s="55">
        <v>115.996558520909</v>
      </c>
      <c r="E44" s="55" t="s">
        <v>103</v>
      </c>
      <c r="F44" s="46"/>
      <c r="G44" s="46"/>
      <c r="H44" s="46"/>
      <c r="I44" s="47" t="b">
        <v>0</v>
      </c>
      <c r="J44" s="47" t="str">
        <f t="shared" si="4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1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55">
        <v>-32.1132495514818</v>
      </c>
      <c r="D45" s="55">
        <v>115.996728214666</v>
      </c>
      <c r="E45" s="55" t="s">
        <v>98</v>
      </c>
      <c r="F45" s="46"/>
      <c r="G45" s="46"/>
      <c r="H45" s="46"/>
      <c r="I45" s="47" t="b">
        <v>0</v>
      </c>
      <c r="J45" s="47" t="str">
        <f t="shared" si="4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1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55">
        <v>-32.1132495513686</v>
      </c>
      <c r="D46" s="55">
        <v>115.996897908424</v>
      </c>
      <c r="E46" s="55" t="s">
        <v>98</v>
      </c>
      <c r="F46" s="44"/>
      <c r="G46" s="46"/>
      <c r="H46" s="46"/>
      <c r="I46" s="47" t="b">
        <v>0</v>
      </c>
      <c r="J46" s="47" t="str">
        <f t="shared" si="4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1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55">
        <v>-32.1132495512555</v>
      </c>
      <c r="D47" s="55">
        <v>115.997067602182</v>
      </c>
      <c r="E47" s="55" t="s">
        <v>103</v>
      </c>
      <c r="F47" s="46"/>
      <c r="G47" s="46"/>
      <c r="H47" s="46"/>
      <c r="I47" s="11" t="b">
        <v>0</v>
      </c>
      <c r="J47" s="47" t="str">
        <f t="shared" si="4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1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-32.1132495511423</v>
      </c>
      <c r="D48" s="43">
        <v>115.99723729594</v>
      </c>
      <c r="E48" s="43" t="s">
        <v>98</v>
      </c>
      <c r="F48" s="44" t="s">
        <v>145</v>
      </c>
      <c r="G48" s="45" t="s">
        <v>393</v>
      </c>
      <c r="H48" s="46"/>
      <c r="I48" s="11" t="b">
        <v>1</v>
      </c>
      <c r="J48" s="47" t="str">
        <f t="shared" si="4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1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IFERROR(__xludf.DUMMYFUNCTION("""COMPUTED_VALUE"""),3569.0)</f>
        <v>3569</v>
      </c>
      <c r="S48" s="51">
        <v>44357.56950612269</v>
      </c>
    </row>
    <row r="49">
      <c r="A49" s="43">
        <v>6.0</v>
      </c>
      <c r="B49" s="43">
        <v>8.0</v>
      </c>
      <c r="C49" s="43">
        <v>-32.1132495510292</v>
      </c>
      <c r="D49" s="43">
        <v>115.997406989697</v>
      </c>
      <c r="E49" s="43" t="s">
        <v>98</v>
      </c>
      <c r="F49" s="44" t="s">
        <v>147</v>
      </c>
      <c r="G49" s="52" t="s">
        <v>394</v>
      </c>
      <c r="H49" s="46"/>
      <c r="I49" s="11" t="b">
        <v>1</v>
      </c>
      <c r="J49" s="47" t="str">
        <f t="shared" si="4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1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IFERROR(__xludf.DUMMYFUNCTION("""COMPUTED_VALUE"""),13726.0)</f>
        <v>13726</v>
      </c>
      <c r="S49" s="51">
        <v>44357.56953954861</v>
      </c>
    </row>
    <row r="50">
      <c r="A50" s="55">
        <v>7.0</v>
      </c>
      <c r="B50" s="55">
        <v>2.0</v>
      </c>
      <c r="C50" s="55">
        <v>-32.1133932821535</v>
      </c>
      <c r="D50" s="55">
        <v>115.996388834367</v>
      </c>
      <c r="E50" s="55" t="s">
        <v>103</v>
      </c>
      <c r="F50" s="46"/>
      <c r="G50" s="46"/>
      <c r="H50" s="46"/>
      <c r="I50" s="47" t="b">
        <v>0</v>
      </c>
      <c r="J50" s="47" t="str">
        <f t="shared" si="4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1"/>
        <v>0</v>
      </c>
      <c r="N50" s="49" t="str">
        <f>IFERROR(__xludf.DUMMYFUNCTION("split(G50,""/"")"),"#VALUE!")</f>
        <v>#VALUE!</v>
      </c>
      <c r="O50" s="57"/>
      <c r="P50" s="49"/>
      <c r="Q50" s="49"/>
      <c r="R50" s="49"/>
      <c r="S50" s="49"/>
    </row>
    <row r="51">
      <c r="A51" s="55">
        <v>7.0</v>
      </c>
      <c r="B51" s="55">
        <v>3.0</v>
      </c>
      <c r="C51" s="55">
        <v>-32.1133932820403</v>
      </c>
      <c r="D51" s="55">
        <v>115.996558528392</v>
      </c>
      <c r="E51" s="55" t="s">
        <v>98</v>
      </c>
      <c r="F51" s="46"/>
      <c r="G51" s="46"/>
      <c r="H51" s="46"/>
      <c r="I51" s="47" t="b">
        <v>0</v>
      </c>
      <c r="J51" s="47" t="str">
        <f t="shared" si="4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1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55">
        <v>-32.1133932819272</v>
      </c>
      <c r="D52" s="55">
        <v>115.996728222417</v>
      </c>
      <c r="E52" s="55" t="s">
        <v>98</v>
      </c>
      <c r="F52" s="44"/>
      <c r="G52" s="46"/>
      <c r="H52" s="46"/>
      <c r="I52" s="47" t="b">
        <v>0</v>
      </c>
      <c r="J52" s="47" t="str">
        <f t="shared" si="4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1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55">
        <v>-32.113393281814</v>
      </c>
      <c r="D53" s="55">
        <v>115.996897916442</v>
      </c>
      <c r="E53" s="55" t="s">
        <v>98</v>
      </c>
      <c r="F53" s="46"/>
      <c r="G53" s="46"/>
      <c r="H53" s="46"/>
      <c r="I53" s="11" t="b">
        <v>0</v>
      </c>
      <c r="J53" s="47" t="str">
        <f t="shared" si="4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1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55">
        <v>-32.1133932817009</v>
      </c>
      <c r="D54" s="55">
        <v>115.997067610466</v>
      </c>
      <c r="E54" s="55" t="s">
        <v>98</v>
      </c>
      <c r="F54" s="46"/>
      <c r="G54" s="46"/>
      <c r="H54" s="46"/>
      <c r="I54" s="47" t="b">
        <v>0</v>
      </c>
      <c r="J54" s="47" t="str">
        <f t="shared" si="4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1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-32.1133932815877</v>
      </c>
      <c r="D55" s="43">
        <v>115.997237304491</v>
      </c>
      <c r="E55" s="43" t="s">
        <v>98</v>
      </c>
      <c r="F55" s="44" t="s">
        <v>153</v>
      </c>
      <c r="G55" s="45" t="s">
        <v>395</v>
      </c>
      <c r="H55" s="46"/>
      <c r="I55" s="11" t="b">
        <v>1</v>
      </c>
      <c r="J55" s="47" t="str">
        <f t="shared" si="4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1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IFERROR(__xludf.DUMMYFUNCTION("""COMPUTED_VALUE"""),24166.0)</f>
        <v>24166</v>
      </c>
      <c r="S55" s="49"/>
    </row>
    <row r="56">
      <c r="A56" s="55">
        <v>8.0</v>
      </c>
      <c r="B56" s="55">
        <v>3.0</v>
      </c>
      <c r="C56" s="55">
        <v>-32.1135370124858</v>
      </c>
      <c r="D56" s="55">
        <v>115.996558535873</v>
      </c>
      <c r="E56" s="55" t="s">
        <v>98</v>
      </c>
      <c r="F56" s="46"/>
      <c r="G56" s="46"/>
      <c r="H56" s="46"/>
      <c r="I56" s="47" t="b">
        <v>0</v>
      </c>
      <c r="J56" s="47" t="str">
        <f t="shared" si="4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1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55">
        <v>8.0</v>
      </c>
      <c r="B57" s="55">
        <v>4.0</v>
      </c>
      <c r="C57" s="55">
        <v>-32.1135370123726</v>
      </c>
      <c r="D57" s="55">
        <v>115.996728230165</v>
      </c>
      <c r="E57" s="55" t="s">
        <v>103</v>
      </c>
      <c r="F57" s="44"/>
      <c r="G57" s="56"/>
      <c r="H57" s="46"/>
      <c r="I57" s="47" t="b">
        <v>0</v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1"/>
        <v>0</v>
      </c>
      <c r="N57" s="49" t="str">
        <f>IFERROR(__xludf.DUMMYFUNCTION("split(G57,""/"")"),"#VALUE!")</f>
        <v>#VALUE!</v>
      </c>
      <c r="O57" s="57"/>
      <c r="P57" s="49"/>
      <c r="Q57" s="49"/>
      <c r="R57" s="49"/>
      <c r="S57" s="51">
        <v>44698.60733493055</v>
      </c>
    </row>
    <row r="58">
      <c r="A58" s="43">
        <v>8.0</v>
      </c>
      <c r="B58" s="43">
        <v>5.0</v>
      </c>
      <c r="C58" s="43">
        <v>-32.1135370122595</v>
      </c>
      <c r="D58" s="43">
        <v>115.996897924457</v>
      </c>
      <c r="E58" s="43" t="s">
        <v>103</v>
      </c>
      <c r="F58" s="44" t="s">
        <v>157</v>
      </c>
      <c r="G58" s="45" t="s">
        <v>396</v>
      </c>
      <c r="H58" s="46"/>
      <c r="I58" s="11" t="b">
        <v>1</v>
      </c>
      <c r="J58" s="47" t="str">
        <f t="shared" ref="J58:J59" si="5">if(I58=true,"",S58)</f>
        <v/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1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IFERROR(__xludf.DUMMYFUNCTION("""COMPUTED_VALUE"""),"barefootguru")</f>
        <v>barefootguru</v>
      </c>
      <c r="R58" s="49">
        <f>IFERROR(__xludf.DUMMYFUNCTION("""COMPUTED_VALUE"""),3527.0)</f>
        <v>3527</v>
      </c>
      <c r="S58" s="49"/>
    </row>
    <row r="59">
      <c r="A59" s="43">
        <v>8.0</v>
      </c>
      <c r="B59" s="43">
        <v>6.0</v>
      </c>
      <c r="C59" s="43">
        <v>-32.1135370121463</v>
      </c>
      <c r="D59" s="43">
        <v>115.997067618749</v>
      </c>
      <c r="E59" s="43" t="s">
        <v>98</v>
      </c>
      <c r="F59" s="44" t="s">
        <v>155</v>
      </c>
      <c r="G59" s="52" t="s">
        <v>397</v>
      </c>
      <c r="H59" s="46"/>
      <c r="I59" s="11" t="b">
        <v>1</v>
      </c>
      <c r="J59" s="47" t="str">
        <f t="shared" si="5"/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1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IFERROR(__xludf.DUMMYFUNCTION("""COMPUTED_VALUE"""),"Ellesche")</f>
        <v>Ellesche</v>
      </c>
      <c r="R59" s="49">
        <f>IFERROR(__xludf.DUMMYFUNCTION("""COMPUTED_VALUE"""),769.0)</f>
        <v>769</v>
      </c>
      <c r="S59" s="49"/>
    </row>
    <row r="61" hidden="1">
      <c r="F61" s="47">
        <f t="shared" ref="F61:G61" si="6">COUNTIF(F8:F59,"")</f>
        <v>19</v>
      </c>
      <c r="G61" s="47">
        <f t="shared" si="6"/>
        <v>20</v>
      </c>
      <c r="I61" s="47">
        <f>COUNTIF(I8:I59,TRUE)</f>
        <v>32</v>
      </c>
    </row>
    <row r="62" hidden="1"/>
    <row r="63" hidden="1"/>
    <row r="64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1"/>
    <hyperlink r:id="rId2" ref="G2"/>
    <hyperlink r:id="rId3" ref="G8"/>
    <hyperlink r:id="rId4" ref="O8"/>
    <hyperlink r:id="rId5" ref="G9"/>
    <hyperlink r:id="rId6" ref="O9"/>
    <hyperlink r:id="rId7" ref="G10"/>
    <hyperlink r:id="rId8" ref="O10"/>
    <hyperlink r:id="rId9" ref="G11"/>
    <hyperlink r:id="rId10" ref="O11"/>
    <hyperlink r:id="rId11" ref="G12"/>
    <hyperlink r:id="rId12" ref="O12"/>
    <hyperlink r:id="rId13" ref="G13"/>
    <hyperlink r:id="rId14" ref="O13"/>
    <hyperlink r:id="rId15" ref="G14"/>
    <hyperlink r:id="rId16" ref="O14"/>
    <hyperlink r:id="rId17" ref="G15"/>
    <hyperlink r:id="rId18" ref="O15"/>
    <hyperlink r:id="rId19" ref="G16"/>
    <hyperlink r:id="rId20" ref="O16"/>
    <hyperlink r:id="rId21" ref="G17"/>
    <hyperlink r:id="rId22" ref="O17"/>
    <hyperlink r:id="rId23" ref="G18"/>
    <hyperlink r:id="rId24" ref="O18"/>
    <hyperlink r:id="rId25" ref="G19"/>
    <hyperlink r:id="rId26" ref="O19"/>
    <hyperlink r:id="rId27" ref="G20"/>
    <hyperlink r:id="rId28" ref="O20"/>
    <hyperlink r:id="rId29" ref="G21"/>
    <hyperlink r:id="rId30" ref="O21"/>
    <hyperlink r:id="rId31" ref="G22"/>
    <hyperlink r:id="rId32" ref="O22"/>
    <hyperlink r:id="rId33" ref="G23"/>
    <hyperlink r:id="rId34" ref="O23"/>
    <hyperlink r:id="rId35" ref="G24"/>
    <hyperlink r:id="rId36" ref="O24"/>
    <hyperlink r:id="rId37" ref="G25"/>
    <hyperlink r:id="rId38" ref="O25"/>
    <hyperlink r:id="rId39" ref="G26"/>
    <hyperlink r:id="rId40" ref="O26"/>
    <hyperlink r:id="rId41" ref="G27"/>
    <hyperlink r:id="rId42" ref="O27"/>
    <hyperlink r:id="rId43" ref="G28"/>
    <hyperlink r:id="rId44" ref="O28"/>
    <hyperlink r:id="rId45" ref="G29"/>
    <hyperlink r:id="rId46" ref="O29"/>
    <hyperlink r:id="rId47" ref="G30"/>
    <hyperlink r:id="rId48" ref="O30"/>
    <hyperlink r:id="rId49" ref="G31"/>
    <hyperlink r:id="rId50" ref="O31"/>
    <hyperlink r:id="rId51" ref="G32"/>
    <hyperlink r:id="rId52" ref="O32"/>
    <hyperlink r:id="rId53" ref="O33"/>
    <hyperlink r:id="rId54" ref="O34"/>
    <hyperlink r:id="rId55" ref="G35"/>
    <hyperlink r:id="rId56" ref="O35"/>
    <hyperlink r:id="rId57" ref="O36"/>
    <hyperlink r:id="rId58" ref="O37"/>
    <hyperlink r:id="rId59" ref="O38"/>
    <hyperlink r:id="rId60" ref="O39"/>
    <hyperlink r:id="rId61" ref="O40"/>
    <hyperlink r:id="rId62" ref="O41"/>
    <hyperlink r:id="rId63" ref="G42"/>
    <hyperlink r:id="rId64" ref="O42"/>
    <hyperlink r:id="rId65" ref="O43"/>
    <hyperlink r:id="rId66" ref="O44"/>
    <hyperlink r:id="rId67" ref="O45"/>
    <hyperlink r:id="rId68" ref="O46"/>
    <hyperlink r:id="rId69" ref="O47"/>
    <hyperlink r:id="rId70" ref="G48"/>
    <hyperlink r:id="rId71" ref="O48"/>
    <hyperlink r:id="rId72" ref="G49"/>
    <hyperlink r:id="rId73" ref="O49"/>
    <hyperlink r:id="rId74" ref="O51"/>
    <hyperlink r:id="rId75" ref="O52"/>
    <hyperlink r:id="rId76" ref="O53"/>
    <hyperlink r:id="rId77" ref="O54"/>
    <hyperlink r:id="rId78" ref="G55"/>
    <hyperlink r:id="rId79" ref="O55"/>
    <hyperlink r:id="rId80" ref="O56"/>
    <hyperlink r:id="rId81" ref="G58"/>
    <hyperlink r:id="rId82" ref="O58"/>
    <hyperlink r:id="rId83" ref="G59"/>
    <hyperlink r:id="rId84" ref="O59"/>
  </hyperlinks>
  <drawing r:id="rId85"/>
  <tableParts count="1">
    <tablePart r:id="rId87"/>
  </tableParts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7.13"/>
    <col customWidth="1" min="2" max="2" width="8.38"/>
    <col customWidth="1" min="3" max="3" width="14.13"/>
    <col customWidth="1" min="4" max="4" width="13.88"/>
    <col customWidth="1" min="5" max="5" width="18.0"/>
    <col customWidth="1" min="6" max="6" width="14.5"/>
    <col customWidth="1" min="7" max="7" width="44.0"/>
    <col customWidth="1" min="8" max="8" width="16.0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31</v>
      </c>
      <c r="D1" s="37" t="s">
        <v>76</v>
      </c>
      <c r="E1" s="2" t="s">
        <v>79</v>
      </c>
      <c r="F1" s="24"/>
      <c r="G1" s="24" t="s">
        <v>62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398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1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20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31</v>
      </c>
      <c r="G5" s="39">
        <f>F5/52</f>
        <v>0.5961538462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51.4553999374935</v>
      </c>
      <c r="D8" s="43">
        <v>-2.4954096770009</v>
      </c>
      <c r="E8" s="43" t="s">
        <v>98</v>
      </c>
      <c r="F8" s="44" t="s">
        <v>319</v>
      </c>
      <c r="G8" s="45" t="s">
        <v>399</v>
      </c>
      <c r="H8" s="46"/>
      <c r="I8" s="11" t="b">
        <v>1</v>
      </c>
      <c r="J8" s="47" t="str">
        <f t="shared" ref="J8:J29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IFERROR(__xludf.DUMMYFUNCTION("""COMPUTED_VALUE"""),3201.0)</f>
        <v>3201</v>
      </c>
      <c r="S8" s="51">
        <v>44357.487346469905</v>
      </c>
    </row>
    <row r="9">
      <c r="A9" s="43">
        <v>1.0</v>
      </c>
      <c r="B9" s="43">
        <v>4.0</v>
      </c>
      <c r="C9" s="43">
        <v>51.4553999372672</v>
      </c>
      <c r="D9" s="43">
        <v>-2.49517901580418</v>
      </c>
      <c r="E9" s="43" t="s">
        <v>98</v>
      </c>
      <c r="F9" s="44" t="s">
        <v>101</v>
      </c>
      <c r="G9" s="45" t="s">
        <v>400</v>
      </c>
      <c r="H9" s="46"/>
      <c r="I9" s="11" t="b">
        <v>1</v>
      </c>
      <c r="J9" s="47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IFERROR(__xludf.DUMMYFUNCTION("""COMPUTED_VALUE"""),6257.0)</f>
        <v>6257</v>
      </c>
      <c r="S9" s="51">
        <v>44357.4873590162</v>
      </c>
    </row>
    <row r="10">
      <c r="A10" s="43">
        <v>1.0</v>
      </c>
      <c r="B10" s="43">
        <v>5.0</v>
      </c>
      <c r="C10" s="43">
        <v>51.4553999370409</v>
      </c>
      <c r="D10" s="43">
        <v>-2.49494835460745</v>
      </c>
      <c r="E10" s="43" t="s">
        <v>103</v>
      </c>
      <c r="F10" s="44" t="s">
        <v>219</v>
      </c>
      <c r="G10" s="45" t="s">
        <v>401</v>
      </c>
      <c r="H10" s="46"/>
      <c r="I10" s="11" t="b">
        <v>1</v>
      </c>
      <c r="J10" s="47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IFERROR(__xludf.DUMMYFUNCTION("""COMPUTED_VALUE"""),4200.0)</f>
        <v>4200</v>
      </c>
      <c r="S10" s="51">
        <v>44357.48742952546</v>
      </c>
    </row>
    <row r="11">
      <c r="A11" s="43">
        <v>1.0</v>
      </c>
      <c r="B11" s="43">
        <v>6.0</v>
      </c>
      <c r="C11" s="43">
        <v>51.4553999368147</v>
      </c>
      <c r="D11" s="43">
        <v>-2.49471769341073</v>
      </c>
      <c r="E11" s="43" t="s">
        <v>103</v>
      </c>
      <c r="F11" s="44" t="s">
        <v>217</v>
      </c>
      <c r="G11" s="45" t="s">
        <v>402</v>
      </c>
      <c r="H11" s="46"/>
      <c r="I11" s="11" t="b">
        <v>1</v>
      </c>
      <c r="J11" s="47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IFERROR(__xludf.DUMMYFUNCTION("""COMPUTED_VALUE"""),5116.0)</f>
        <v>5116</v>
      </c>
      <c r="S11" s="51">
        <v>44357.48747479166</v>
      </c>
    </row>
    <row r="12">
      <c r="A12" s="43">
        <v>2.0</v>
      </c>
      <c r="B12" s="43">
        <v>2.0</v>
      </c>
      <c r="C12" s="43">
        <v>51.4552562072743</v>
      </c>
      <c r="D12" s="43">
        <v>-2.49564035780872</v>
      </c>
      <c r="E12" s="43" t="s">
        <v>98</v>
      </c>
      <c r="F12" s="44" t="s">
        <v>110</v>
      </c>
      <c r="G12" s="45" t="s">
        <v>403</v>
      </c>
      <c r="H12" s="44"/>
      <c r="I12" s="11" t="b">
        <v>1</v>
      </c>
      <c r="J12" s="47" t="str">
        <f t="shared" si="1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IFERROR(__xludf.DUMMYFUNCTION("""COMPUTED_VALUE"""),5350.0)</f>
        <v>5350</v>
      </c>
      <c r="S12" s="49"/>
    </row>
    <row r="13">
      <c r="A13" s="43">
        <v>2.0</v>
      </c>
      <c r="B13" s="43">
        <v>3.0</v>
      </c>
      <c r="C13" s="43">
        <v>51.4552562070481</v>
      </c>
      <c r="D13" s="43">
        <v>-2.49540969733834</v>
      </c>
      <c r="E13" s="43" t="s">
        <v>98</v>
      </c>
      <c r="F13" s="44" t="s">
        <v>112</v>
      </c>
      <c r="G13" s="45" t="s">
        <v>404</v>
      </c>
      <c r="H13" s="46"/>
      <c r="I13" s="11" t="b">
        <v>1</v>
      </c>
      <c r="J13" s="47" t="str">
        <f t="shared" si="1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IFERROR(__xludf.DUMMYFUNCTION("""COMPUTED_VALUE"""),3651.0)</f>
        <v>3651</v>
      </c>
      <c r="S13" s="49"/>
    </row>
    <row r="14">
      <c r="A14" s="43">
        <v>2.0</v>
      </c>
      <c r="B14" s="43">
        <v>4.0</v>
      </c>
      <c r="C14" s="43">
        <v>51.4552562068218</v>
      </c>
      <c r="D14" s="43">
        <v>-2.49517903686796</v>
      </c>
      <c r="E14" s="43" t="s">
        <v>98</v>
      </c>
      <c r="F14" s="44" t="s">
        <v>114</v>
      </c>
      <c r="G14" s="45" t="s">
        <v>405</v>
      </c>
      <c r="H14" s="46"/>
      <c r="I14" s="11" t="b">
        <v>1</v>
      </c>
      <c r="J14" s="47" t="str">
        <f t="shared" si="1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IFERROR(__xludf.DUMMYFUNCTION("""COMPUTED_VALUE"""),13017.0)</f>
        <v>13017</v>
      </c>
      <c r="S14" s="49"/>
    </row>
    <row r="15">
      <c r="A15" s="43">
        <v>2.0</v>
      </c>
      <c r="B15" s="43">
        <v>5.0</v>
      </c>
      <c r="C15" s="43">
        <v>51.4552562065955</v>
      </c>
      <c r="D15" s="43">
        <v>-2.49494837639758</v>
      </c>
      <c r="E15" s="43" t="s">
        <v>103</v>
      </c>
      <c r="F15" s="44" t="s">
        <v>116</v>
      </c>
      <c r="G15" s="45" t="s">
        <v>406</v>
      </c>
      <c r="H15" s="46"/>
      <c r="I15" s="11" t="b">
        <v>1</v>
      </c>
      <c r="J15" s="47" t="str">
        <f t="shared" si="1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IFERROR(__xludf.DUMMYFUNCTION("""COMPUTED_VALUE"""),5486.0)</f>
        <v>5486</v>
      </c>
      <c r="S15" s="49"/>
    </row>
    <row r="16">
      <c r="A16" s="43">
        <v>2.0</v>
      </c>
      <c r="B16" s="43">
        <v>6.0</v>
      </c>
      <c r="C16" s="43">
        <v>51.4552562063692</v>
      </c>
      <c r="D16" s="43">
        <v>-2.4947177159272</v>
      </c>
      <c r="E16" s="43" t="s">
        <v>98</v>
      </c>
      <c r="F16" s="44" t="s">
        <v>155</v>
      </c>
      <c r="G16" s="52" t="s">
        <v>407</v>
      </c>
      <c r="H16" s="46"/>
      <c r="I16" s="11" t="b">
        <v>1</v>
      </c>
      <c r="J16" s="47" t="str">
        <f t="shared" si="1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IFERROR(__xludf.DUMMYFUNCTION("""COMPUTED_VALUE"""),"Ellesche")</f>
        <v>Ellesche</v>
      </c>
      <c r="R16" s="49">
        <f>IFERROR(__xludf.DUMMYFUNCTION("""COMPUTED_VALUE"""),807.0)</f>
        <v>807</v>
      </c>
      <c r="S16" s="49"/>
    </row>
    <row r="17">
      <c r="A17" s="43">
        <v>2.0</v>
      </c>
      <c r="B17" s="43">
        <v>7.0</v>
      </c>
      <c r="C17" s="43">
        <v>51.4552562061429</v>
      </c>
      <c r="D17" s="43">
        <v>-2.49448705545682</v>
      </c>
      <c r="E17" s="43" t="s">
        <v>98</v>
      </c>
      <c r="F17" s="44" t="s">
        <v>151</v>
      </c>
      <c r="G17" s="52" t="s">
        <v>408</v>
      </c>
      <c r="H17" s="46"/>
      <c r="I17" s="11" t="b">
        <v>1</v>
      </c>
      <c r="J17" s="47" t="str">
        <f t="shared" si="1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IFERROR(__xludf.DUMMYFUNCTION("""COMPUTED_VALUE"""),"res2100")</f>
        <v>res2100</v>
      </c>
      <c r="R17" s="49">
        <f>IFERROR(__xludf.DUMMYFUNCTION("""COMPUTED_VALUE"""),753.0)</f>
        <v>753</v>
      </c>
      <c r="S17" s="49"/>
    </row>
    <row r="18">
      <c r="A18" s="43">
        <v>3.0</v>
      </c>
      <c r="B18" s="43">
        <v>1.0</v>
      </c>
      <c r="C18" s="43">
        <v>51.4551124770552</v>
      </c>
      <c r="D18" s="43">
        <v>-2.49587103716135</v>
      </c>
      <c r="E18" s="43" t="s">
        <v>98</v>
      </c>
      <c r="F18" s="44" t="s">
        <v>120</v>
      </c>
      <c r="G18" s="45" t="s">
        <v>409</v>
      </c>
      <c r="H18" s="46"/>
      <c r="I18" s="11" t="b">
        <v>1</v>
      </c>
      <c r="J18" s="47" t="str">
        <f t="shared" si="1"/>
        <v/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IFERROR(__xludf.DUMMYFUNCTION("""COMPUTED_VALUE"""),"xrayneex")</f>
        <v>xrayneex</v>
      </c>
      <c r="R18" s="49">
        <f>IFERROR(__xludf.DUMMYFUNCTION("""COMPUTED_VALUE"""),2623.0)</f>
        <v>2623</v>
      </c>
      <c r="S18" s="49"/>
    </row>
    <row r="19">
      <c r="A19" s="43">
        <v>3.0</v>
      </c>
      <c r="B19" s="43">
        <v>2.0</v>
      </c>
      <c r="C19" s="43">
        <v>51.4551124768289</v>
      </c>
      <c r="D19" s="43">
        <v>-2.4956403774172</v>
      </c>
      <c r="E19" s="43" t="s">
        <v>98</v>
      </c>
      <c r="F19" s="44" t="s">
        <v>122</v>
      </c>
      <c r="G19" s="45" t="s">
        <v>410</v>
      </c>
      <c r="H19" s="46"/>
      <c r="I19" s="11" t="b">
        <v>1</v>
      </c>
      <c r="J19" s="47" t="str">
        <f t="shared" si="1"/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IFERROR(__xludf.DUMMYFUNCTION("""COMPUTED_VALUE"""),"Drazoria")</f>
        <v>Drazoria</v>
      </c>
      <c r="R19" s="49">
        <f>IFERROR(__xludf.DUMMYFUNCTION("""COMPUTED_VALUE"""),1600.0)</f>
        <v>1600</v>
      </c>
      <c r="S19" s="51">
        <v>44368.41617232639</v>
      </c>
    </row>
    <row r="20">
      <c r="A20" s="43">
        <v>3.0</v>
      </c>
      <c r="B20" s="43">
        <v>3.0</v>
      </c>
      <c r="C20" s="43">
        <v>51.4551124766027</v>
      </c>
      <c r="D20" s="43">
        <v>-2.49540971767305</v>
      </c>
      <c r="E20" s="43" t="s">
        <v>98</v>
      </c>
      <c r="F20" s="44" t="s">
        <v>124</v>
      </c>
      <c r="G20" s="45" t="s">
        <v>411</v>
      </c>
      <c r="H20" s="46"/>
      <c r="I20" s="11" t="b">
        <v>1</v>
      </c>
      <c r="J20" s="47" t="str">
        <f t="shared" si="1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IFERROR(__xludf.DUMMYFUNCTION("""COMPUTED_VALUE"""),"Tinake1309")</f>
        <v>Tinake1309</v>
      </c>
      <c r="R20" s="49">
        <f>IFERROR(__xludf.DUMMYFUNCTION("""COMPUTED_VALUE"""),1597.0)</f>
        <v>1597</v>
      </c>
      <c r="S20" s="49"/>
    </row>
    <row r="21">
      <c r="A21" s="43">
        <v>3.0</v>
      </c>
      <c r="B21" s="43">
        <v>4.0</v>
      </c>
      <c r="C21" s="43">
        <v>51.4551124763764</v>
      </c>
      <c r="D21" s="43">
        <v>-2.4951790579289</v>
      </c>
      <c r="E21" s="43" t="s">
        <v>98</v>
      </c>
      <c r="F21" s="44" t="s">
        <v>126</v>
      </c>
      <c r="G21" s="45" t="s">
        <v>412</v>
      </c>
      <c r="H21" s="46"/>
      <c r="I21" s="11" t="b">
        <v>1</v>
      </c>
      <c r="J21" s="47" t="str">
        <f t="shared" si="1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IFERROR(__xludf.DUMMYFUNCTION("""COMPUTED_VALUE"""),"Berg14")</f>
        <v>Berg14</v>
      </c>
      <c r="R21" s="49">
        <f>IFERROR(__xludf.DUMMYFUNCTION("""COMPUTED_VALUE"""),1519.0)</f>
        <v>1519</v>
      </c>
      <c r="S21" s="49"/>
    </row>
    <row r="22">
      <c r="A22" s="43">
        <v>3.0</v>
      </c>
      <c r="B22" s="43">
        <v>5.0</v>
      </c>
      <c r="C22" s="43">
        <v>51.4551124761501</v>
      </c>
      <c r="D22" s="43">
        <v>-2.49494839818476</v>
      </c>
      <c r="E22" s="43" t="s">
        <v>98</v>
      </c>
      <c r="F22" s="44" t="s">
        <v>128</v>
      </c>
      <c r="G22" s="45" t="s">
        <v>413</v>
      </c>
      <c r="H22" s="46"/>
      <c r="I22" s="11" t="b">
        <v>1</v>
      </c>
      <c r="J22" s="47" t="str">
        <f t="shared" si="1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IFERROR(__xludf.DUMMYFUNCTION("""COMPUTED_VALUE"""),"Niks13")</f>
        <v>Niks13</v>
      </c>
      <c r="R22" s="49">
        <f>IFERROR(__xludf.DUMMYFUNCTION("""COMPUTED_VALUE"""),1499.0)</f>
        <v>1499</v>
      </c>
      <c r="S22" s="49"/>
    </row>
    <row r="23">
      <c r="A23" s="43">
        <v>3.0</v>
      </c>
      <c r="B23" s="43">
        <v>6.0</v>
      </c>
      <c r="C23" s="43">
        <v>51.4551124759238</v>
      </c>
      <c r="D23" s="43">
        <v>-2.49471773844061</v>
      </c>
      <c r="E23" s="43" t="s">
        <v>98</v>
      </c>
      <c r="F23" s="44" t="s">
        <v>414</v>
      </c>
      <c r="G23" s="45" t="s">
        <v>415</v>
      </c>
      <c r="H23" s="46"/>
      <c r="I23" s="11" t="b">
        <v>1</v>
      </c>
      <c r="J23" s="47" t="str">
        <f t="shared" si="1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IFERROR(__xludf.DUMMYFUNCTION("""COMPUTED_VALUE"""),"nyboss")</f>
        <v>nyboss</v>
      </c>
      <c r="R23" s="49">
        <f>IFERROR(__xludf.DUMMYFUNCTION("""COMPUTED_VALUE"""),13220.0)</f>
        <v>13220</v>
      </c>
      <c r="S23" s="49"/>
    </row>
    <row r="24">
      <c r="A24" s="43">
        <v>3.0</v>
      </c>
      <c r="B24" s="43">
        <v>7.0</v>
      </c>
      <c r="C24" s="43">
        <v>51.4551124756976</v>
      </c>
      <c r="D24" s="43">
        <v>-2.49448707869646</v>
      </c>
      <c r="E24" s="43" t="s">
        <v>98</v>
      </c>
      <c r="F24" s="44" t="s">
        <v>99</v>
      </c>
      <c r="G24" s="45" t="s">
        <v>416</v>
      </c>
      <c r="H24" s="46"/>
      <c r="I24" s="11" t="b">
        <v>1</v>
      </c>
      <c r="J24" s="47" t="str">
        <f t="shared" si="1"/>
        <v/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IFERROR(__xludf.DUMMYFUNCTION("""COMPUTED_VALUE"""),"raunas")</f>
        <v>raunas</v>
      </c>
      <c r="R24" s="49">
        <f>IFERROR(__xludf.DUMMYFUNCTION("""COMPUTED_VALUE"""),12564.0)</f>
        <v>12564</v>
      </c>
      <c r="S24" s="51">
        <v>44749.24893203704</v>
      </c>
    </row>
    <row r="25">
      <c r="A25" s="43">
        <v>3.0</v>
      </c>
      <c r="B25" s="43">
        <v>8.0</v>
      </c>
      <c r="C25" s="43">
        <v>51.4551124754713</v>
      </c>
      <c r="D25" s="43">
        <v>-2.49425641895231</v>
      </c>
      <c r="E25" s="43" t="s">
        <v>98</v>
      </c>
      <c r="F25" s="44" t="s">
        <v>130</v>
      </c>
      <c r="G25" s="45" t="s">
        <v>417</v>
      </c>
      <c r="H25" s="46"/>
      <c r="I25" s="11" t="b">
        <v>1</v>
      </c>
      <c r="J25" s="47" t="str">
        <f t="shared" si="1"/>
        <v/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IFERROR(__xludf.DUMMYFUNCTION("""COMPUTED_VALUE"""),"lupo6")</f>
        <v>lupo6</v>
      </c>
      <c r="R25" s="49">
        <f>IFERROR(__xludf.DUMMYFUNCTION("""COMPUTED_VALUE"""),6620.0)</f>
        <v>6620</v>
      </c>
      <c r="S25" s="49"/>
    </row>
    <row r="26">
      <c r="A26" s="43">
        <v>4.0</v>
      </c>
      <c r="B26" s="43">
        <v>1.0</v>
      </c>
      <c r="C26" s="43">
        <v>51.4549687466098</v>
      </c>
      <c r="D26" s="43">
        <v>-2.49587105604337</v>
      </c>
      <c r="E26" s="43" t="s">
        <v>98</v>
      </c>
      <c r="F26" s="44" t="s">
        <v>136</v>
      </c>
      <c r="G26" s="45" t="s">
        <v>418</v>
      </c>
      <c r="H26" s="46"/>
      <c r="I26" s="11" t="b">
        <v>1</v>
      </c>
      <c r="J26" s="47" t="str">
        <f t="shared" si="1"/>
        <v/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2"/>
        <v>2</v>
      </c>
      <c r="N26" s="49" t="str">
        <f>IFERROR(__xludf.DUMMYFUNCTION("split(G26,""/"")"),"https:")</f>
        <v>https:</v>
      </c>
      <c r="O26" s="50" t="str">
        <f>IFERROR(__xludf.DUMMYFUNCTION("""COMPUTED_VALUE"""),"www.munzee.com")</f>
        <v>www.munzee.com</v>
      </c>
      <c r="P26" s="49" t="str">
        <f>IFERROR(__xludf.DUMMYFUNCTION("""COMPUTED_VALUE"""),"m")</f>
        <v>m</v>
      </c>
      <c r="Q26" s="49" t="str">
        <f>IFERROR(__xludf.DUMMYFUNCTION("""COMPUTED_VALUE"""),"OdinsFiRe")</f>
        <v>OdinsFiRe</v>
      </c>
      <c r="R26" s="49">
        <f>IFERROR(__xludf.DUMMYFUNCTION("""COMPUTED_VALUE"""),2066.0)</f>
        <v>2066</v>
      </c>
      <c r="S26" s="49"/>
    </row>
    <row r="27">
      <c r="A27" s="43">
        <v>4.0</v>
      </c>
      <c r="B27" s="43">
        <v>2.0</v>
      </c>
      <c r="C27" s="43">
        <v>51.4549687463835</v>
      </c>
      <c r="D27" s="43">
        <v>-2.49564039702545</v>
      </c>
      <c r="E27" s="43" t="s">
        <v>103</v>
      </c>
      <c r="F27" s="44" t="s">
        <v>178</v>
      </c>
      <c r="G27" s="45" t="s">
        <v>419</v>
      </c>
      <c r="H27" s="46"/>
      <c r="I27" s="11" t="b">
        <v>1</v>
      </c>
      <c r="J27" s="47" t="str">
        <f t="shared" si="1"/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IFERROR(__xludf.DUMMYFUNCTION("""COMPUTED_VALUE"""),"lison55")</f>
        <v>lison55</v>
      </c>
      <c r="R27" s="49">
        <f>IFERROR(__xludf.DUMMYFUNCTION("""COMPUTED_VALUE"""),12386.0)</f>
        <v>12386</v>
      </c>
      <c r="S27" s="49"/>
    </row>
    <row r="28">
      <c r="A28" s="43">
        <v>4.0</v>
      </c>
      <c r="B28" s="43">
        <v>3.0</v>
      </c>
      <c r="C28" s="43">
        <v>51.4549687461573</v>
      </c>
      <c r="D28" s="43">
        <v>-2.49540973800753</v>
      </c>
      <c r="E28" s="43" t="s">
        <v>98</v>
      </c>
      <c r="F28" s="44" t="s">
        <v>132</v>
      </c>
      <c r="G28" s="45" t="s">
        <v>420</v>
      </c>
      <c r="H28" s="46"/>
      <c r="I28" s="11" t="b">
        <v>1</v>
      </c>
      <c r="J28" s="47" t="str">
        <f t="shared" si="1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2"/>
        <v>2</v>
      </c>
      <c r="N28" s="49" t="str">
        <f>IFERROR(__xludf.DUMMYFUNCTION("split(G28,""/"")"),"https:")</f>
        <v>https:</v>
      </c>
      <c r="O28" s="50" t="str">
        <f>IFERROR(__xludf.DUMMYFUNCTION("""COMPUTED_VALUE"""),"www.munzee.com")</f>
        <v>www.munzee.com</v>
      </c>
      <c r="P28" s="49" t="str">
        <f>IFERROR(__xludf.DUMMYFUNCTION("""COMPUTED_VALUE"""),"m")</f>
        <v>m</v>
      </c>
      <c r="Q28" s="49" t="str">
        <f>IFERROR(__xludf.DUMMYFUNCTION("""COMPUTED_VALUE"""),"crscousins")</f>
        <v>crscousins</v>
      </c>
      <c r="R28" s="49">
        <f>IFERROR(__xludf.DUMMYFUNCTION("""COMPUTED_VALUE"""),4098.0)</f>
        <v>4098</v>
      </c>
      <c r="S28" s="49"/>
    </row>
    <row r="29">
      <c r="A29" s="43">
        <v>4.0</v>
      </c>
      <c r="B29" s="43">
        <v>4.0</v>
      </c>
      <c r="C29" s="43">
        <v>51.454968745931</v>
      </c>
      <c r="D29" s="43">
        <v>-2.49517907898962</v>
      </c>
      <c r="E29" s="43" t="s">
        <v>98</v>
      </c>
      <c r="F29" s="44" t="s">
        <v>138</v>
      </c>
      <c r="G29" s="45" t="s">
        <v>421</v>
      </c>
      <c r="H29" s="46"/>
      <c r="I29" s="11" t="b">
        <v>1</v>
      </c>
      <c r="J29" s="47" t="str">
        <f t="shared" si="1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IFERROR(__xludf.DUMMYFUNCTION("""COMPUTED_VALUE"""),4623.0)</f>
        <v>4623</v>
      </c>
      <c r="S29" s="49"/>
    </row>
    <row r="30">
      <c r="A30" s="43">
        <v>4.0</v>
      </c>
      <c r="B30" s="43">
        <v>5.0</v>
      </c>
      <c r="C30" s="43">
        <v>51.4549687457047</v>
      </c>
      <c r="D30" s="43">
        <v>-2.4949484199717</v>
      </c>
      <c r="E30" s="43" t="s">
        <v>98</v>
      </c>
      <c r="F30" s="44" t="s">
        <v>108</v>
      </c>
      <c r="G30" s="45" t="s">
        <v>422</v>
      </c>
      <c r="H30" s="46"/>
      <c r="I30" s="11" t="b">
        <v>1</v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2"/>
        <v>2</v>
      </c>
      <c r="N30" s="49" t="str">
        <f>IFERROR(__xludf.DUMMYFUNCTION("split(G30,""/"")"),"https:")</f>
        <v>https:</v>
      </c>
      <c r="O30" s="50" t="str">
        <f>IFERROR(__xludf.DUMMYFUNCTION("""COMPUTED_VALUE"""),"www.munzee.com")</f>
        <v>www.munzee.com</v>
      </c>
      <c r="P30" s="49" t="str">
        <f>IFERROR(__xludf.DUMMYFUNCTION("""COMPUTED_VALUE"""),"m")</f>
        <v>m</v>
      </c>
      <c r="Q30" s="49" t="str">
        <f>IFERROR(__xludf.DUMMYFUNCTION("""COMPUTED_VALUE"""),"Bungle")</f>
        <v>Bungle</v>
      </c>
      <c r="R30" s="49">
        <f>IFERROR(__xludf.DUMMYFUNCTION("""COMPUTED_VALUE"""),10659.0)</f>
        <v>10659</v>
      </c>
      <c r="S30" s="51">
        <v>44698.60743083333</v>
      </c>
    </row>
    <row r="31">
      <c r="A31" s="55">
        <v>4.0</v>
      </c>
      <c r="B31" s="55">
        <v>6.0</v>
      </c>
      <c r="C31" s="55">
        <v>51.4549687454784</v>
      </c>
      <c r="D31" s="55">
        <v>-2.49471776095379</v>
      </c>
      <c r="E31" s="55" t="s">
        <v>103</v>
      </c>
      <c r="F31" s="46"/>
      <c r="G31" s="46"/>
      <c r="H31" s="46"/>
      <c r="I31" s="47" t="b">
        <v>0</v>
      </c>
      <c r="J31" s="47" t="str">
        <f t="shared" ref="J31:J40" si="3">if(I31=true,"",S31)</f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2"/>
        <v>0</v>
      </c>
      <c r="N31" s="49" t="str">
        <f>IFERROR(__xludf.DUMMYFUNCTION("split(G31,""/"")"),"#VALUE!")</f>
        <v>#VALUE!</v>
      </c>
      <c r="O31" s="50"/>
      <c r="P31" s="49"/>
      <c r="Q31" s="49"/>
      <c r="R31" s="49"/>
      <c r="S31" s="49"/>
    </row>
    <row r="32">
      <c r="A32" s="43">
        <v>4.0</v>
      </c>
      <c r="B32" s="43">
        <v>7.0</v>
      </c>
      <c r="C32" s="43">
        <v>51.4549687452521</v>
      </c>
      <c r="D32" s="43">
        <v>-2.49448710193587</v>
      </c>
      <c r="E32" s="43" t="s">
        <v>98</v>
      </c>
      <c r="F32" s="44" t="s">
        <v>118</v>
      </c>
      <c r="G32" s="45" t="s">
        <v>423</v>
      </c>
      <c r="H32" s="44" t="s">
        <v>203</v>
      </c>
      <c r="I32" s="11" t="b">
        <v>1</v>
      </c>
      <c r="J32" s="47" t="str">
        <f t="shared" si="3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IFERROR(__xludf.DUMMYFUNCTION("""COMPUTED_VALUE"""),"rita85gto")</f>
        <v>rita85gto</v>
      </c>
      <c r="R32" s="49">
        <f>IFERROR(__xludf.DUMMYFUNCTION("""COMPUTED_VALUE"""),5119.0)</f>
        <v>5119</v>
      </c>
      <c r="S32" s="49"/>
    </row>
    <row r="33">
      <c r="A33" s="55">
        <v>4.0</v>
      </c>
      <c r="B33" s="55">
        <v>8.0</v>
      </c>
      <c r="C33" s="55">
        <v>51.4549687450259</v>
      </c>
      <c r="D33" s="55">
        <v>-2.49425644291795</v>
      </c>
      <c r="E33" s="55" t="s">
        <v>98</v>
      </c>
      <c r="F33" s="46"/>
      <c r="G33" s="46"/>
      <c r="H33" s="46"/>
      <c r="I33" s="47" t="b">
        <v>0</v>
      </c>
      <c r="J33" s="47" t="str">
        <f t="shared" si="3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2"/>
        <v>0</v>
      </c>
      <c r="N33" s="49" t="str">
        <f>IFERROR(__xludf.DUMMYFUNCTION("split(G33,""/"")"),"#VALUE!")</f>
        <v>#VALUE!</v>
      </c>
      <c r="O33" s="50"/>
      <c r="P33" s="49"/>
      <c r="Q33" s="49"/>
      <c r="R33" s="49"/>
      <c r="S33" s="49"/>
    </row>
    <row r="34">
      <c r="A34" s="55">
        <v>5.0</v>
      </c>
      <c r="B34" s="55">
        <v>1.0</v>
      </c>
      <c r="C34" s="55">
        <v>51.4548250161644</v>
      </c>
      <c r="D34" s="55">
        <v>-2.49587107492538</v>
      </c>
      <c r="E34" s="55" t="s">
        <v>103</v>
      </c>
      <c r="F34" s="46"/>
      <c r="G34" s="46"/>
      <c r="H34" s="46"/>
      <c r="I34" s="47" t="b">
        <v>0</v>
      </c>
      <c r="J34" s="47" t="str">
        <f t="shared" si="3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2"/>
        <v>0</v>
      </c>
      <c r="N34" s="49" t="str">
        <f>IFERROR(__xludf.DUMMYFUNCTION("split(G34,""/"")"),"#VALUE!")</f>
        <v>#VALUE!</v>
      </c>
      <c r="O34" s="50"/>
      <c r="P34" s="49"/>
      <c r="Q34" s="49"/>
      <c r="R34" s="49"/>
      <c r="S34" s="49"/>
    </row>
    <row r="35">
      <c r="A35" s="43">
        <v>5.0</v>
      </c>
      <c r="B35" s="43">
        <v>2.0</v>
      </c>
      <c r="C35" s="43">
        <v>51.4548250159381</v>
      </c>
      <c r="D35" s="43">
        <v>-2.4956404166337</v>
      </c>
      <c r="E35" s="43" t="s">
        <v>98</v>
      </c>
      <c r="F35" s="44" t="s">
        <v>141</v>
      </c>
      <c r="G35" s="45" t="s">
        <v>424</v>
      </c>
      <c r="H35" s="46"/>
      <c r="I35" s="11" t="b">
        <v>1</v>
      </c>
      <c r="J35" s="47" t="str">
        <f t="shared" si="3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IFERROR(__xludf.DUMMYFUNCTION("""COMPUTED_VALUE"""),3783.0)</f>
        <v>3783</v>
      </c>
      <c r="S35" s="49"/>
    </row>
    <row r="36">
      <c r="A36" s="55">
        <v>5.0</v>
      </c>
      <c r="B36" s="55">
        <v>3.0</v>
      </c>
      <c r="C36" s="55">
        <v>51.4548250157118</v>
      </c>
      <c r="D36" s="55">
        <v>-2.49540975834202</v>
      </c>
      <c r="E36" s="55" t="s">
        <v>103</v>
      </c>
      <c r="F36" s="46"/>
      <c r="G36" s="46"/>
      <c r="H36" s="46"/>
      <c r="I36" s="47" t="b">
        <v>0</v>
      </c>
      <c r="J36" s="47" t="str">
        <f t="shared" si="3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2"/>
        <v>0</v>
      </c>
      <c r="N36" s="49" t="str">
        <f>IFERROR(__xludf.DUMMYFUNCTION("split(G36,""/"")"),"#VALUE!")</f>
        <v>#VALUE!</v>
      </c>
      <c r="O36" s="50"/>
      <c r="P36" s="49"/>
      <c r="Q36" s="49"/>
      <c r="R36" s="49"/>
      <c r="S36" s="49"/>
    </row>
    <row r="37">
      <c r="A37" s="55">
        <v>5.0</v>
      </c>
      <c r="B37" s="55">
        <v>4.0</v>
      </c>
      <c r="C37" s="55">
        <v>51.4548250154855</v>
      </c>
      <c r="D37" s="55">
        <v>-2.49517910005033</v>
      </c>
      <c r="E37" s="55" t="s">
        <v>98</v>
      </c>
      <c r="F37" s="46"/>
      <c r="G37" s="46"/>
      <c r="H37" s="46"/>
      <c r="I37" s="47" t="b">
        <v>0</v>
      </c>
      <c r="J37" s="47" t="str">
        <f t="shared" si="3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2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55">
        <v>5.0</v>
      </c>
      <c r="B38" s="55">
        <v>5.0</v>
      </c>
      <c r="C38" s="55">
        <v>51.4548250152593</v>
      </c>
      <c r="D38" s="55">
        <v>-2.49494844175865</v>
      </c>
      <c r="E38" s="55" t="s">
        <v>98</v>
      </c>
      <c r="F38" s="46"/>
      <c r="G38" s="46"/>
      <c r="H38" s="46"/>
      <c r="I38" s="47" t="b">
        <v>0</v>
      </c>
      <c r="J38" s="47" t="str">
        <f t="shared" si="3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2"/>
        <v>0</v>
      </c>
      <c r="N38" s="49" t="str">
        <f>IFERROR(__xludf.DUMMYFUNCTION("split(G38,""/"")"),"#VALUE!")</f>
        <v>#VALUE!</v>
      </c>
      <c r="O38" s="50"/>
      <c r="P38" s="49"/>
      <c r="Q38" s="49"/>
      <c r="R38" s="49"/>
      <c r="S38" s="49"/>
    </row>
    <row r="39">
      <c r="A39" s="55">
        <v>5.0</v>
      </c>
      <c r="B39" s="55">
        <v>6.0</v>
      </c>
      <c r="C39" s="55">
        <v>51.454825015033</v>
      </c>
      <c r="D39" s="55">
        <v>-2.49471778346696</v>
      </c>
      <c r="E39" s="55" t="s">
        <v>98</v>
      </c>
      <c r="F39" s="46"/>
      <c r="G39" s="46"/>
      <c r="H39" s="46"/>
      <c r="I39" s="47" t="b">
        <v>0</v>
      </c>
      <c r="J39" s="47" t="str">
        <f t="shared" si="3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2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49"/>
    </row>
    <row r="40">
      <c r="A40" s="55">
        <v>5.0</v>
      </c>
      <c r="B40" s="55">
        <v>7.0</v>
      </c>
      <c r="C40" s="55">
        <v>51.4548250148067</v>
      </c>
      <c r="D40" s="55">
        <v>-2.49448712517528</v>
      </c>
      <c r="E40" s="55" t="s">
        <v>98</v>
      </c>
      <c r="F40" s="46"/>
      <c r="G40" s="46"/>
      <c r="H40" s="46"/>
      <c r="I40" s="47" t="b">
        <v>0</v>
      </c>
      <c r="J40" s="47" t="str">
        <f t="shared" si="3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2"/>
        <v>0</v>
      </c>
      <c r="N40" s="49" t="str">
        <f>IFERROR(__xludf.DUMMYFUNCTION("split(G40,""/"")"),"#VALUE!")</f>
        <v>#VALUE!</v>
      </c>
      <c r="O40" s="50"/>
      <c r="P40" s="49"/>
      <c r="Q40" s="49"/>
      <c r="R40" s="49"/>
      <c r="S40" s="49"/>
    </row>
    <row r="41">
      <c r="A41" s="55">
        <v>5.0</v>
      </c>
      <c r="B41" s="55">
        <v>8.0</v>
      </c>
      <c r="C41" s="55">
        <v>51.4548250145804</v>
      </c>
      <c r="D41" s="55">
        <v>-2.49425646688359</v>
      </c>
      <c r="E41" s="55" t="s">
        <v>98</v>
      </c>
      <c r="F41" s="44" t="s">
        <v>340</v>
      </c>
      <c r="G41" s="46"/>
      <c r="H41" s="46"/>
      <c r="I41" s="47" t="b">
        <v>0</v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2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51">
        <v>44357.48764532407</v>
      </c>
    </row>
    <row r="42">
      <c r="A42" s="43">
        <v>6.0</v>
      </c>
      <c r="B42" s="43">
        <v>1.0</v>
      </c>
      <c r="C42" s="43">
        <v>51.4546812857189</v>
      </c>
      <c r="D42" s="43">
        <v>-2.4958710938074</v>
      </c>
      <c r="E42" s="43" t="s">
        <v>98</v>
      </c>
      <c r="F42" s="44" t="s">
        <v>149</v>
      </c>
      <c r="G42" s="45" t="s">
        <v>425</v>
      </c>
      <c r="H42" s="46"/>
      <c r="I42" s="11" t="b">
        <v>1</v>
      </c>
      <c r="J42" s="47" t="str">
        <f t="shared" ref="J42:J57" si="4">if(I42=true,"",S42)</f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IFERROR(__xludf.DUMMYFUNCTION("""COMPUTED_VALUE"""),7181.0)</f>
        <v>7181</v>
      </c>
      <c r="S42" s="49"/>
    </row>
    <row r="43">
      <c r="A43" s="55">
        <v>6.0</v>
      </c>
      <c r="B43" s="55">
        <v>2.0</v>
      </c>
      <c r="C43" s="55">
        <v>51.4546812854927</v>
      </c>
      <c r="D43" s="55">
        <v>-2.49564043624195</v>
      </c>
      <c r="E43" s="55" t="s">
        <v>98</v>
      </c>
      <c r="F43" s="46"/>
      <c r="G43" s="46"/>
      <c r="H43" s="46"/>
      <c r="I43" s="47" t="b">
        <v>0</v>
      </c>
      <c r="J43" s="47" t="str">
        <f t="shared" si="4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2"/>
        <v>0</v>
      </c>
      <c r="N43" s="49" t="str">
        <f>IFERROR(__xludf.DUMMYFUNCTION("split(G43,""/"")"),"#VALUE!")</f>
        <v>#VALUE!</v>
      </c>
      <c r="O43" s="50"/>
      <c r="P43" s="49"/>
      <c r="Q43" s="49"/>
      <c r="R43" s="49"/>
      <c r="S43" s="49"/>
    </row>
    <row r="44">
      <c r="A44" s="55">
        <v>6.0</v>
      </c>
      <c r="B44" s="55">
        <v>3.0</v>
      </c>
      <c r="C44" s="55">
        <v>51.4546812852664</v>
      </c>
      <c r="D44" s="55">
        <v>-2.4954097786765</v>
      </c>
      <c r="E44" s="55" t="s">
        <v>103</v>
      </c>
      <c r="F44" s="46"/>
      <c r="G44" s="46"/>
      <c r="H44" s="46"/>
      <c r="I44" s="47" t="b">
        <v>0</v>
      </c>
      <c r="J44" s="47" t="str">
        <f t="shared" si="4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2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55">
        <v>51.4546812850401</v>
      </c>
      <c r="D45" s="55">
        <v>-2.49517912111105</v>
      </c>
      <c r="E45" s="55" t="s">
        <v>98</v>
      </c>
      <c r="F45" s="46"/>
      <c r="G45" s="46"/>
      <c r="H45" s="46"/>
      <c r="I45" s="47" t="b">
        <v>0</v>
      </c>
      <c r="J45" s="47" t="str">
        <f t="shared" si="4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2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55">
        <v>51.4546812848138</v>
      </c>
      <c r="D46" s="55">
        <v>-2.49494846354559</v>
      </c>
      <c r="E46" s="55" t="s">
        <v>98</v>
      </c>
      <c r="F46" s="44"/>
      <c r="G46" s="46"/>
      <c r="H46" s="46"/>
      <c r="I46" s="47" t="b">
        <v>0</v>
      </c>
      <c r="J46" s="47" t="str">
        <f t="shared" si="4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2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55">
        <v>51.4546812845875</v>
      </c>
      <c r="D47" s="55">
        <v>-2.49471780598014</v>
      </c>
      <c r="E47" s="55" t="s">
        <v>103</v>
      </c>
      <c r="F47" s="46"/>
      <c r="G47" s="46"/>
      <c r="H47" s="46"/>
      <c r="I47" s="11" t="b">
        <v>0</v>
      </c>
      <c r="J47" s="47" t="str">
        <f t="shared" si="4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2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51.4546812843613</v>
      </c>
      <c r="D48" s="43">
        <v>-2.49448714841469</v>
      </c>
      <c r="E48" s="43" t="s">
        <v>98</v>
      </c>
      <c r="F48" s="44" t="s">
        <v>145</v>
      </c>
      <c r="G48" s="45" t="s">
        <v>426</v>
      </c>
      <c r="H48" s="46"/>
      <c r="I48" s="11" t="b">
        <v>1</v>
      </c>
      <c r="J48" s="47" t="str">
        <f t="shared" si="4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IFERROR(__xludf.DUMMYFUNCTION("""COMPUTED_VALUE"""),5819.0)</f>
        <v>5819</v>
      </c>
      <c r="S48" s="51">
        <v>44357.4878577662</v>
      </c>
    </row>
    <row r="49">
      <c r="A49" s="43">
        <v>6.0</v>
      </c>
      <c r="B49" s="43">
        <v>8.0</v>
      </c>
      <c r="C49" s="43">
        <v>51.454681284135</v>
      </c>
      <c r="D49" s="43">
        <v>-2.49425649084923</v>
      </c>
      <c r="E49" s="43" t="s">
        <v>98</v>
      </c>
      <c r="F49" s="44" t="s">
        <v>147</v>
      </c>
      <c r="G49" s="52" t="s">
        <v>427</v>
      </c>
      <c r="H49" s="46"/>
      <c r="I49" s="11" t="b">
        <v>1</v>
      </c>
      <c r="J49" s="47" t="str">
        <f t="shared" si="4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IFERROR(__xludf.DUMMYFUNCTION("""COMPUTED_VALUE"""),13722.0)</f>
        <v>13722</v>
      </c>
      <c r="S49" s="51">
        <v>44357.48792802083</v>
      </c>
    </row>
    <row r="50">
      <c r="A50" s="55">
        <v>7.0</v>
      </c>
      <c r="B50" s="55">
        <v>2.0</v>
      </c>
      <c r="C50" s="55">
        <v>51.4545375550472</v>
      </c>
      <c r="D50" s="55">
        <v>-2.49564045585054</v>
      </c>
      <c r="E50" s="55" t="s">
        <v>103</v>
      </c>
      <c r="F50" s="46"/>
      <c r="G50" s="46"/>
      <c r="H50" s="46"/>
      <c r="I50" s="47" t="b">
        <v>0</v>
      </c>
      <c r="J50" s="47" t="str">
        <f t="shared" si="4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2"/>
        <v>0</v>
      </c>
      <c r="N50" s="49" t="str">
        <f>IFERROR(__xludf.DUMMYFUNCTION("split(G50,""/"")"),"#VALUE!")</f>
        <v>#VALUE!</v>
      </c>
      <c r="O50" s="57"/>
      <c r="P50" s="49"/>
      <c r="Q50" s="49"/>
      <c r="R50" s="49"/>
      <c r="S50" s="49"/>
    </row>
    <row r="51">
      <c r="A51" s="55">
        <v>7.0</v>
      </c>
      <c r="B51" s="55">
        <v>3.0</v>
      </c>
      <c r="C51" s="55">
        <v>51.4545375548209</v>
      </c>
      <c r="D51" s="55">
        <v>-2.49540979901144</v>
      </c>
      <c r="E51" s="55" t="s">
        <v>98</v>
      </c>
      <c r="F51" s="46"/>
      <c r="G51" s="46"/>
      <c r="H51" s="46"/>
      <c r="I51" s="47" t="b">
        <v>0</v>
      </c>
      <c r="J51" s="47" t="str">
        <f t="shared" si="4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2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55">
        <v>51.4545375545946</v>
      </c>
      <c r="D52" s="55">
        <v>-2.49517914217233</v>
      </c>
      <c r="E52" s="55" t="s">
        <v>98</v>
      </c>
      <c r="F52" s="44"/>
      <c r="G52" s="46"/>
      <c r="H52" s="46"/>
      <c r="I52" s="47" t="b">
        <v>0</v>
      </c>
      <c r="J52" s="47" t="str">
        <f t="shared" si="4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2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55">
        <v>51.4545375543684</v>
      </c>
      <c r="D53" s="55">
        <v>-2.49494848533322</v>
      </c>
      <c r="E53" s="55" t="s">
        <v>98</v>
      </c>
      <c r="F53" s="46"/>
      <c r="G53" s="46"/>
      <c r="H53" s="46"/>
      <c r="I53" s="11" t="b">
        <v>0</v>
      </c>
      <c r="J53" s="47" t="str">
        <f t="shared" si="4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2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55">
        <v>51.4545375541421</v>
      </c>
      <c r="D54" s="55">
        <v>-2.49471782849411</v>
      </c>
      <c r="E54" s="55" t="s">
        <v>98</v>
      </c>
      <c r="F54" s="46"/>
      <c r="G54" s="46"/>
      <c r="H54" s="46"/>
      <c r="I54" s="47" t="b">
        <v>0</v>
      </c>
      <c r="J54" s="47" t="str">
        <f t="shared" si="4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2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51.4545375539158</v>
      </c>
      <c r="D55" s="43">
        <v>-2.494487171655</v>
      </c>
      <c r="E55" s="43" t="s">
        <v>98</v>
      </c>
      <c r="F55" s="44" t="s">
        <v>153</v>
      </c>
      <c r="G55" s="45" t="s">
        <v>428</v>
      </c>
      <c r="H55" s="46"/>
      <c r="I55" s="11" t="b">
        <v>1</v>
      </c>
      <c r="J55" s="47" t="str">
        <f t="shared" si="4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IFERROR(__xludf.DUMMYFUNCTION("""COMPUTED_VALUE"""),24200.0)</f>
        <v>24200</v>
      </c>
      <c r="S55" s="49"/>
    </row>
    <row r="56">
      <c r="A56" s="55">
        <v>8.0</v>
      </c>
      <c r="B56" s="55">
        <v>3.0</v>
      </c>
      <c r="C56" s="55">
        <v>51.4543938243755</v>
      </c>
      <c r="D56" s="55">
        <v>-2.49540981934649</v>
      </c>
      <c r="E56" s="55" t="s">
        <v>98</v>
      </c>
      <c r="F56" s="46"/>
      <c r="G56" s="46"/>
      <c r="H56" s="46"/>
      <c r="I56" s="47" t="b">
        <v>0</v>
      </c>
      <c r="J56" s="47" t="str">
        <f t="shared" si="4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2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55">
        <v>8.0</v>
      </c>
      <c r="B57" s="55">
        <v>4.0</v>
      </c>
      <c r="C57" s="55">
        <v>51.4543938241492</v>
      </c>
      <c r="D57" s="55">
        <v>-2.49517916323361</v>
      </c>
      <c r="E57" s="55" t="s">
        <v>103</v>
      </c>
      <c r="F57" s="46"/>
      <c r="G57" s="46"/>
      <c r="H57" s="46"/>
      <c r="I57" s="47" t="b">
        <v>0</v>
      </c>
      <c r="J57" s="47" t="str">
        <f t="shared" si="4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2"/>
        <v>0</v>
      </c>
      <c r="N57" s="49" t="str">
        <f>IFERROR(__xludf.DUMMYFUNCTION("split(G57,""/"")"),"#VALUE!")</f>
        <v>#VALUE!</v>
      </c>
      <c r="O57" s="50"/>
      <c r="P57" s="49"/>
      <c r="Q57" s="49"/>
      <c r="R57" s="49"/>
      <c r="S57" s="49"/>
    </row>
    <row r="58">
      <c r="A58" s="43">
        <v>8.0</v>
      </c>
      <c r="B58" s="43">
        <v>5.0</v>
      </c>
      <c r="C58" s="43">
        <v>51.4543938239229</v>
      </c>
      <c r="D58" s="43">
        <v>-2.49494850712073</v>
      </c>
      <c r="E58" s="43" t="s">
        <v>103</v>
      </c>
      <c r="F58" s="44" t="s">
        <v>99</v>
      </c>
      <c r="G58" s="52" t="s">
        <v>429</v>
      </c>
      <c r="H58" s="46"/>
      <c r="I58" s="11" t="b">
        <v>1</v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2"/>
        <v>2</v>
      </c>
      <c r="N58" s="49" t="str">
        <f>IFERROR(__xludf.DUMMYFUNCTION("split(G58,""/"")"),"https:")</f>
        <v>https:</v>
      </c>
      <c r="O58" s="50" t="str">
        <f>IFERROR(__xludf.DUMMYFUNCTION("""COMPUTED_VALUE"""),"www.munzee.com")</f>
        <v>www.munzee.com</v>
      </c>
      <c r="P58" s="49" t="str">
        <f>IFERROR(__xludf.DUMMYFUNCTION("""COMPUTED_VALUE"""),"m")</f>
        <v>m</v>
      </c>
      <c r="Q58" s="49" t="str">
        <f>IFERROR(__xludf.DUMMYFUNCTION("""COMPUTED_VALUE"""),"raunas")</f>
        <v>raunas</v>
      </c>
      <c r="R58" s="49">
        <f>IFERROR(__xludf.DUMMYFUNCTION("""COMPUTED_VALUE"""),13091.0)</f>
        <v>13091</v>
      </c>
      <c r="S58" s="51">
        <v>44698.60748144676</v>
      </c>
    </row>
    <row r="59">
      <c r="A59" s="43">
        <v>8.0</v>
      </c>
      <c r="B59" s="43">
        <v>6.0</v>
      </c>
      <c r="C59" s="43">
        <v>51.4543938236966</v>
      </c>
      <c r="D59" s="43">
        <v>-2.49471785100786</v>
      </c>
      <c r="E59" s="43" t="s">
        <v>98</v>
      </c>
      <c r="F59" s="44" t="s">
        <v>157</v>
      </c>
      <c r="G59" s="45" t="s">
        <v>430</v>
      </c>
      <c r="H59" s="46"/>
      <c r="I59" s="11" t="b">
        <v>1</v>
      </c>
      <c r="J59" s="47" t="str">
        <f>if(I59=true,"",S59)</f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IFERROR(__xludf.DUMMYFUNCTION("""COMPUTED_VALUE"""),"barefootguru")</f>
        <v>barefootguru</v>
      </c>
      <c r="R59" s="49">
        <f>IFERROR(__xludf.DUMMYFUNCTION("""COMPUTED_VALUE"""),3626.0)</f>
        <v>3626</v>
      </c>
      <c r="S59" s="49"/>
    </row>
    <row r="61" hidden="1">
      <c r="F61" s="47">
        <f t="shared" ref="F61:G61" si="5">COUNTIF(F8:F59,"")</f>
        <v>20</v>
      </c>
      <c r="G61" s="47">
        <f t="shared" si="5"/>
        <v>21</v>
      </c>
      <c r="I61" s="47">
        <f>COUNTIF(I8:I59,TRUE)</f>
        <v>31</v>
      </c>
    </row>
    <row r="62" hidden="1"/>
    <row r="63" hidden="1"/>
    <row r="64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5"/>
    <hyperlink r:id="rId37" ref="O25"/>
    <hyperlink r:id="rId38" ref="G26"/>
    <hyperlink r:id="rId39" ref="O26"/>
    <hyperlink r:id="rId40" ref="G27"/>
    <hyperlink r:id="rId41" ref="O27"/>
    <hyperlink r:id="rId42" ref="G28"/>
    <hyperlink r:id="rId43" ref="O28"/>
    <hyperlink r:id="rId44" ref="G29"/>
    <hyperlink r:id="rId45" ref="O29"/>
    <hyperlink r:id="rId46" ref="G30"/>
    <hyperlink r:id="rId47" ref="O30"/>
    <hyperlink r:id="rId48" ref="O31"/>
    <hyperlink r:id="rId49" ref="G32"/>
    <hyperlink r:id="rId50" ref="O32"/>
    <hyperlink r:id="rId51" ref="O33"/>
    <hyperlink r:id="rId52" ref="O34"/>
    <hyperlink r:id="rId53" ref="G35"/>
    <hyperlink r:id="rId54" ref="O35"/>
    <hyperlink r:id="rId55" ref="O36"/>
    <hyperlink r:id="rId56" ref="O37"/>
    <hyperlink r:id="rId57" ref="O38"/>
    <hyperlink r:id="rId58" ref="O39"/>
    <hyperlink r:id="rId59" ref="O40"/>
    <hyperlink r:id="rId60" ref="O41"/>
    <hyperlink r:id="rId61" ref="G42"/>
    <hyperlink r:id="rId62" ref="O42"/>
    <hyperlink r:id="rId63" ref="O43"/>
    <hyperlink r:id="rId64" ref="O44"/>
    <hyperlink r:id="rId65" ref="O45"/>
    <hyperlink r:id="rId66" ref="O46"/>
    <hyperlink r:id="rId67" ref="O47"/>
    <hyperlink r:id="rId68" ref="G48"/>
    <hyperlink r:id="rId69" ref="O48"/>
    <hyperlink r:id="rId70" ref="G49"/>
    <hyperlink r:id="rId71" ref="O49"/>
    <hyperlink r:id="rId72" ref="O51"/>
    <hyperlink r:id="rId73" ref="O52"/>
    <hyperlink r:id="rId74" ref="O53"/>
    <hyperlink r:id="rId75" ref="O54"/>
    <hyperlink r:id="rId76" ref="G55"/>
    <hyperlink r:id="rId77" ref="O55"/>
    <hyperlink r:id="rId78" ref="O56"/>
    <hyperlink r:id="rId79" ref="O57"/>
    <hyperlink r:id="rId80" ref="G58"/>
    <hyperlink r:id="rId81" ref="O58"/>
    <hyperlink r:id="rId82" ref="G59"/>
    <hyperlink r:id="rId83" ref="O59"/>
  </hyperlinks>
  <drawing r:id="rId84"/>
  <tableParts count="1">
    <tablePart r:id="rId86"/>
  </tableParts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E67C73"/>
    <outlinePr summaryBelow="0" summaryRight="0"/>
  </sheetPr>
  <sheetViews>
    <sheetView workbookViewId="0">
      <pane ySplit="7.0" topLeftCell="A8" activePane="bottomLeft" state="frozen"/>
      <selection activeCell="B9" sqref="B9" pane="bottomLeft"/>
    </sheetView>
  </sheetViews>
  <sheetFormatPr customHeight="1" defaultColWidth="12.63" defaultRowHeight="15.75" outlineLevelCol="1"/>
  <cols>
    <col customWidth="1" min="1" max="1" width="8.13"/>
    <col customWidth="1" min="2" max="2" width="9.38"/>
    <col customWidth="1" min="3" max="3" width="14.13"/>
    <col customWidth="1" min="4" max="4" width="14.88"/>
    <col customWidth="1" min="5" max="5" width="17.38"/>
    <col customWidth="1" min="6" max="6" width="14.25"/>
    <col customWidth="1" min="7" max="7" width="37.13"/>
    <col customWidth="1" min="8" max="8" width="17.0"/>
    <col collapsed="1" customWidth="1" min="11" max="11" width="13.0"/>
    <col customWidth="1" hidden="1" min="12" max="12" width="10.0" outlineLevel="1"/>
    <col customWidth="1" hidden="1" min="13" max="13" width="13.63" outlineLevel="1"/>
    <col customWidth="1" hidden="1" min="14" max="14" width="7.63" outlineLevel="1"/>
    <col customWidth="1" hidden="1" min="15" max="15" width="13.5" outlineLevel="1"/>
    <col customWidth="1" hidden="1" min="16" max="16" width="2.38" outlineLevel="1"/>
    <col customWidth="1" hidden="1" min="17" max="17" width="16.13" outlineLevel="1"/>
    <col customWidth="1" hidden="1" min="18" max="18" width="5.5" outlineLevel="1"/>
    <col hidden="1" min="19" max="19" width="12.63" outlineLevel="1"/>
  </cols>
  <sheetData>
    <row r="1">
      <c r="A1" s="37" t="s">
        <v>16</v>
      </c>
      <c r="B1" s="37" t="s">
        <v>51</v>
      </c>
      <c r="D1" s="37" t="s">
        <v>77</v>
      </c>
      <c r="E1" s="2" t="s">
        <v>79</v>
      </c>
      <c r="F1" s="24" t="s">
        <v>431</v>
      </c>
      <c r="G1" s="24" t="s">
        <v>62</v>
      </c>
      <c r="H1" s="2"/>
      <c r="I1" s="2"/>
      <c r="J1" s="5"/>
      <c r="K1" s="5"/>
      <c r="L1" s="5"/>
      <c r="M1" s="5"/>
      <c r="N1" s="5"/>
      <c r="O1" s="5"/>
      <c r="P1" s="5"/>
      <c r="Q1" s="5"/>
      <c r="R1" s="5"/>
      <c r="S1" s="5"/>
    </row>
    <row r="2">
      <c r="A2" s="2"/>
      <c r="B2" s="2"/>
      <c r="C2" s="2"/>
      <c r="D2" s="2"/>
      <c r="E2" s="2" t="s">
        <v>82</v>
      </c>
      <c r="F2" s="2"/>
      <c r="G2" s="4" t="s">
        <v>432</v>
      </c>
      <c r="H2" s="2"/>
      <c r="I2" s="2"/>
      <c r="J2" s="5"/>
      <c r="K2" s="5"/>
      <c r="L2" s="5"/>
      <c r="M2" s="5"/>
      <c r="N2" s="5"/>
      <c r="O2" s="5"/>
      <c r="P2" s="5"/>
      <c r="Q2" s="5"/>
      <c r="R2" s="5"/>
      <c r="S2" s="5"/>
    </row>
    <row r="3">
      <c r="A3" s="2"/>
      <c r="B3" s="2"/>
      <c r="C3" s="2"/>
      <c r="D3" s="2"/>
      <c r="E3" s="2" t="s">
        <v>11</v>
      </c>
      <c r="F3" s="2">
        <f>52-F61-F5</f>
        <v>0</v>
      </c>
      <c r="G3" s="2"/>
      <c r="H3" s="2"/>
      <c r="I3" s="2"/>
      <c r="J3" s="5"/>
      <c r="K3" s="5"/>
      <c r="L3" s="5"/>
      <c r="M3" s="5"/>
      <c r="N3" s="5"/>
      <c r="O3" s="5"/>
      <c r="P3" s="5"/>
      <c r="Q3" s="5"/>
      <c r="R3" s="5"/>
      <c r="S3" s="5"/>
    </row>
    <row r="4">
      <c r="A4" s="2"/>
      <c r="B4" s="2"/>
      <c r="C4" s="2"/>
      <c r="D4" s="2"/>
      <c r="E4" s="2" t="s">
        <v>84</v>
      </c>
      <c r="F4" s="2">
        <f>F61</f>
        <v>22</v>
      </c>
      <c r="G4" s="2"/>
      <c r="H4" s="2"/>
      <c r="I4" s="2"/>
      <c r="J4" s="5"/>
      <c r="K4" s="5"/>
      <c r="L4" s="5"/>
      <c r="M4" s="5"/>
      <c r="N4" s="5"/>
      <c r="O4" s="5"/>
      <c r="P4" s="5"/>
      <c r="Q4" s="5"/>
      <c r="R4" s="5"/>
      <c r="S4" s="5"/>
    </row>
    <row r="5">
      <c r="A5" s="38"/>
      <c r="B5" s="38"/>
      <c r="C5" s="38"/>
      <c r="D5" s="38"/>
      <c r="E5" s="2" t="s">
        <v>13</v>
      </c>
      <c r="F5" s="2">
        <f>I61</f>
        <v>30</v>
      </c>
      <c r="G5" s="39">
        <f>F5/52</f>
        <v>0.5769230769</v>
      </c>
      <c r="H5" s="38"/>
      <c r="I5" s="38"/>
      <c r="J5" s="40"/>
      <c r="K5" s="40"/>
      <c r="L5" s="40"/>
      <c r="M5" s="40"/>
      <c r="N5" s="40"/>
      <c r="O5" s="40"/>
      <c r="P5" s="40"/>
      <c r="Q5" s="40"/>
      <c r="R5" s="40"/>
      <c r="S5" s="40"/>
    </row>
    <row r="6">
      <c r="A6" s="38"/>
      <c r="B6" s="38"/>
      <c r="C6" s="38"/>
      <c r="D6" s="38"/>
      <c r="E6" s="38"/>
      <c r="F6" s="38"/>
      <c r="G6" s="38"/>
      <c r="H6" s="38"/>
      <c r="I6" s="38"/>
    </row>
    <row r="7">
      <c r="A7" s="41" t="s">
        <v>85</v>
      </c>
      <c r="B7" s="41" t="s">
        <v>86</v>
      </c>
      <c r="C7" s="41" t="s">
        <v>87</v>
      </c>
      <c r="D7" s="41" t="s">
        <v>88</v>
      </c>
      <c r="E7" s="41" t="s">
        <v>89</v>
      </c>
      <c r="F7" s="41" t="s">
        <v>90</v>
      </c>
      <c r="G7" s="41" t="s">
        <v>91</v>
      </c>
      <c r="H7" s="41" t="s">
        <v>92</v>
      </c>
      <c r="I7" s="41" t="s">
        <v>93</v>
      </c>
      <c r="J7" s="41"/>
      <c r="K7" s="41" t="s">
        <v>94</v>
      </c>
      <c r="L7" s="41" t="s">
        <v>95</v>
      </c>
      <c r="M7" s="41" t="s">
        <v>96</v>
      </c>
      <c r="N7" s="42" t="s">
        <v>97</v>
      </c>
    </row>
    <row r="8">
      <c r="A8" s="43">
        <v>1.0</v>
      </c>
      <c r="B8" s="43">
        <v>3.0</v>
      </c>
      <c r="C8" s="43">
        <v>58.3722430203673</v>
      </c>
      <c r="D8" s="43">
        <v>15.6880870388704</v>
      </c>
      <c r="E8" s="43" t="s">
        <v>98</v>
      </c>
      <c r="F8" s="44" t="s">
        <v>161</v>
      </c>
      <c r="G8" s="45" t="s">
        <v>433</v>
      </c>
      <c r="H8" s="46"/>
      <c r="I8" s="11" t="b">
        <v>1</v>
      </c>
      <c r="J8" s="47" t="str">
        <f t="shared" ref="J8:J17" si="1">if(I8=true,"",S8)</f>
        <v/>
      </c>
      <c r="K8" s="48" t="str">
        <f>IFERROR(__xludf.DUMMYFUNCTION("IF(M8=1,IFERROR(TRIM(IMPORTXML(G8, ""//p[@class='status-date']"")), ""Not deployed""),"""")"),"")</f>
        <v/>
      </c>
      <c r="L8" s="48"/>
      <c r="M8" s="48">
        <f t="shared" ref="M8:M59" si="2">if(I8=TRUE,2,IF(ISTEXT(G8),1,0))</f>
        <v>2</v>
      </c>
      <c r="N8" s="49" t="str">
        <f>IFERROR(__xludf.DUMMYFUNCTION("split(G8,""/"")"),"https:")</f>
        <v>https:</v>
      </c>
      <c r="O8" s="50" t="str">
        <f>IFERROR(__xludf.DUMMYFUNCTION("""COMPUTED_VALUE"""),"www.munzee.com")</f>
        <v>www.munzee.com</v>
      </c>
      <c r="P8" s="49" t="str">
        <f>IFERROR(__xludf.DUMMYFUNCTION("""COMPUTED_VALUE"""),"m")</f>
        <v>m</v>
      </c>
      <c r="Q8" s="49" t="str">
        <f>IFERROR(__xludf.DUMMYFUNCTION("""COMPUTED_VALUE"""),"belladivadee")</f>
        <v>belladivadee</v>
      </c>
      <c r="R8" s="49">
        <f>IFERROR(__xludf.DUMMYFUNCTION("""COMPUTED_VALUE"""),3263.0)</f>
        <v>3263</v>
      </c>
      <c r="S8" s="51">
        <v>44357.52077934028</v>
      </c>
    </row>
    <row r="9">
      <c r="A9" s="43">
        <v>1.0</v>
      </c>
      <c r="B9" s="43">
        <v>4.0</v>
      </c>
      <c r="C9" s="43">
        <v>58.3722430200745</v>
      </c>
      <c r="D9" s="43">
        <v>15.6883611251907</v>
      </c>
      <c r="E9" s="43" t="s">
        <v>98</v>
      </c>
      <c r="F9" s="44" t="s">
        <v>101</v>
      </c>
      <c r="G9" s="45" t="s">
        <v>434</v>
      </c>
      <c r="H9" s="46"/>
      <c r="I9" s="11" t="b">
        <v>1</v>
      </c>
      <c r="J9" s="47" t="str">
        <f t="shared" si="1"/>
        <v/>
      </c>
      <c r="K9" s="48" t="str">
        <f>IFERROR(__xludf.DUMMYFUNCTION("IF(M9=1,IFERROR(TRIM(IMPORTXML(G9, ""//p[@class='status-date']"")), ""Not deployed""),"""")"),"")</f>
        <v/>
      </c>
      <c r="L9" s="48"/>
      <c r="M9" s="48">
        <f t="shared" si="2"/>
        <v>2</v>
      </c>
      <c r="N9" s="49" t="str">
        <f>IFERROR(__xludf.DUMMYFUNCTION("split(G9,""/"")"),"https:")</f>
        <v>https:</v>
      </c>
      <c r="O9" s="50" t="str">
        <f>IFERROR(__xludf.DUMMYFUNCTION("""COMPUTED_VALUE"""),"www.munzee.com")</f>
        <v>www.munzee.com</v>
      </c>
      <c r="P9" s="49" t="str">
        <f>IFERROR(__xludf.DUMMYFUNCTION("""COMPUTED_VALUE"""),"m")</f>
        <v>m</v>
      </c>
      <c r="Q9" s="49" t="str">
        <f>IFERROR(__xludf.DUMMYFUNCTION("""COMPUTED_VALUE"""),"sverlaan")</f>
        <v>sverlaan</v>
      </c>
      <c r="R9" s="49">
        <f>IFERROR(__xludf.DUMMYFUNCTION("""COMPUTED_VALUE"""),6206.0)</f>
        <v>6206</v>
      </c>
      <c r="S9" s="51">
        <v>44357.520806932866</v>
      </c>
    </row>
    <row r="10">
      <c r="A10" s="43">
        <v>1.0</v>
      </c>
      <c r="B10" s="43">
        <v>5.0</v>
      </c>
      <c r="C10" s="43">
        <v>58.3722430197818</v>
      </c>
      <c r="D10" s="43">
        <v>15.6886352115111</v>
      </c>
      <c r="E10" s="43" t="s">
        <v>103</v>
      </c>
      <c r="F10" s="44" t="s">
        <v>104</v>
      </c>
      <c r="G10" s="45" t="s">
        <v>435</v>
      </c>
      <c r="H10" s="46"/>
      <c r="I10" s="11" t="b">
        <v>1</v>
      </c>
      <c r="J10" s="47" t="str">
        <f t="shared" si="1"/>
        <v/>
      </c>
      <c r="K10" s="48" t="str">
        <f>IFERROR(__xludf.DUMMYFUNCTION("IF(M10=1,IFERROR(TRIM(IMPORTXML(G10, ""//p[@class='status-date']"")), ""Not deployed""),"""")"),"")</f>
        <v/>
      </c>
      <c r="L10" s="48"/>
      <c r="M10" s="48">
        <f t="shared" si="2"/>
        <v>2</v>
      </c>
      <c r="N10" s="49" t="str">
        <f>IFERROR(__xludf.DUMMYFUNCTION("split(G10,""/"")"),"https:")</f>
        <v>https:</v>
      </c>
      <c r="O10" s="50" t="str">
        <f>IFERROR(__xludf.DUMMYFUNCTION("""COMPUTED_VALUE"""),"www.munzee.com")</f>
        <v>www.munzee.com</v>
      </c>
      <c r="P10" s="49" t="str">
        <f>IFERROR(__xludf.DUMMYFUNCTION("""COMPUTED_VALUE"""),"m")</f>
        <v>m</v>
      </c>
      <c r="Q10" s="49" t="str">
        <f>IFERROR(__xludf.DUMMYFUNCTION("""COMPUTED_VALUE"""),"PawPatrolThomas")</f>
        <v>PawPatrolThomas</v>
      </c>
      <c r="R10" s="49">
        <f>IFERROR(__xludf.DUMMYFUNCTION("""COMPUTED_VALUE"""),4199.0)</f>
        <v>4199</v>
      </c>
      <c r="S10" s="51">
        <v>44357.52084607639</v>
      </c>
    </row>
    <row r="11">
      <c r="A11" s="43">
        <v>1.0</v>
      </c>
      <c r="B11" s="43">
        <v>6.0</v>
      </c>
      <c r="C11" s="43">
        <v>58.3722430194891</v>
      </c>
      <c r="D11" s="43">
        <v>15.6889092978315</v>
      </c>
      <c r="E11" s="43" t="s">
        <v>103</v>
      </c>
      <c r="F11" s="44" t="s">
        <v>106</v>
      </c>
      <c r="G11" s="45" t="s">
        <v>436</v>
      </c>
      <c r="H11" s="46"/>
      <c r="I11" s="11" t="b">
        <v>1</v>
      </c>
      <c r="J11" s="47" t="str">
        <f t="shared" si="1"/>
        <v/>
      </c>
      <c r="K11" s="48" t="str">
        <f>IFERROR(__xludf.DUMMYFUNCTION("IF(M11=1,IFERROR(TRIM(IMPORTXML(G11, ""//p[@class='status-date']"")), ""Not deployed""),"""")"),"")</f>
        <v/>
      </c>
      <c r="L11" s="48"/>
      <c r="M11" s="48">
        <f t="shared" si="2"/>
        <v>2</v>
      </c>
      <c r="N11" s="49" t="str">
        <f>IFERROR(__xludf.DUMMYFUNCTION("split(G11,""/"")"),"https:")</f>
        <v>https:</v>
      </c>
      <c r="O11" s="50" t="str">
        <f>IFERROR(__xludf.DUMMYFUNCTION("""COMPUTED_VALUE"""),"www.munzee.com")</f>
        <v>www.munzee.com</v>
      </c>
      <c r="P11" s="49" t="str">
        <f>IFERROR(__xludf.DUMMYFUNCTION("""COMPUTED_VALUE"""),"m")</f>
        <v>m</v>
      </c>
      <c r="Q11" s="49" t="str">
        <f>IFERROR(__xludf.DUMMYFUNCTION("""COMPUTED_VALUE"""),"EmileP68")</f>
        <v>EmileP68</v>
      </c>
      <c r="R11" s="49">
        <f>IFERROR(__xludf.DUMMYFUNCTION("""COMPUTED_VALUE"""),5008.0)</f>
        <v>5008</v>
      </c>
      <c r="S11" s="51">
        <v>44357.52087418981</v>
      </c>
    </row>
    <row r="12">
      <c r="A12" s="43">
        <v>2.0</v>
      </c>
      <c r="B12" s="43">
        <v>2.0</v>
      </c>
      <c r="C12" s="43">
        <v>58.3720992902146</v>
      </c>
      <c r="D12" s="43">
        <v>15.6878129224071</v>
      </c>
      <c r="E12" s="43" t="s">
        <v>98</v>
      </c>
      <c r="F12" s="44" t="s">
        <v>110</v>
      </c>
      <c r="G12" s="45" t="s">
        <v>437</v>
      </c>
      <c r="H12" s="44"/>
      <c r="I12" s="11" t="b">
        <v>1</v>
      </c>
      <c r="J12" s="47" t="str">
        <f t="shared" si="1"/>
        <v/>
      </c>
      <c r="K12" s="48" t="str">
        <f>IFERROR(__xludf.DUMMYFUNCTION("IF(M12=1,IFERROR(TRIM(IMPORTXML(G12, ""//p[@class='status-date']"")), ""Not deployed""),"""")"),"")</f>
        <v/>
      </c>
      <c r="L12" s="48"/>
      <c r="M12" s="48">
        <f t="shared" si="2"/>
        <v>2</v>
      </c>
      <c r="N12" s="49" t="str">
        <f>IFERROR(__xludf.DUMMYFUNCTION("split(G12,""/"")"),"https:")</f>
        <v>https:</v>
      </c>
      <c r="O12" s="50" t="str">
        <f>IFERROR(__xludf.DUMMYFUNCTION("""COMPUTED_VALUE"""),"www.munzee.com")</f>
        <v>www.munzee.com</v>
      </c>
      <c r="P12" s="49" t="str">
        <f>IFERROR(__xludf.DUMMYFUNCTION("""COMPUTED_VALUE"""),"m")</f>
        <v>m</v>
      </c>
      <c r="Q12" s="49" t="str">
        <f>IFERROR(__xludf.DUMMYFUNCTION("""COMPUTED_VALUE"""),"BrotherWilliam")</f>
        <v>BrotherWilliam</v>
      </c>
      <c r="R12" s="49">
        <f>IFERROR(__xludf.DUMMYFUNCTION("""COMPUTED_VALUE"""),5386.0)</f>
        <v>5386</v>
      </c>
      <c r="S12" s="49"/>
    </row>
    <row r="13">
      <c r="A13" s="43">
        <v>2.0</v>
      </c>
      <c r="B13" s="43">
        <v>3.0</v>
      </c>
      <c r="C13" s="43">
        <v>58.3720992899219</v>
      </c>
      <c r="D13" s="43">
        <v>15.6880870076111</v>
      </c>
      <c r="E13" s="43" t="s">
        <v>98</v>
      </c>
      <c r="F13" s="44" t="s">
        <v>112</v>
      </c>
      <c r="G13" s="45" t="s">
        <v>438</v>
      </c>
      <c r="H13" s="46"/>
      <c r="I13" s="11" t="b">
        <v>1</v>
      </c>
      <c r="J13" s="47" t="str">
        <f t="shared" si="1"/>
        <v/>
      </c>
      <c r="K13" s="48" t="str">
        <f>IFERROR(__xludf.DUMMYFUNCTION("IF(M13=1,IFERROR(TRIM(IMPORTXML(G13, ""//p[@class='status-date']"")), ""Not deployed""),"""")"),"")</f>
        <v/>
      </c>
      <c r="L13" s="48"/>
      <c r="M13" s="48">
        <f t="shared" si="2"/>
        <v>2</v>
      </c>
      <c r="N13" s="49" t="str">
        <f>IFERROR(__xludf.DUMMYFUNCTION("split(G13,""/"")"),"https:")</f>
        <v>https:</v>
      </c>
      <c r="O13" s="50" t="str">
        <f>IFERROR(__xludf.DUMMYFUNCTION("""COMPUTED_VALUE"""),"www.munzee.com")</f>
        <v>www.munzee.com</v>
      </c>
      <c r="P13" s="49" t="str">
        <f>IFERROR(__xludf.DUMMYFUNCTION("""COMPUTED_VALUE"""),"m")</f>
        <v>m</v>
      </c>
      <c r="Q13" s="49" t="str">
        <f>IFERROR(__xludf.DUMMYFUNCTION("""COMPUTED_VALUE"""),"ArtofEco")</f>
        <v>ArtofEco</v>
      </c>
      <c r="R13" s="49">
        <f>IFERROR(__xludf.DUMMYFUNCTION("""COMPUTED_VALUE"""),3657.0)</f>
        <v>3657</v>
      </c>
      <c r="S13" s="49"/>
    </row>
    <row r="14">
      <c r="A14" s="43">
        <v>2.0</v>
      </c>
      <c r="B14" s="43">
        <v>4.0</v>
      </c>
      <c r="C14" s="43">
        <v>58.3720992896292</v>
      </c>
      <c r="D14" s="43">
        <v>15.688361092815</v>
      </c>
      <c r="E14" s="43" t="s">
        <v>98</v>
      </c>
      <c r="F14" s="44" t="s">
        <v>114</v>
      </c>
      <c r="G14" s="45" t="s">
        <v>439</v>
      </c>
      <c r="H14" s="46"/>
      <c r="I14" s="11" t="b">
        <v>1</v>
      </c>
      <c r="J14" s="47" t="str">
        <f t="shared" si="1"/>
        <v/>
      </c>
      <c r="K14" s="48" t="str">
        <f>IFERROR(__xludf.DUMMYFUNCTION("IF(M14=1,IFERROR(TRIM(IMPORTXML(G14, ""//p[@class='status-date']"")), ""Not deployed""),"""")"),"")</f>
        <v/>
      </c>
      <c r="L14" s="48"/>
      <c r="M14" s="48">
        <f t="shared" si="2"/>
        <v>2</v>
      </c>
      <c r="N14" s="49" t="str">
        <f>IFERROR(__xludf.DUMMYFUNCTION("split(G14,""/"")"),"https:")</f>
        <v>https:</v>
      </c>
      <c r="O14" s="50" t="str">
        <f>IFERROR(__xludf.DUMMYFUNCTION("""COMPUTED_VALUE"""),"www.munzee.com")</f>
        <v>www.munzee.com</v>
      </c>
      <c r="P14" s="49" t="str">
        <f>IFERROR(__xludf.DUMMYFUNCTION("""COMPUTED_VALUE"""),"m")</f>
        <v>m</v>
      </c>
      <c r="Q14" s="49" t="str">
        <f>IFERROR(__xludf.DUMMYFUNCTION("""COMPUTED_VALUE"""),"J1Huisman")</f>
        <v>J1Huisman</v>
      </c>
      <c r="R14" s="49">
        <f>IFERROR(__xludf.DUMMYFUNCTION("""COMPUTED_VALUE"""),13699.0)</f>
        <v>13699</v>
      </c>
      <c r="S14" s="49"/>
    </row>
    <row r="15">
      <c r="A15" s="43">
        <v>2.0</v>
      </c>
      <c r="B15" s="43">
        <v>5.0</v>
      </c>
      <c r="C15" s="43">
        <v>58.3720992893364</v>
      </c>
      <c r="D15" s="43">
        <v>15.688635178019</v>
      </c>
      <c r="E15" s="43" t="s">
        <v>103</v>
      </c>
      <c r="F15" s="44" t="s">
        <v>116</v>
      </c>
      <c r="G15" s="45" t="s">
        <v>440</v>
      </c>
      <c r="H15" s="46"/>
      <c r="I15" s="11" t="b">
        <v>1</v>
      </c>
      <c r="J15" s="47" t="str">
        <f t="shared" si="1"/>
        <v/>
      </c>
      <c r="K15" s="48" t="str">
        <f>IFERROR(__xludf.DUMMYFUNCTION("IF(M15=1,IFERROR(TRIM(IMPORTXML(G15, ""//p[@class='status-date']"")), ""Not deployed""),"""")"),"")</f>
        <v/>
      </c>
      <c r="L15" s="48"/>
      <c r="M15" s="48">
        <f t="shared" si="2"/>
        <v>2</v>
      </c>
      <c r="N15" s="49" t="str">
        <f>IFERROR(__xludf.DUMMYFUNCTION("split(G15,""/"")"),"https:")</f>
        <v>https:</v>
      </c>
      <c r="O15" s="50" t="str">
        <f>IFERROR(__xludf.DUMMYFUNCTION("""COMPUTED_VALUE"""),"www.munzee.com")</f>
        <v>www.munzee.com</v>
      </c>
      <c r="P15" s="49" t="str">
        <f>IFERROR(__xludf.DUMMYFUNCTION("""COMPUTED_VALUE"""),"m")</f>
        <v>m</v>
      </c>
      <c r="Q15" s="49" t="str">
        <f>IFERROR(__xludf.DUMMYFUNCTION("""COMPUTED_VALUE"""),"fsafranek")</f>
        <v>fsafranek</v>
      </c>
      <c r="R15" s="49">
        <f>IFERROR(__xludf.DUMMYFUNCTION("""COMPUTED_VALUE"""),5469.0)</f>
        <v>5469</v>
      </c>
      <c r="S15" s="49"/>
    </row>
    <row r="16">
      <c r="A16" s="43">
        <v>2.0</v>
      </c>
      <c r="B16" s="43">
        <v>6.0</v>
      </c>
      <c r="C16" s="43">
        <v>58.3720992890437</v>
      </c>
      <c r="D16" s="43">
        <v>15.6889092632229</v>
      </c>
      <c r="E16" s="43" t="s">
        <v>98</v>
      </c>
      <c r="F16" s="44" t="s">
        <v>118</v>
      </c>
      <c r="G16" s="52" t="s">
        <v>441</v>
      </c>
      <c r="H16" s="46"/>
      <c r="I16" s="11" t="b">
        <v>1</v>
      </c>
      <c r="J16" s="47" t="str">
        <f t="shared" si="1"/>
        <v/>
      </c>
      <c r="K16" s="48" t="str">
        <f>IFERROR(__xludf.DUMMYFUNCTION("IF(M16=1,IFERROR(TRIM(IMPORTXML(G16, ""//p[@class='status-date']"")), ""Not deployed""),"""")"),"")</f>
        <v/>
      </c>
      <c r="L16" s="48"/>
      <c r="M16" s="48">
        <f t="shared" si="2"/>
        <v>2</v>
      </c>
      <c r="N16" s="49" t="str">
        <f>IFERROR(__xludf.DUMMYFUNCTION("split(G16,""/"")"),"https:")</f>
        <v>https:</v>
      </c>
      <c r="O16" s="50" t="str">
        <f>IFERROR(__xludf.DUMMYFUNCTION("""COMPUTED_VALUE"""),"www.munzee.com")</f>
        <v>www.munzee.com</v>
      </c>
      <c r="P16" s="49" t="str">
        <f>IFERROR(__xludf.DUMMYFUNCTION("""COMPUTED_VALUE"""),"m")</f>
        <v>m</v>
      </c>
      <c r="Q16" s="49" t="str">
        <f>IFERROR(__xludf.DUMMYFUNCTION("""COMPUTED_VALUE"""),"rita85gto")</f>
        <v>rita85gto</v>
      </c>
      <c r="R16" s="49">
        <f>IFERROR(__xludf.DUMMYFUNCTION("""COMPUTED_VALUE"""),3823.0)</f>
        <v>3823</v>
      </c>
      <c r="S16" s="49"/>
    </row>
    <row r="17">
      <c r="A17" s="43">
        <v>2.0</v>
      </c>
      <c r="B17" s="43">
        <v>7.0</v>
      </c>
      <c r="C17" s="43">
        <v>58.372099288751</v>
      </c>
      <c r="D17" s="43">
        <v>15.6891833484269</v>
      </c>
      <c r="E17" s="43" t="s">
        <v>98</v>
      </c>
      <c r="F17" s="44" t="s">
        <v>120</v>
      </c>
      <c r="G17" s="45" t="s">
        <v>442</v>
      </c>
      <c r="H17" s="46"/>
      <c r="I17" s="11" t="b">
        <v>1</v>
      </c>
      <c r="J17" s="47" t="str">
        <f t="shared" si="1"/>
        <v/>
      </c>
      <c r="K17" s="48" t="str">
        <f>IFERROR(__xludf.DUMMYFUNCTION("IF(M17=1,IFERROR(TRIM(IMPORTXML(G17, ""//p[@class='status-date']"")), ""Not deployed""),"""")"),"")</f>
        <v/>
      </c>
      <c r="L17" s="48"/>
      <c r="M17" s="48">
        <f t="shared" si="2"/>
        <v>2</v>
      </c>
      <c r="N17" s="49" t="str">
        <f>IFERROR(__xludf.DUMMYFUNCTION("split(G17,""/"")"),"https:")</f>
        <v>https:</v>
      </c>
      <c r="O17" s="50" t="str">
        <f>IFERROR(__xludf.DUMMYFUNCTION("""COMPUTED_VALUE"""),"www.munzee.com")</f>
        <v>www.munzee.com</v>
      </c>
      <c r="P17" s="49" t="str">
        <f>IFERROR(__xludf.DUMMYFUNCTION("""COMPUTED_VALUE"""),"m")</f>
        <v>m</v>
      </c>
      <c r="Q17" s="49" t="str">
        <f>IFERROR(__xludf.DUMMYFUNCTION("""COMPUTED_VALUE"""),"xrayneex")</f>
        <v>xrayneex</v>
      </c>
      <c r="R17" s="49">
        <f>IFERROR(__xludf.DUMMYFUNCTION("""COMPUTED_VALUE"""),2622.0)</f>
        <v>2622</v>
      </c>
      <c r="S17" s="49"/>
    </row>
    <row r="18">
      <c r="A18" s="43">
        <v>3.0</v>
      </c>
      <c r="B18" s="43">
        <v>1.0</v>
      </c>
      <c r="C18" s="43">
        <v>58.3719555600619</v>
      </c>
      <c r="D18" s="43">
        <v>15.6875388081773</v>
      </c>
      <c r="E18" s="43" t="s">
        <v>98</v>
      </c>
      <c r="F18" s="44" t="s">
        <v>122</v>
      </c>
      <c r="G18" s="45" t="s">
        <v>443</v>
      </c>
      <c r="H18" s="46"/>
      <c r="I18" s="11" t="b">
        <v>1</v>
      </c>
      <c r="K18" s="48" t="str">
        <f>IFERROR(__xludf.DUMMYFUNCTION("IF(M18=1,IFERROR(TRIM(IMPORTXML(G18, ""//p[@class='status-date']"")), ""Not deployed""),"""")"),"")</f>
        <v/>
      </c>
      <c r="L18" s="48"/>
      <c r="M18" s="48">
        <f t="shared" si="2"/>
        <v>2</v>
      </c>
      <c r="N18" s="49" t="str">
        <f>IFERROR(__xludf.DUMMYFUNCTION("split(G18,""/"")"),"https:")</f>
        <v>https:</v>
      </c>
      <c r="O18" s="50" t="str">
        <f>IFERROR(__xludf.DUMMYFUNCTION("""COMPUTED_VALUE"""),"www.munzee.com")</f>
        <v>www.munzee.com</v>
      </c>
      <c r="P18" s="49" t="str">
        <f>IFERROR(__xludf.DUMMYFUNCTION("""COMPUTED_VALUE"""),"m")</f>
        <v>m</v>
      </c>
      <c r="Q18" s="49" t="str">
        <f>IFERROR(__xludf.DUMMYFUNCTION("""COMPUTED_VALUE"""),"Drazoria")</f>
        <v>Drazoria</v>
      </c>
      <c r="R18" s="49">
        <f>IFERROR(__xludf.DUMMYFUNCTION("""COMPUTED_VALUE"""),1639.0)</f>
        <v>1639</v>
      </c>
      <c r="S18" s="51">
        <v>44368.41601377315</v>
      </c>
    </row>
    <row r="19">
      <c r="A19" s="43">
        <v>3.0</v>
      </c>
      <c r="B19" s="43">
        <v>2.0</v>
      </c>
      <c r="C19" s="43">
        <v>58.3719555597692</v>
      </c>
      <c r="D19" s="43">
        <v>15.6878128922649</v>
      </c>
      <c r="E19" s="43" t="s">
        <v>98</v>
      </c>
      <c r="F19" s="44" t="s">
        <v>124</v>
      </c>
      <c r="G19" s="45" t="s">
        <v>444</v>
      </c>
      <c r="H19" s="46"/>
      <c r="I19" s="11" t="b">
        <v>1</v>
      </c>
      <c r="J19" s="47" t="str">
        <f t="shared" ref="J19:J23" si="3">if(I19=true,"",S19)</f>
        <v/>
      </c>
      <c r="K19" s="48" t="str">
        <f>IFERROR(__xludf.DUMMYFUNCTION("IF(M19=1,IFERROR(TRIM(IMPORTXML(G19, ""//p[@class='status-date']"")), ""Not deployed""),"""")"),"")</f>
        <v/>
      </c>
      <c r="L19" s="48"/>
      <c r="M19" s="48">
        <f t="shared" si="2"/>
        <v>2</v>
      </c>
      <c r="N19" s="49" t="str">
        <f>IFERROR(__xludf.DUMMYFUNCTION("split(G19,""/"")"),"https:")</f>
        <v>https:</v>
      </c>
      <c r="O19" s="50" t="str">
        <f>IFERROR(__xludf.DUMMYFUNCTION("""COMPUTED_VALUE"""),"www.munzee.com")</f>
        <v>www.munzee.com</v>
      </c>
      <c r="P19" s="49" t="str">
        <f>IFERROR(__xludf.DUMMYFUNCTION("""COMPUTED_VALUE"""),"m")</f>
        <v>m</v>
      </c>
      <c r="Q19" s="49" t="str">
        <f>IFERROR(__xludf.DUMMYFUNCTION("""COMPUTED_VALUE"""),"Tinake1309")</f>
        <v>Tinake1309</v>
      </c>
      <c r="R19" s="49">
        <f>IFERROR(__xludf.DUMMYFUNCTION("""COMPUTED_VALUE"""),1656.0)</f>
        <v>1656</v>
      </c>
      <c r="S19" s="49"/>
    </row>
    <row r="20">
      <c r="A20" s="43">
        <v>3.0</v>
      </c>
      <c r="B20" s="43">
        <v>3.0</v>
      </c>
      <c r="C20" s="43">
        <v>58.3719555594764</v>
      </c>
      <c r="D20" s="43">
        <v>15.6880869763524</v>
      </c>
      <c r="E20" s="43" t="s">
        <v>98</v>
      </c>
      <c r="F20" s="44" t="s">
        <v>126</v>
      </c>
      <c r="G20" s="45" t="s">
        <v>445</v>
      </c>
      <c r="H20" s="46"/>
      <c r="I20" s="11" t="b">
        <v>1</v>
      </c>
      <c r="J20" s="47" t="str">
        <f t="shared" si="3"/>
        <v/>
      </c>
      <c r="K20" s="48" t="str">
        <f>IFERROR(__xludf.DUMMYFUNCTION("IF(M20=1,IFERROR(TRIM(IMPORTXML(G20, ""//p[@class='status-date']"")), ""Not deployed""),"""")"),"")</f>
        <v/>
      </c>
      <c r="L20" s="48"/>
      <c r="M20" s="48">
        <f t="shared" si="2"/>
        <v>2</v>
      </c>
      <c r="N20" s="49" t="str">
        <f>IFERROR(__xludf.DUMMYFUNCTION("split(G20,""/"")"),"https:")</f>
        <v>https:</v>
      </c>
      <c r="O20" s="50" t="str">
        <f>IFERROR(__xludf.DUMMYFUNCTION("""COMPUTED_VALUE"""),"www.munzee.com")</f>
        <v>www.munzee.com</v>
      </c>
      <c r="P20" s="49" t="str">
        <f>IFERROR(__xludf.DUMMYFUNCTION("""COMPUTED_VALUE"""),"m")</f>
        <v>m</v>
      </c>
      <c r="Q20" s="49" t="str">
        <f>IFERROR(__xludf.DUMMYFUNCTION("""COMPUTED_VALUE"""),"Berg14")</f>
        <v>Berg14</v>
      </c>
      <c r="R20" s="49">
        <f>IFERROR(__xludf.DUMMYFUNCTION("""COMPUTED_VALUE"""),1506.0)</f>
        <v>1506</v>
      </c>
      <c r="S20" s="49"/>
    </row>
    <row r="21">
      <c r="A21" s="43">
        <v>3.0</v>
      </c>
      <c r="B21" s="43">
        <v>4.0</v>
      </c>
      <c r="C21" s="43">
        <v>58.3719555591837</v>
      </c>
      <c r="D21" s="43">
        <v>15.68836106044</v>
      </c>
      <c r="E21" s="43" t="s">
        <v>98</v>
      </c>
      <c r="F21" s="44" t="s">
        <v>128</v>
      </c>
      <c r="G21" s="45" t="s">
        <v>446</v>
      </c>
      <c r="H21" s="46"/>
      <c r="I21" s="11" t="b">
        <v>1</v>
      </c>
      <c r="J21" s="47" t="str">
        <f t="shared" si="3"/>
        <v/>
      </c>
      <c r="K21" s="48" t="str">
        <f>IFERROR(__xludf.DUMMYFUNCTION("IF(M21=1,IFERROR(TRIM(IMPORTXML(G21, ""//p[@class='status-date']"")), ""Not deployed""),"""")"),"")</f>
        <v/>
      </c>
      <c r="L21" s="48"/>
      <c r="M21" s="48">
        <f t="shared" si="2"/>
        <v>2</v>
      </c>
      <c r="N21" s="49" t="str">
        <f>IFERROR(__xludf.DUMMYFUNCTION("split(G21,""/"")"),"https:")</f>
        <v>https:</v>
      </c>
      <c r="O21" s="50" t="str">
        <f>IFERROR(__xludf.DUMMYFUNCTION("""COMPUTED_VALUE"""),"www.munzee.com")</f>
        <v>www.munzee.com</v>
      </c>
      <c r="P21" s="49" t="str">
        <f>IFERROR(__xludf.DUMMYFUNCTION("""COMPUTED_VALUE"""),"m")</f>
        <v>m</v>
      </c>
      <c r="Q21" s="49" t="str">
        <f>IFERROR(__xludf.DUMMYFUNCTION("""COMPUTED_VALUE"""),"Niks13")</f>
        <v>Niks13</v>
      </c>
      <c r="R21" s="49">
        <f>IFERROR(__xludf.DUMMYFUNCTION("""COMPUTED_VALUE"""),1517.0)</f>
        <v>1517</v>
      </c>
      <c r="S21" s="49"/>
    </row>
    <row r="22">
      <c r="A22" s="43">
        <v>3.0</v>
      </c>
      <c r="B22" s="43">
        <v>5.0</v>
      </c>
      <c r="C22" s="43">
        <v>58.371955558891</v>
      </c>
      <c r="D22" s="43">
        <v>15.6886351445275</v>
      </c>
      <c r="E22" s="43" t="s">
        <v>98</v>
      </c>
      <c r="F22" s="44" t="s">
        <v>130</v>
      </c>
      <c r="G22" s="45" t="s">
        <v>447</v>
      </c>
      <c r="H22" s="46"/>
      <c r="I22" s="11" t="b">
        <v>1</v>
      </c>
      <c r="J22" s="47" t="str">
        <f t="shared" si="3"/>
        <v/>
      </c>
      <c r="K22" s="48" t="str">
        <f>IFERROR(__xludf.DUMMYFUNCTION("IF(M22=1,IFERROR(TRIM(IMPORTXML(G22, ""//p[@class='status-date']"")), ""Not deployed""),"""")"),"")</f>
        <v/>
      </c>
      <c r="L22" s="48"/>
      <c r="M22" s="48">
        <f t="shared" si="2"/>
        <v>2</v>
      </c>
      <c r="N22" s="49" t="str">
        <f>IFERROR(__xludf.DUMMYFUNCTION("split(G22,""/"")"),"https:")</f>
        <v>https:</v>
      </c>
      <c r="O22" s="50" t="str">
        <f>IFERROR(__xludf.DUMMYFUNCTION("""COMPUTED_VALUE"""),"www.munzee.com")</f>
        <v>www.munzee.com</v>
      </c>
      <c r="P22" s="49" t="str">
        <f>IFERROR(__xludf.DUMMYFUNCTION("""COMPUTED_VALUE"""),"m")</f>
        <v>m</v>
      </c>
      <c r="Q22" s="49" t="str">
        <f>IFERROR(__xludf.DUMMYFUNCTION("""COMPUTED_VALUE"""),"lupo6")</f>
        <v>lupo6</v>
      </c>
      <c r="R22" s="49">
        <f>IFERROR(__xludf.DUMMYFUNCTION("""COMPUTED_VALUE"""),6814.0)</f>
        <v>6814</v>
      </c>
      <c r="S22" s="49"/>
    </row>
    <row r="23">
      <c r="A23" s="43">
        <v>3.0</v>
      </c>
      <c r="B23" s="43">
        <v>6.0</v>
      </c>
      <c r="C23" s="43">
        <v>58.3719555585982</v>
      </c>
      <c r="D23" s="43">
        <v>15.6889092286151</v>
      </c>
      <c r="E23" s="43" t="s">
        <v>98</v>
      </c>
      <c r="F23" s="44" t="s">
        <v>132</v>
      </c>
      <c r="G23" s="45" t="s">
        <v>448</v>
      </c>
      <c r="H23" s="46"/>
      <c r="I23" s="11" t="b">
        <v>1</v>
      </c>
      <c r="J23" s="47" t="str">
        <f t="shared" si="3"/>
        <v/>
      </c>
      <c r="K23" s="48" t="str">
        <f>IFERROR(__xludf.DUMMYFUNCTION("IF(M23=1,IFERROR(TRIM(IMPORTXML(G23, ""//p[@class='status-date']"")), ""Not deployed""),"""")"),"")</f>
        <v/>
      </c>
      <c r="L23" s="48"/>
      <c r="M23" s="48">
        <f t="shared" si="2"/>
        <v>2</v>
      </c>
      <c r="N23" s="49" t="str">
        <f>IFERROR(__xludf.DUMMYFUNCTION("split(G23,""/"")"),"https:")</f>
        <v>https:</v>
      </c>
      <c r="O23" s="50" t="str">
        <f>IFERROR(__xludf.DUMMYFUNCTION("""COMPUTED_VALUE"""),"www.munzee.com")</f>
        <v>www.munzee.com</v>
      </c>
      <c r="P23" s="49" t="str">
        <f>IFERROR(__xludf.DUMMYFUNCTION("""COMPUTED_VALUE"""),"m")</f>
        <v>m</v>
      </c>
      <c r="Q23" s="49" t="str">
        <f>IFERROR(__xludf.DUMMYFUNCTION("""COMPUTED_VALUE"""),"crscousins")</f>
        <v>crscousins</v>
      </c>
      <c r="R23" s="49">
        <f>IFERROR(__xludf.DUMMYFUNCTION("""COMPUTED_VALUE"""),7153.0)</f>
        <v>7153</v>
      </c>
      <c r="S23" s="49"/>
    </row>
    <row r="24">
      <c r="A24" s="43">
        <v>3.0</v>
      </c>
      <c r="B24" s="43">
        <v>7.0</v>
      </c>
      <c r="C24" s="43">
        <v>58.3719555583055</v>
      </c>
      <c r="D24" s="43">
        <v>15.6891833127026</v>
      </c>
      <c r="E24" s="43" t="s">
        <v>98</v>
      </c>
      <c r="F24" s="44" t="s">
        <v>108</v>
      </c>
      <c r="G24" s="52" t="s">
        <v>449</v>
      </c>
      <c r="H24" s="46"/>
      <c r="I24" s="11" t="b">
        <v>1</v>
      </c>
      <c r="K24" s="48" t="str">
        <f>IFERROR(__xludf.DUMMYFUNCTION("IF(M24=1,IFERROR(TRIM(IMPORTXML(G24, ""//p[@class='status-date']"")), ""Not deployed""),"""")"),"")</f>
        <v/>
      </c>
      <c r="L24" s="48"/>
      <c r="M24" s="48">
        <f t="shared" si="2"/>
        <v>2</v>
      </c>
      <c r="N24" s="49" t="str">
        <f>IFERROR(__xludf.DUMMYFUNCTION("split(G24,""/"")"),"https:")</f>
        <v>https:</v>
      </c>
      <c r="O24" s="50" t="str">
        <f>IFERROR(__xludf.DUMMYFUNCTION("""COMPUTED_VALUE"""),"www.munzee.com")</f>
        <v>www.munzee.com</v>
      </c>
      <c r="P24" s="49" t="str">
        <f>IFERROR(__xludf.DUMMYFUNCTION("""COMPUTED_VALUE"""),"m")</f>
        <v>m</v>
      </c>
      <c r="Q24" s="49" t="str">
        <f>IFERROR(__xludf.DUMMYFUNCTION("""COMPUTED_VALUE"""),"Bungle")</f>
        <v>Bungle</v>
      </c>
      <c r="R24" s="49">
        <f>IFERROR(__xludf.DUMMYFUNCTION("""COMPUTED_VALUE"""),10928.0)</f>
        <v>10928</v>
      </c>
      <c r="S24" s="51">
        <v>44698.607647199075</v>
      </c>
    </row>
    <row r="25">
      <c r="A25" s="43">
        <v>3.0</v>
      </c>
      <c r="B25" s="43">
        <v>8.0</v>
      </c>
      <c r="C25" s="43">
        <v>58.3719555580128</v>
      </c>
      <c r="D25" s="43">
        <v>15.6894573967902</v>
      </c>
      <c r="E25" s="43" t="s">
        <v>98</v>
      </c>
      <c r="F25" s="44" t="s">
        <v>136</v>
      </c>
      <c r="G25" s="45" t="s">
        <v>450</v>
      </c>
      <c r="H25" s="46"/>
      <c r="I25" s="11" t="b">
        <v>1</v>
      </c>
      <c r="K25" s="48" t="str">
        <f>IFERROR(__xludf.DUMMYFUNCTION("IF(M25=1,IFERROR(TRIM(IMPORTXML(G25, ""//p[@class='status-date']"")), ""Not deployed""),"""")"),"")</f>
        <v/>
      </c>
      <c r="L25" s="48"/>
      <c r="M25" s="48">
        <f t="shared" si="2"/>
        <v>2</v>
      </c>
      <c r="N25" s="49" t="str">
        <f>IFERROR(__xludf.DUMMYFUNCTION("split(G25,""/"")"),"https:")</f>
        <v>https:</v>
      </c>
      <c r="O25" s="50" t="str">
        <f>IFERROR(__xludf.DUMMYFUNCTION("""COMPUTED_VALUE"""),"www.munzee.com")</f>
        <v>www.munzee.com</v>
      </c>
      <c r="P25" s="49" t="str">
        <f>IFERROR(__xludf.DUMMYFUNCTION("""COMPUTED_VALUE"""),"m")</f>
        <v>m</v>
      </c>
      <c r="Q25" s="49" t="str">
        <f>IFERROR(__xludf.DUMMYFUNCTION("""COMPUTED_VALUE"""),"OdinsFiRe")</f>
        <v>OdinsFiRe</v>
      </c>
      <c r="R25" s="49">
        <f>IFERROR(__xludf.DUMMYFUNCTION("""COMPUTED_VALUE"""),2162.0)</f>
        <v>2162</v>
      </c>
      <c r="S25" s="49"/>
    </row>
    <row r="26">
      <c r="A26" s="55">
        <v>4.0</v>
      </c>
      <c r="B26" s="55">
        <v>1.0</v>
      </c>
      <c r="C26" s="11">
        <v>58.3718118296167</v>
      </c>
      <c r="D26" s="11">
        <v>15.687538779152</v>
      </c>
      <c r="E26" s="55" t="s">
        <v>98</v>
      </c>
      <c r="F26" s="44"/>
      <c r="G26" s="46"/>
      <c r="H26" s="46"/>
      <c r="I26" s="47" t="b">
        <v>0</v>
      </c>
      <c r="K26" s="48" t="str">
        <f>IFERROR(__xludf.DUMMYFUNCTION("IF(M26=1,IFERROR(TRIM(IMPORTXML(G26, ""//p[@class='status-date']"")), ""Not deployed""),"""")"),"")</f>
        <v/>
      </c>
      <c r="L26" s="48"/>
      <c r="M26" s="48">
        <f t="shared" si="2"/>
        <v>0</v>
      </c>
      <c r="N26" s="49" t="str">
        <f>IFERROR(__xludf.DUMMYFUNCTION("split(G26,""/"")"),"#VALUE!")</f>
        <v>#VALUE!</v>
      </c>
      <c r="O26" s="50"/>
      <c r="P26" s="49"/>
      <c r="Q26" s="49"/>
      <c r="R26" s="49"/>
      <c r="S26" s="51">
        <v>44749.249152476856</v>
      </c>
    </row>
    <row r="27">
      <c r="A27" s="43">
        <v>4.0</v>
      </c>
      <c r="B27" s="43">
        <v>2.0</v>
      </c>
      <c r="C27" s="43">
        <v>58.371811829324</v>
      </c>
      <c r="D27" s="43">
        <v>15.6878128621233</v>
      </c>
      <c r="E27" s="43" t="s">
        <v>103</v>
      </c>
      <c r="F27" s="44" t="s">
        <v>155</v>
      </c>
      <c r="G27" s="52" t="s">
        <v>451</v>
      </c>
      <c r="H27" s="46"/>
      <c r="I27" s="11" t="b">
        <v>1</v>
      </c>
      <c r="J27" s="47" t="str">
        <f t="shared" ref="J27:J57" si="4">if(I27=true,"",S27)</f>
        <v/>
      </c>
      <c r="K27" s="48" t="str">
        <f>IFERROR(__xludf.DUMMYFUNCTION("IF(M27=1,IFERROR(TRIM(IMPORTXML(G27, ""//p[@class='status-date']"")), ""Not deployed""),"""")"),"")</f>
        <v/>
      </c>
      <c r="L27" s="48"/>
      <c r="M27" s="48">
        <f t="shared" si="2"/>
        <v>2</v>
      </c>
      <c r="N27" s="49" t="str">
        <f>IFERROR(__xludf.DUMMYFUNCTION("split(G27,""/"")"),"https:")</f>
        <v>https:</v>
      </c>
      <c r="O27" s="50" t="str">
        <f>IFERROR(__xludf.DUMMYFUNCTION("""COMPUTED_VALUE"""),"www.munzee.com")</f>
        <v>www.munzee.com</v>
      </c>
      <c r="P27" s="49" t="str">
        <f>IFERROR(__xludf.DUMMYFUNCTION("""COMPUTED_VALUE"""),"m")</f>
        <v>m</v>
      </c>
      <c r="Q27" s="49" t="str">
        <f>IFERROR(__xludf.DUMMYFUNCTION("""COMPUTED_VALUE"""),"Ellesche")</f>
        <v>Ellesche</v>
      </c>
      <c r="R27" s="49">
        <f>IFERROR(__xludf.DUMMYFUNCTION("""COMPUTED_VALUE"""),835.0)</f>
        <v>835</v>
      </c>
      <c r="S27" s="49"/>
    </row>
    <row r="28">
      <c r="A28" s="55">
        <v>4.0</v>
      </c>
      <c r="B28" s="55">
        <v>3.0</v>
      </c>
      <c r="C28" s="11">
        <v>58.3718118290313</v>
      </c>
      <c r="D28" s="11">
        <v>15.6880869450944</v>
      </c>
      <c r="E28" s="55" t="s">
        <v>98</v>
      </c>
      <c r="F28" s="46"/>
      <c r="G28" s="46"/>
      <c r="H28" s="46"/>
      <c r="I28" s="47" t="b">
        <v>0</v>
      </c>
      <c r="J28" s="47" t="str">
        <f t="shared" si="4"/>
        <v/>
      </c>
      <c r="K28" s="48" t="str">
        <f>IFERROR(__xludf.DUMMYFUNCTION("IF(M28=1,IFERROR(TRIM(IMPORTXML(G28, ""//p[@class='status-date']"")), ""Not deployed""),"""")"),"")</f>
        <v/>
      </c>
      <c r="L28" s="48"/>
      <c r="M28" s="48">
        <f t="shared" si="2"/>
        <v>0</v>
      </c>
      <c r="N28" s="49" t="str">
        <f>IFERROR(__xludf.DUMMYFUNCTION("split(G28,""/"")"),"#VALUE!")</f>
        <v>#VALUE!</v>
      </c>
      <c r="O28" s="50"/>
      <c r="P28" s="49"/>
      <c r="Q28" s="49"/>
      <c r="R28" s="49"/>
      <c r="S28" s="49"/>
    </row>
    <row r="29">
      <c r="A29" s="43">
        <v>4.0</v>
      </c>
      <c r="B29" s="43">
        <v>4.0</v>
      </c>
      <c r="C29" s="43">
        <v>58.3718118287386</v>
      </c>
      <c r="D29" s="43">
        <v>15.6883610280656</v>
      </c>
      <c r="E29" s="43" t="s">
        <v>98</v>
      </c>
      <c r="F29" s="44" t="s">
        <v>138</v>
      </c>
      <c r="G29" s="45" t="s">
        <v>452</v>
      </c>
      <c r="H29" s="46"/>
      <c r="I29" s="11" t="b">
        <v>1</v>
      </c>
      <c r="J29" s="47" t="str">
        <f t="shared" si="4"/>
        <v/>
      </c>
      <c r="K29" s="48" t="str">
        <f>IFERROR(__xludf.DUMMYFUNCTION("IF(M29=1,IFERROR(TRIM(IMPORTXML(G29, ""//p[@class='status-date']"")), ""Not deployed""),"""")"),"")</f>
        <v/>
      </c>
      <c r="L29" s="48"/>
      <c r="M29" s="48">
        <f t="shared" si="2"/>
        <v>2</v>
      </c>
      <c r="N29" s="49" t="str">
        <f>IFERROR(__xludf.DUMMYFUNCTION("split(G29,""/"")"),"https:")</f>
        <v>https:</v>
      </c>
      <c r="O29" s="50" t="str">
        <f>IFERROR(__xludf.DUMMYFUNCTION("""COMPUTED_VALUE"""),"www.munzee.com")</f>
        <v>www.munzee.com</v>
      </c>
      <c r="P29" s="49" t="str">
        <f>IFERROR(__xludf.DUMMYFUNCTION("""COMPUTED_VALUE"""),"m")</f>
        <v>m</v>
      </c>
      <c r="Q29" s="49" t="str">
        <f>IFERROR(__xludf.DUMMYFUNCTION("""COMPUTED_VALUE"""),"Anetzet")</f>
        <v>Anetzet</v>
      </c>
      <c r="R29" s="49">
        <f>IFERROR(__xludf.DUMMYFUNCTION("""COMPUTED_VALUE"""),4615.0)</f>
        <v>4615</v>
      </c>
      <c r="S29" s="49"/>
    </row>
    <row r="30">
      <c r="A30" s="55">
        <v>4.0</v>
      </c>
      <c r="B30" s="55">
        <v>5.0</v>
      </c>
      <c r="C30" s="11">
        <v>58.3718118284459</v>
      </c>
      <c r="D30" s="11">
        <v>15.6886351110367</v>
      </c>
      <c r="E30" s="55" t="s">
        <v>98</v>
      </c>
      <c r="F30" s="46"/>
      <c r="G30" s="46"/>
      <c r="H30" s="46"/>
      <c r="I30" s="11" t="b">
        <v>0</v>
      </c>
      <c r="J30" s="47" t="str">
        <f t="shared" si="4"/>
        <v/>
      </c>
      <c r="K30" s="48" t="str">
        <f>IFERROR(__xludf.DUMMYFUNCTION("IF(M30=1,IFERROR(TRIM(IMPORTXML(G30, ""//p[@class='status-date']"")), ""Not deployed""),"""")"),"")</f>
        <v/>
      </c>
      <c r="L30" s="48"/>
      <c r="M30" s="48">
        <f t="shared" si="2"/>
        <v>0</v>
      </c>
      <c r="N30" s="49" t="str">
        <f>IFERROR(__xludf.DUMMYFUNCTION("split(G30,""/"")"),"#VALUE!")</f>
        <v>#VALUE!</v>
      </c>
      <c r="O30" s="50"/>
      <c r="P30" s="49"/>
      <c r="Q30" s="49"/>
      <c r="R30" s="49"/>
      <c r="S30" s="49"/>
    </row>
    <row r="31">
      <c r="A31" s="43">
        <v>4.0</v>
      </c>
      <c r="B31" s="43">
        <v>6.0</v>
      </c>
      <c r="C31" s="43">
        <v>58.3718118281532</v>
      </c>
      <c r="D31" s="43">
        <v>15.6889091940079</v>
      </c>
      <c r="E31" s="43" t="s">
        <v>103</v>
      </c>
      <c r="F31" s="44" t="s">
        <v>243</v>
      </c>
      <c r="G31" s="45" t="s">
        <v>453</v>
      </c>
      <c r="H31" s="46"/>
      <c r="I31" s="11" t="b">
        <v>1</v>
      </c>
      <c r="J31" s="47" t="str">
        <f t="shared" si="4"/>
        <v/>
      </c>
      <c r="K31" s="48" t="str">
        <f>IFERROR(__xludf.DUMMYFUNCTION("IF(M31=1,IFERROR(TRIM(IMPORTXML(G31, ""//p[@class='status-date']"")), ""Not deployed""),"""")"),"")</f>
        <v/>
      </c>
      <c r="L31" s="48"/>
      <c r="M31" s="48">
        <f t="shared" si="2"/>
        <v>2</v>
      </c>
      <c r="N31" s="49" t="str">
        <f>IFERROR(__xludf.DUMMYFUNCTION("split(G31,""/"")"),"https:")</f>
        <v>https:</v>
      </c>
      <c r="O31" s="50" t="str">
        <f>IFERROR(__xludf.DUMMYFUNCTION("""COMPUTED_VALUE"""),"www.munzee.com")</f>
        <v>www.munzee.com</v>
      </c>
      <c r="P31" s="49" t="str">
        <f>IFERROR(__xludf.DUMMYFUNCTION("""COMPUTED_VALUE"""),"m")</f>
        <v>m</v>
      </c>
      <c r="Q31" s="49" t="str">
        <f>IFERROR(__xludf.DUMMYFUNCTION("""COMPUTED_VALUE"""),"Aniara")</f>
        <v>Aniara</v>
      </c>
      <c r="R31" s="49">
        <f>IFERROR(__xludf.DUMMYFUNCTION("""COMPUTED_VALUE"""),17962.0)</f>
        <v>17962</v>
      </c>
      <c r="S31" s="49"/>
    </row>
    <row r="32">
      <c r="A32" s="43">
        <v>4.0</v>
      </c>
      <c r="B32" s="43">
        <v>7.0</v>
      </c>
      <c r="C32" s="43">
        <v>58.3718118278605</v>
      </c>
      <c r="D32" s="43">
        <v>15.689183276979</v>
      </c>
      <c r="E32" s="43" t="s">
        <v>98</v>
      </c>
      <c r="F32" s="44" t="s">
        <v>178</v>
      </c>
      <c r="G32" s="45" t="s">
        <v>454</v>
      </c>
      <c r="H32" s="74">
        <v>44837.0</v>
      </c>
      <c r="I32" s="11" t="b">
        <v>1</v>
      </c>
      <c r="J32" s="47" t="str">
        <f t="shared" si="4"/>
        <v/>
      </c>
      <c r="K32" s="48" t="str">
        <f>IFERROR(__xludf.DUMMYFUNCTION("IF(M32=1,IFERROR(TRIM(IMPORTXML(G32, ""//p[@class='status-date']"")), ""Not deployed""),"""")"),"")</f>
        <v/>
      </c>
      <c r="L32" s="48"/>
      <c r="M32" s="48">
        <f t="shared" si="2"/>
        <v>2</v>
      </c>
      <c r="N32" s="49" t="str">
        <f>IFERROR(__xludf.DUMMYFUNCTION("split(G32,""/"")"),"https:")</f>
        <v>https:</v>
      </c>
      <c r="O32" s="50" t="str">
        <f>IFERROR(__xludf.DUMMYFUNCTION("""COMPUTED_VALUE"""),"www.munzee.com")</f>
        <v>www.munzee.com</v>
      </c>
      <c r="P32" s="49" t="str">
        <f>IFERROR(__xludf.DUMMYFUNCTION("""COMPUTED_VALUE"""),"m")</f>
        <v>m</v>
      </c>
      <c r="Q32" s="49" t="str">
        <f>IFERROR(__xludf.DUMMYFUNCTION("""COMPUTED_VALUE"""),"lison55")</f>
        <v>lison55</v>
      </c>
      <c r="R32" s="49">
        <f>IFERROR(__xludf.DUMMYFUNCTION("""COMPUTED_VALUE"""),20908.0)</f>
        <v>20908</v>
      </c>
      <c r="S32" s="49"/>
    </row>
    <row r="33">
      <c r="A33" s="55">
        <v>4.0</v>
      </c>
      <c r="B33" s="55">
        <v>8.0</v>
      </c>
      <c r="C33" s="11">
        <v>58.3718118275678</v>
      </c>
      <c r="D33" s="11">
        <v>15.6894573599502</v>
      </c>
      <c r="E33" s="55" t="s">
        <v>98</v>
      </c>
      <c r="F33" s="46"/>
      <c r="G33" s="46"/>
      <c r="H33" s="46"/>
      <c r="I33" s="11" t="b">
        <v>0</v>
      </c>
      <c r="J33" s="47" t="str">
        <f t="shared" si="4"/>
        <v/>
      </c>
      <c r="K33" s="48" t="str">
        <f>IFERROR(__xludf.DUMMYFUNCTION("IF(M33=1,IFERROR(TRIM(IMPORTXML(G33, ""//p[@class='status-date']"")), ""Not deployed""),"""")"),"")</f>
        <v/>
      </c>
      <c r="L33" s="48"/>
      <c r="M33" s="48">
        <f t="shared" si="2"/>
        <v>0</v>
      </c>
      <c r="N33" s="49" t="str">
        <f>IFERROR(__xludf.DUMMYFUNCTION("split(G33,""/"")"),"#VALUE!")</f>
        <v>#VALUE!</v>
      </c>
      <c r="O33" s="50"/>
      <c r="P33" s="49"/>
      <c r="Q33" s="49"/>
      <c r="R33" s="49"/>
      <c r="S33" s="49"/>
    </row>
    <row r="34">
      <c r="A34" s="55">
        <v>5.0</v>
      </c>
      <c r="B34" s="55">
        <v>1.0</v>
      </c>
      <c r="C34" s="11">
        <v>58.3716680991713</v>
      </c>
      <c r="D34" s="11">
        <v>15.6875387501258</v>
      </c>
      <c r="E34" s="55" t="s">
        <v>103</v>
      </c>
      <c r="F34" s="46"/>
      <c r="G34" s="46"/>
      <c r="H34" s="46"/>
      <c r="I34" s="47" t="b">
        <v>0</v>
      </c>
      <c r="J34" s="47" t="str">
        <f t="shared" si="4"/>
        <v/>
      </c>
      <c r="K34" s="48" t="str">
        <f>IFERROR(__xludf.DUMMYFUNCTION("IF(M34=1,IFERROR(TRIM(IMPORTXML(G34, ""//p[@class='status-date']"")), ""Not deployed""),"""")"),"")</f>
        <v/>
      </c>
      <c r="L34" s="48"/>
      <c r="M34" s="48">
        <f t="shared" si="2"/>
        <v>0</v>
      </c>
      <c r="N34" s="49" t="str">
        <f>IFERROR(__xludf.DUMMYFUNCTION("split(G34,""/"")"),"#VALUE!")</f>
        <v>#VALUE!</v>
      </c>
      <c r="O34" s="50"/>
      <c r="P34" s="49"/>
      <c r="Q34" s="49"/>
      <c r="R34" s="49"/>
      <c r="S34" s="49"/>
    </row>
    <row r="35">
      <c r="A35" s="43">
        <v>5.0</v>
      </c>
      <c r="B35" s="43">
        <v>2.0</v>
      </c>
      <c r="C35" s="43">
        <v>58.3716680988786</v>
      </c>
      <c r="D35" s="43">
        <v>15.6878128319807</v>
      </c>
      <c r="E35" s="43" t="s">
        <v>98</v>
      </c>
      <c r="F35" s="44" t="s">
        <v>141</v>
      </c>
      <c r="G35" s="45" t="s">
        <v>455</v>
      </c>
      <c r="H35" s="46"/>
      <c r="I35" s="11" t="b">
        <v>1</v>
      </c>
      <c r="J35" s="47" t="str">
        <f t="shared" si="4"/>
        <v/>
      </c>
      <c r="K35" s="48" t="str">
        <f>IFERROR(__xludf.DUMMYFUNCTION("IF(M35=1,IFERROR(TRIM(IMPORTXML(G35, ""//p[@class='status-date']"")), ""Not deployed""),"""")"),"")</f>
        <v/>
      </c>
      <c r="L35" s="48"/>
      <c r="M35" s="48">
        <f t="shared" si="2"/>
        <v>2</v>
      </c>
      <c r="N35" s="49" t="str">
        <f>IFERROR(__xludf.DUMMYFUNCTION("split(G35,""/"")"),"https:")</f>
        <v>https:</v>
      </c>
      <c r="O35" s="50" t="str">
        <f>IFERROR(__xludf.DUMMYFUNCTION("""COMPUTED_VALUE"""),"www.munzee.com")</f>
        <v>www.munzee.com</v>
      </c>
      <c r="P35" s="49" t="str">
        <f>IFERROR(__xludf.DUMMYFUNCTION("""COMPUTED_VALUE"""),"m")</f>
        <v>m</v>
      </c>
      <c r="Q35" s="49" t="str">
        <f>IFERROR(__xludf.DUMMYFUNCTION("""COMPUTED_VALUE"""),"cbf600")</f>
        <v>cbf600</v>
      </c>
      <c r="R35" s="49">
        <f>IFERROR(__xludf.DUMMYFUNCTION("""COMPUTED_VALUE"""),3731.0)</f>
        <v>3731</v>
      </c>
      <c r="S35" s="49"/>
    </row>
    <row r="36">
      <c r="A36" s="55">
        <v>5.0</v>
      </c>
      <c r="B36" s="55">
        <v>3.0</v>
      </c>
      <c r="C36" s="11">
        <v>58.3716680985859</v>
      </c>
      <c r="D36" s="11">
        <v>15.6880869138356</v>
      </c>
      <c r="E36" s="55" t="s">
        <v>103</v>
      </c>
      <c r="F36" s="46"/>
      <c r="G36" s="46"/>
      <c r="H36" s="46"/>
      <c r="I36" s="47" t="b">
        <v>0</v>
      </c>
      <c r="J36" s="47" t="str">
        <f t="shared" si="4"/>
        <v/>
      </c>
      <c r="K36" s="48" t="str">
        <f>IFERROR(__xludf.DUMMYFUNCTION("IF(M36=1,IFERROR(TRIM(IMPORTXML(G36, ""//p[@class='status-date']"")), ""Not deployed""),"""")"),"")</f>
        <v/>
      </c>
      <c r="L36" s="48"/>
      <c r="M36" s="48">
        <f t="shared" si="2"/>
        <v>0</v>
      </c>
      <c r="N36" s="49" t="str">
        <f>IFERROR(__xludf.DUMMYFUNCTION("split(G36,""/"")"),"#VALUE!")</f>
        <v>#VALUE!</v>
      </c>
      <c r="O36" s="50"/>
      <c r="P36" s="49"/>
      <c r="Q36" s="49"/>
      <c r="R36" s="49"/>
      <c r="S36" s="49"/>
    </row>
    <row r="37">
      <c r="A37" s="55">
        <v>5.0</v>
      </c>
      <c r="B37" s="55">
        <v>4.0</v>
      </c>
      <c r="C37" s="11">
        <v>58.3716680982932</v>
      </c>
      <c r="D37" s="11">
        <v>15.6883609956904</v>
      </c>
      <c r="E37" s="55" t="s">
        <v>98</v>
      </c>
      <c r="F37" s="46"/>
      <c r="G37" s="46"/>
      <c r="H37" s="46"/>
      <c r="I37" s="47" t="b">
        <v>0</v>
      </c>
      <c r="J37" s="47" t="str">
        <f t="shared" si="4"/>
        <v/>
      </c>
      <c r="K37" s="48" t="str">
        <f>IFERROR(__xludf.DUMMYFUNCTION("IF(M37=1,IFERROR(TRIM(IMPORTXML(G37, ""//p[@class='status-date']"")), ""Not deployed""),"""")"),"")</f>
        <v/>
      </c>
      <c r="L37" s="48"/>
      <c r="M37" s="48">
        <f t="shared" si="2"/>
        <v>0</v>
      </c>
      <c r="N37" s="49" t="str">
        <f>IFERROR(__xludf.DUMMYFUNCTION("split(G37,""/"")"),"#VALUE!")</f>
        <v>#VALUE!</v>
      </c>
      <c r="O37" s="50"/>
      <c r="P37" s="49"/>
      <c r="Q37" s="49"/>
      <c r="R37" s="49"/>
      <c r="S37" s="49"/>
    </row>
    <row r="38">
      <c r="A38" s="55">
        <v>5.0</v>
      </c>
      <c r="B38" s="55">
        <v>5.0</v>
      </c>
      <c r="C38" s="11">
        <v>58.3716680980005</v>
      </c>
      <c r="D38" s="11">
        <v>15.6886350775453</v>
      </c>
      <c r="E38" s="55" t="s">
        <v>98</v>
      </c>
      <c r="F38" s="46"/>
      <c r="G38" s="46"/>
      <c r="H38" s="46"/>
      <c r="I38" s="47" t="b">
        <v>0</v>
      </c>
      <c r="J38" s="47" t="str">
        <f t="shared" si="4"/>
        <v/>
      </c>
      <c r="K38" s="48" t="str">
        <f>IFERROR(__xludf.DUMMYFUNCTION("IF(M38=1,IFERROR(TRIM(IMPORTXML(G38, ""//p[@class='status-date']"")), ""Not deployed""),"""")"),"")</f>
        <v/>
      </c>
      <c r="L38" s="48"/>
      <c r="M38" s="48">
        <f t="shared" si="2"/>
        <v>0</v>
      </c>
      <c r="N38" s="49" t="str">
        <f>IFERROR(__xludf.DUMMYFUNCTION("split(G38,""/"")"),"#VALUE!")</f>
        <v>#VALUE!</v>
      </c>
      <c r="O38" s="50"/>
      <c r="P38" s="49"/>
      <c r="Q38" s="49"/>
      <c r="R38" s="49"/>
      <c r="S38" s="49"/>
    </row>
    <row r="39">
      <c r="A39" s="55">
        <v>5.0</v>
      </c>
      <c r="B39" s="55">
        <v>6.0</v>
      </c>
      <c r="C39" s="11">
        <v>58.3716680977078</v>
      </c>
      <c r="D39" s="11">
        <v>15.6889091594001</v>
      </c>
      <c r="E39" s="55" t="s">
        <v>98</v>
      </c>
      <c r="F39" s="46"/>
      <c r="G39" s="46"/>
      <c r="H39" s="46"/>
      <c r="I39" s="47" t="b">
        <v>0</v>
      </c>
      <c r="J39" s="47" t="str">
        <f t="shared" si="4"/>
        <v/>
      </c>
      <c r="K39" s="48" t="str">
        <f>IFERROR(__xludf.DUMMYFUNCTION("IF(M39=1,IFERROR(TRIM(IMPORTXML(G39, ""//p[@class='status-date']"")), ""Not deployed""),"""")"),"")</f>
        <v/>
      </c>
      <c r="L39" s="48"/>
      <c r="M39" s="48">
        <f t="shared" si="2"/>
        <v>0</v>
      </c>
      <c r="N39" s="49" t="str">
        <f>IFERROR(__xludf.DUMMYFUNCTION("split(G39,""/"")"),"#VALUE!")</f>
        <v>#VALUE!</v>
      </c>
      <c r="O39" s="50"/>
      <c r="P39" s="49"/>
      <c r="Q39" s="49"/>
      <c r="R39" s="49"/>
      <c r="S39" s="49"/>
    </row>
    <row r="40">
      <c r="A40" s="55">
        <v>5.0</v>
      </c>
      <c r="B40" s="55">
        <v>7.0</v>
      </c>
      <c r="C40" s="11">
        <v>58.3716680974151</v>
      </c>
      <c r="D40" s="11">
        <v>15.689183241255</v>
      </c>
      <c r="E40" s="55" t="s">
        <v>98</v>
      </c>
      <c r="F40" s="46"/>
      <c r="G40" s="46"/>
      <c r="H40" s="46"/>
      <c r="I40" s="47" t="b">
        <v>0</v>
      </c>
      <c r="J40" s="47" t="str">
        <f t="shared" si="4"/>
        <v/>
      </c>
      <c r="K40" s="48" t="str">
        <f>IFERROR(__xludf.DUMMYFUNCTION("IF(M40=1,IFERROR(TRIM(IMPORTXML(G40, ""//p[@class='status-date']"")), ""Not deployed""),"""")"),"")</f>
        <v/>
      </c>
      <c r="L40" s="48"/>
      <c r="M40" s="48">
        <f t="shared" si="2"/>
        <v>0</v>
      </c>
      <c r="N40" s="49" t="str">
        <f>IFERROR(__xludf.DUMMYFUNCTION("split(G40,""/"")"),"#VALUE!")</f>
        <v>#VALUE!</v>
      </c>
      <c r="O40" s="50"/>
      <c r="P40" s="49"/>
      <c r="Q40" s="49"/>
      <c r="R40" s="49"/>
      <c r="S40" s="49"/>
    </row>
    <row r="41">
      <c r="A41" s="55">
        <v>5.0</v>
      </c>
      <c r="B41" s="55">
        <v>8.0</v>
      </c>
      <c r="C41" s="11">
        <v>58.3716680971223</v>
      </c>
      <c r="D41" s="11">
        <v>15.6894573231098</v>
      </c>
      <c r="E41" s="55" t="s">
        <v>98</v>
      </c>
      <c r="F41" s="46"/>
      <c r="G41" s="46"/>
      <c r="H41" s="46"/>
      <c r="I41" s="47" t="b">
        <v>0</v>
      </c>
      <c r="J41" s="47" t="str">
        <f t="shared" si="4"/>
        <v/>
      </c>
      <c r="K41" s="48" t="str">
        <f>IFERROR(__xludf.DUMMYFUNCTION("IF(M41=1,IFERROR(TRIM(IMPORTXML(G41, ""//p[@class='status-date']"")), ""Not deployed""),"""")"),"")</f>
        <v/>
      </c>
      <c r="L41" s="48"/>
      <c r="M41" s="48">
        <f t="shared" si="2"/>
        <v>0</v>
      </c>
      <c r="N41" s="49" t="str">
        <f>IFERROR(__xludf.DUMMYFUNCTION("split(G41,""/"")"),"#VALUE!")</f>
        <v>#VALUE!</v>
      </c>
      <c r="O41" s="50"/>
      <c r="P41" s="49"/>
      <c r="Q41" s="49"/>
      <c r="R41" s="49"/>
      <c r="S41" s="49"/>
    </row>
    <row r="42">
      <c r="A42" s="43">
        <v>6.0</v>
      </c>
      <c r="B42" s="43">
        <v>1.0</v>
      </c>
      <c r="C42" s="43">
        <v>58.3715243687259</v>
      </c>
      <c r="D42" s="43">
        <v>15.6875387211016</v>
      </c>
      <c r="E42" s="43" t="s">
        <v>98</v>
      </c>
      <c r="F42" s="44" t="s">
        <v>149</v>
      </c>
      <c r="G42" s="45" t="s">
        <v>456</v>
      </c>
      <c r="H42" s="46"/>
      <c r="I42" s="11" t="b">
        <v>1</v>
      </c>
      <c r="J42" s="47" t="str">
        <f t="shared" si="4"/>
        <v/>
      </c>
      <c r="K42" s="48" t="str">
        <f>IFERROR(__xludf.DUMMYFUNCTION("IF(M42=1,IFERROR(TRIM(IMPORTXML(G42, ""//p[@class='status-date']"")), ""Not deployed""),"""")"),"")</f>
        <v/>
      </c>
      <c r="L42" s="48"/>
      <c r="M42" s="48">
        <f t="shared" si="2"/>
        <v>2</v>
      </c>
      <c r="N42" s="49" t="str">
        <f>IFERROR(__xludf.DUMMYFUNCTION("split(G42,""/"")"),"https:")</f>
        <v>https:</v>
      </c>
      <c r="O42" s="50" t="str">
        <f>IFERROR(__xludf.DUMMYFUNCTION("""COMPUTED_VALUE"""),"www.munzee.com")</f>
        <v>www.munzee.com</v>
      </c>
      <c r="P42" s="49" t="str">
        <f>IFERROR(__xludf.DUMMYFUNCTION("""COMPUTED_VALUE"""),"m")</f>
        <v>m</v>
      </c>
      <c r="Q42" s="49" t="str">
        <f>IFERROR(__xludf.DUMMYFUNCTION("""COMPUTED_VALUE"""),"Bisquick2")</f>
        <v>Bisquick2</v>
      </c>
      <c r="R42" s="49">
        <f>IFERROR(__xludf.DUMMYFUNCTION("""COMPUTED_VALUE"""),7182.0)</f>
        <v>7182</v>
      </c>
      <c r="S42" s="49"/>
    </row>
    <row r="43">
      <c r="A43" s="43">
        <v>6.0</v>
      </c>
      <c r="B43" s="43">
        <v>2.0</v>
      </c>
      <c r="C43" s="43">
        <v>58.3715243684331</v>
      </c>
      <c r="D43" s="43">
        <v>15.68781280184</v>
      </c>
      <c r="E43" s="43" t="s">
        <v>98</v>
      </c>
      <c r="F43" s="44" t="s">
        <v>254</v>
      </c>
      <c r="G43" s="45" t="s">
        <v>457</v>
      </c>
      <c r="H43" s="46"/>
      <c r="I43" s="11" t="b">
        <v>1</v>
      </c>
      <c r="J43" s="47" t="str">
        <f t="shared" si="4"/>
        <v/>
      </c>
      <c r="K43" s="48" t="str">
        <f>IFERROR(__xludf.DUMMYFUNCTION("IF(M43=1,IFERROR(TRIM(IMPORTXML(G43, ""//p[@class='status-date']"")), ""Not deployed""),"""")"),"")</f>
        <v/>
      </c>
      <c r="L43" s="48"/>
      <c r="M43" s="48">
        <f t="shared" si="2"/>
        <v>2</v>
      </c>
      <c r="N43" s="49" t="str">
        <f>IFERROR(__xludf.DUMMYFUNCTION("split(G43,""/"")"),"https:")</f>
        <v>https:</v>
      </c>
      <c r="O43" s="50" t="str">
        <f>IFERROR(__xludf.DUMMYFUNCTION("""COMPUTED_VALUE"""),"www.munzee.com")</f>
        <v>www.munzee.com</v>
      </c>
      <c r="P43" s="49" t="str">
        <f>IFERROR(__xludf.DUMMYFUNCTION("""COMPUTED_VALUE"""),"m")</f>
        <v>m</v>
      </c>
      <c r="Q43" s="49" t="str">
        <f>IFERROR(__xludf.DUMMYFUNCTION("""COMPUTED_VALUE"""),"wally62")</f>
        <v>wally62</v>
      </c>
      <c r="R43" s="49">
        <f>IFERROR(__xludf.DUMMYFUNCTION("""COMPUTED_VALUE"""),5784.0)</f>
        <v>5784</v>
      </c>
      <c r="S43" s="49"/>
    </row>
    <row r="44">
      <c r="A44" s="55">
        <v>6.0</v>
      </c>
      <c r="B44" s="55">
        <v>3.0</v>
      </c>
      <c r="C44" s="11">
        <v>58.3715243681404</v>
      </c>
      <c r="D44" s="11">
        <v>15.6880868825785</v>
      </c>
      <c r="E44" s="55" t="s">
        <v>103</v>
      </c>
      <c r="F44" s="46"/>
      <c r="G44" s="46"/>
      <c r="H44" s="46"/>
      <c r="I44" s="47" t="b">
        <v>0</v>
      </c>
      <c r="J44" s="47" t="str">
        <f t="shared" si="4"/>
        <v/>
      </c>
      <c r="K44" s="48" t="str">
        <f>IFERROR(__xludf.DUMMYFUNCTION("IF(M44=1,IFERROR(TRIM(IMPORTXML(G44, ""//p[@class='status-date']"")), ""Not deployed""),"""")"),"")</f>
        <v/>
      </c>
      <c r="L44" s="48"/>
      <c r="M44" s="48">
        <f t="shared" si="2"/>
        <v>0</v>
      </c>
      <c r="N44" s="49" t="str">
        <f>IFERROR(__xludf.DUMMYFUNCTION("split(G44,""/"")"),"#VALUE!")</f>
        <v>#VALUE!</v>
      </c>
      <c r="O44" s="50"/>
      <c r="P44" s="49"/>
      <c r="Q44" s="49"/>
      <c r="R44" s="49"/>
      <c r="S44" s="49"/>
    </row>
    <row r="45">
      <c r="A45" s="55">
        <v>6.0</v>
      </c>
      <c r="B45" s="55">
        <v>4.0</v>
      </c>
      <c r="C45" s="11">
        <v>58.3715243678477</v>
      </c>
      <c r="D45" s="11">
        <v>15.6883609633169</v>
      </c>
      <c r="E45" s="55" t="s">
        <v>98</v>
      </c>
      <c r="F45" s="46"/>
      <c r="G45" s="46"/>
      <c r="H45" s="46"/>
      <c r="I45" s="47" t="b">
        <v>0</v>
      </c>
      <c r="J45" s="47" t="str">
        <f t="shared" si="4"/>
        <v/>
      </c>
      <c r="K45" s="48" t="str">
        <f>IFERROR(__xludf.DUMMYFUNCTION("IF(M45=1,IFERROR(TRIM(IMPORTXML(G45, ""//p[@class='status-date']"")), ""Not deployed""),"""")"),"")</f>
        <v/>
      </c>
      <c r="L45" s="48"/>
      <c r="M45" s="48">
        <f t="shared" si="2"/>
        <v>0</v>
      </c>
      <c r="N45" s="49" t="str">
        <f>IFERROR(__xludf.DUMMYFUNCTION("split(G45,""/"")"),"#VALUE!")</f>
        <v>#VALUE!</v>
      </c>
      <c r="O45" s="50"/>
      <c r="P45" s="49"/>
      <c r="Q45" s="49"/>
      <c r="R45" s="49"/>
      <c r="S45" s="49"/>
    </row>
    <row r="46">
      <c r="A46" s="55">
        <v>6.0</v>
      </c>
      <c r="B46" s="55">
        <v>5.0</v>
      </c>
      <c r="C46" s="11">
        <v>58.371524367555</v>
      </c>
      <c r="D46" s="11">
        <v>15.6886350440554</v>
      </c>
      <c r="E46" s="55" t="s">
        <v>98</v>
      </c>
      <c r="F46" s="44"/>
      <c r="G46" s="46"/>
      <c r="H46" s="46"/>
      <c r="I46" s="47" t="b">
        <v>0</v>
      </c>
      <c r="J46" s="47" t="str">
        <f t="shared" si="4"/>
        <v/>
      </c>
      <c r="K46" s="48" t="str">
        <f>IFERROR(__xludf.DUMMYFUNCTION("IF(M46=1,IFERROR(TRIM(IMPORTXML(G46, ""//p[@class='status-date']"")), ""Not deployed""),"""")"),"")</f>
        <v/>
      </c>
      <c r="L46" s="48"/>
      <c r="M46" s="48">
        <f t="shared" si="2"/>
        <v>0</v>
      </c>
      <c r="N46" s="49" t="str">
        <f>IFERROR(__xludf.DUMMYFUNCTION("split(G46,""/"")"),"#VALUE!")</f>
        <v>#VALUE!</v>
      </c>
      <c r="O46" s="50"/>
      <c r="P46" s="49"/>
      <c r="Q46" s="49"/>
      <c r="R46" s="49"/>
      <c r="S46" s="49"/>
    </row>
    <row r="47">
      <c r="A47" s="55">
        <v>6.0</v>
      </c>
      <c r="B47" s="55">
        <v>6.0</v>
      </c>
      <c r="C47" s="11">
        <v>58.3715243672623</v>
      </c>
      <c r="D47" s="11">
        <v>15.6889091247938</v>
      </c>
      <c r="E47" s="55" t="s">
        <v>103</v>
      </c>
      <c r="F47" s="46"/>
      <c r="G47" s="46"/>
      <c r="H47" s="46"/>
      <c r="I47" s="11" t="b">
        <v>0</v>
      </c>
      <c r="J47" s="47" t="str">
        <f t="shared" si="4"/>
        <v/>
      </c>
      <c r="K47" s="48" t="str">
        <f>IFERROR(__xludf.DUMMYFUNCTION("IF(M47=1,IFERROR(TRIM(IMPORTXML(G47, ""//p[@class='status-date']"")), ""Not deployed""),"""")"),"")</f>
        <v/>
      </c>
      <c r="L47" s="48"/>
      <c r="M47" s="48">
        <f t="shared" si="2"/>
        <v>0</v>
      </c>
      <c r="N47" s="49" t="str">
        <f>IFERROR(__xludf.DUMMYFUNCTION("split(G47,""/"")"),"#VALUE!")</f>
        <v>#VALUE!</v>
      </c>
      <c r="O47" s="50"/>
      <c r="P47" s="49"/>
      <c r="Q47" s="49"/>
      <c r="R47" s="49"/>
      <c r="S47" s="49"/>
    </row>
    <row r="48">
      <c r="A48" s="43">
        <v>6.0</v>
      </c>
      <c r="B48" s="43">
        <v>7.0</v>
      </c>
      <c r="C48" s="43">
        <v>58.3715243669696</v>
      </c>
      <c r="D48" s="43">
        <v>15.6891832055323</v>
      </c>
      <c r="E48" s="43" t="s">
        <v>98</v>
      </c>
      <c r="F48" s="44" t="s">
        <v>145</v>
      </c>
      <c r="G48" s="45" t="s">
        <v>458</v>
      </c>
      <c r="H48" s="46"/>
      <c r="I48" s="11" t="b">
        <v>1</v>
      </c>
      <c r="J48" s="47" t="str">
        <f t="shared" si="4"/>
        <v/>
      </c>
      <c r="K48" s="48" t="str">
        <f>IFERROR(__xludf.DUMMYFUNCTION("IF(M48=1,IFERROR(TRIM(IMPORTXML(G48, ""//p[@class='status-date']"")), ""Not deployed""),"""")"),"")</f>
        <v/>
      </c>
      <c r="L48" s="48"/>
      <c r="M48" s="48">
        <f t="shared" si="2"/>
        <v>2</v>
      </c>
      <c r="N48" s="49" t="str">
        <f>IFERROR(__xludf.DUMMYFUNCTION("split(G48,""/"")"),"https:")</f>
        <v>https:</v>
      </c>
      <c r="O48" s="50" t="str">
        <f>IFERROR(__xludf.DUMMYFUNCTION("""COMPUTED_VALUE"""),"www.munzee.com")</f>
        <v>www.munzee.com</v>
      </c>
      <c r="P48" s="49" t="str">
        <f>IFERROR(__xludf.DUMMYFUNCTION("""COMPUTED_VALUE"""),"m")</f>
        <v>m</v>
      </c>
      <c r="Q48" s="49" t="str">
        <f>IFERROR(__xludf.DUMMYFUNCTION("""COMPUTED_VALUE"""),"TheFrog")</f>
        <v>TheFrog</v>
      </c>
      <c r="R48" s="49">
        <f>IFERROR(__xludf.DUMMYFUNCTION("""COMPUTED_VALUE"""),5821.0)</f>
        <v>5821</v>
      </c>
      <c r="S48" s="51">
        <v>44357.520956249995</v>
      </c>
    </row>
    <row r="49">
      <c r="A49" s="43">
        <v>6.0</v>
      </c>
      <c r="B49" s="43">
        <v>8.0</v>
      </c>
      <c r="C49" s="43">
        <v>58.3715243666769</v>
      </c>
      <c r="D49" s="43">
        <v>15.6894572862707</v>
      </c>
      <c r="E49" s="43" t="s">
        <v>98</v>
      </c>
      <c r="F49" s="44" t="s">
        <v>147</v>
      </c>
      <c r="G49" s="45" t="s">
        <v>459</v>
      </c>
      <c r="H49" s="46"/>
      <c r="I49" s="11" t="b">
        <v>1</v>
      </c>
      <c r="J49" s="47" t="str">
        <f t="shared" si="4"/>
        <v/>
      </c>
      <c r="K49" s="48" t="str">
        <f>IFERROR(__xludf.DUMMYFUNCTION("IF(M49=1,IFERROR(TRIM(IMPORTXML(G49, ""//p[@class='status-date']"")), ""Not deployed""),"""")"),"")</f>
        <v/>
      </c>
      <c r="L49" s="48"/>
      <c r="M49" s="48">
        <f t="shared" si="2"/>
        <v>2</v>
      </c>
      <c r="N49" s="49" t="str">
        <f>IFERROR(__xludf.DUMMYFUNCTION("split(G49,""/"")"),"https:")</f>
        <v>https:</v>
      </c>
      <c r="O49" s="50" t="str">
        <f>IFERROR(__xludf.DUMMYFUNCTION("""COMPUTED_VALUE"""),"www.munzee.com")</f>
        <v>www.munzee.com</v>
      </c>
      <c r="P49" s="49" t="str">
        <f>IFERROR(__xludf.DUMMYFUNCTION("""COMPUTED_VALUE"""),"m")</f>
        <v>m</v>
      </c>
      <c r="Q49" s="49" t="str">
        <f>IFERROR(__xludf.DUMMYFUNCTION("""COMPUTED_VALUE"""),"123xilef")</f>
        <v>123xilef</v>
      </c>
      <c r="R49" s="49">
        <f>IFERROR(__xludf.DUMMYFUNCTION("""COMPUTED_VALUE"""),13720.0)</f>
        <v>13720</v>
      </c>
      <c r="S49" s="51">
        <v>44357.52106670139</v>
      </c>
    </row>
    <row r="50">
      <c r="A50" s="43">
        <v>7.0</v>
      </c>
      <c r="B50" s="43">
        <v>2.0</v>
      </c>
      <c r="C50" s="43">
        <v>58.3713806379877</v>
      </c>
      <c r="D50" s="43">
        <v>15.6878127716976</v>
      </c>
      <c r="E50" s="43" t="s">
        <v>103</v>
      </c>
      <c r="F50" s="44" t="s">
        <v>151</v>
      </c>
      <c r="G50" s="52" t="s">
        <v>460</v>
      </c>
      <c r="H50" s="46"/>
      <c r="I50" s="11" t="b">
        <v>1</v>
      </c>
      <c r="J50" s="47" t="str">
        <f t="shared" si="4"/>
        <v/>
      </c>
      <c r="K50" s="48" t="str">
        <f>IFERROR(__xludf.DUMMYFUNCTION("IF(M50=1,IFERROR(TRIM(IMPORTXML(G50, ""//p[@class='status-date']"")), ""Not deployed""),"""")"),"")</f>
        <v/>
      </c>
      <c r="L50" s="48"/>
      <c r="M50" s="48">
        <f t="shared" si="2"/>
        <v>2</v>
      </c>
      <c r="N50" s="49" t="str">
        <f>IFERROR(__xludf.DUMMYFUNCTION("split(G50,""/"")"),"https:")</f>
        <v>https:</v>
      </c>
      <c r="O50" s="50" t="str">
        <f>IFERROR(__xludf.DUMMYFUNCTION("""COMPUTED_VALUE"""),"www.munzee.com")</f>
        <v>www.munzee.com</v>
      </c>
      <c r="P50" s="49" t="str">
        <f>IFERROR(__xludf.DUMMYFUNCTION("""COMPUTED_VALUE"""),"m")</f>
        <v>m</v>
      </c>
      <c r="Q50" s="49" t="str">
        <f>IFERROR(__xludf.DUMMYFUNCTION("""COMPUTED_VALUE"""),"res2100")</f>
        <v>res2100</v>
      </c>
      <c r="R50" s="49">
        <f>IFERROR(__xludf.DUMMYFUNCTION("""COMPUTED_VALUE"""),760.0)</f>
        <v>760</v>
      </c>
      <c r="S50" s="49"/>
    </row>
    <row r="51">
      <c r="A51" s="55">
        <v>7.0</v>
      </c>
      <c r="B51" s="55">
        <v>3.0</v>
      </c>
      <c r="C51" s="11">
        <v>58.371380637695</v>
      </c>
      <c r="D51" s="11">
        <v>15.6880868513197</v>
      </c>
      <c r="E51" s="55" t="s">
        <v>98</v>
      </c>
      <c r="F51" s="46"/>
      <c r="G51" s="46"/>
      <c r="H51" s="46"/>
      <c r="I51" s="11" t="b">
        <v>0</v>
      </c>
      <c r="J51" s="47" t="str">
        <f t="shared" si="4"/>
        <v/>
      </c>
      <c r="K51" s="48" t="str">
        <f>IFERROR(__xludf.DUMMYFUNCTION("IF(M51=1,IFERROR(TRIM(IMPORTXML(G51, ""//p[@class='status-date']"")), ""Not deployed""),"""")"),"")</f>
        <v/>
      </c>
      <c r="L51" s="48"/>
      <c r="M51" s="48">
        <f t="shared" si="2"/>
        <v>0</v>
      </c>
      <c r="N51" s="49" t="str">
        <f>IFERROR(__xludf.DUMMYFUNCTION("split(G51,""/"")"),"#VALUE!")</f>
        <v>#VALUE!</v>
      </c>
      <c r="O51" s="50"/>
      <c r="P51" s="49"/>
      <c r="Q51" s="49"/>
      <c r="R51" s="49"/>
      <c r="S51" s="49"/>
    </row>
    <row r="52">
      <c r="A52" s="55">
        <v>7.0</v>
      </c>
      <c r="B52" s="55">
        <v>4.0</v>
      </c>
      <c r="C52" s="11">
        <v>58.3713806374023</v>
      </c>
      <c r="D52" s="11">
        <v>15.6883609309419</v>
      </c>
      <c r="E52" s="55" t="s">
        <v>98</v>
      </c>
      <c r="F52" s="44"/>
      <c r="G52" s="46"/>
      <c r="H52" s="46"/>
      <c r="I52" s="47" t="b">
        <v>0</v>
      </c>
      <c r="J52" s="47" t="str">
        <f t="shared" si="4"/>
        <v/>
      </c>
      <c r="K52" s="48" t="str">
        <f>IFERROR(__xludf.DUMMYFUNCTION("IF(M52=1,IFERROR(TRIM(IMPORTXML(G52, ""//p[@class='status-date']"")), ""Not deployed""),"""")"),"")</f>
        <v/>
      </c>
      <c r="L52" s="48"/>
      <c r="M52" s="48">
        <f t="shared" si="2"/>
        <v>0</v>
      </c>
      <c r="N52" s="49" t="str">
        <f>IFERROR(__xludf.DUMMYFUNCTION("split(G52,""/"")"),"#VALUE!")</f>
        <v>#VALUE!</v>
      </c>
      <c r="O52" s="50"/>
      <c r="P52" s="49"/>
      <c r="Q52" s="49"/>
      <c r="R52" s="49"/>
      <c r="S52" s="49"/>
    </row>
    <row r="53">
      <c r="A53" s="55">
        <v>7.0</v>
      </c>
      <c r="B53" s="55">
        <v>5.0</v>
      </c>
      <c r="C53" s="11">
        <v>58.3713806371096</v>
      </c>
      <c r="D53" s="11">
        <v>15.688635010564</v>
      </c>
      <c r="E53" s="55" t="s">
        <v>98</v>
      </c>
      <c r="F53" s="46"/>
      <c r="G53" s="46"/>
      <c r="H53" s="46"/>
      <c r="I53" s="11" t="b">
        <v>0</v>
      </c>
      <c r="J53" s="47" t="str">
        <f t="shared" si="4"/>
        <v/>
      </c>
      <c r="K53" s="48" t="str">
        <f>IFERROR(__xludf.DUMMYFUNCTION("IF(M53=1,IFERROR(TRIM(IMPORTXML(G53, ""//p[@class='status-date']"")), ""Not deployed""),"""")"),"")</f>
        <v/>
      </c>
      <c r="L53" s="48"/>
      <c r="M53" s="48">
        <f t="shared" si="2"/>
        <v>0</v>
      </c>
      <c r="N53" s="49" t="str">
        <f>IFERROR(__xludf.DUMMYFUNCTION("split(G53,""/"")"),"#VALUE!")</f>
        <v>#VALUE!</v>
      </c>
      <c r="O53" s="50"/>
      <c r="P53" s="49"/>
      <c r="Q53" s="49"/>
      <c r="R53" s="49"/>
      <c r="S53" s="49"/>
    </row>
    <row r="54">
      <c r="A54" s="55">
        <v>7.0</v>
      </c>
      <c r="B54" s="55">
        <v>6.0</v>
      </c>
      <c r="C54" s="11">
        <v>58.3713806368169</v>
      </c>
      <c r="D54" s="11">
        <v>15.6889090901862</v>
      </c>
      <c r="E54" s="55" t="s">
        <v>98</v>
      </c>
      <c r="F54" s="46"/>
      <c r="G54" s="46"/>
      <c r="H54" s="46"/>
      <c r="I54" s="47" t="b">
        <v>0</v>
      </c>
      <c r="J54" s="47" t="str">
        <f t="shared" si="4"/>
        <v/>
      </c>
      <c r="K54" s="48" t="str">
        <f>IFERROR(__xludf.DUMMYFUNCTION("IF(M54=1,IFERROR(TRIM(IMPORTXML(G54, ""//p[@class='status-date']"")), ""Not deployed""),"""")"),"")</f>
        <v/>
      </c>
      <c r="L54" s="48"/>
      <c r="M54" s="48">
        <f t="shared" si="2"/>
        <v>0</v>
      </c>
      <c r="N54" s="49" t="str">
        <f>IFERROR(__xludf.DUMMYFUNCTION("split(G54,""/"")"),"#VALUE!")</f>
        <v>#VALUE!</v>
      </c>
      <c r="O54" s="50"/>
      <c r="P54" s="49"/>
      <c r="Q54" s="49"/>
      <c r="R54" s="49"/>
      <c r="S54" s="49"/>
    </row>
    <row r="55">
      <c r="A55" s="43">
        <v>7.0</v>
      </c>
      <c r="B55" s="43">
        <v>7.0</v>
      </c>
      <c r="C55" s="43">
        <v>58.3713806365242</v>
      </c>
      <c r="D55" s="43">
        <v>15.6891831698084</v>
      </c>
      <c r="E55" s="43" t="s">
        <v>98</v>
      </c>
      <c r="F55" s="44" t="s">
        <v>153</v>
      </c>
      <c r="G55" s="45" t="s">
        <v>461</v>
      </c>
      <c r="H55" s="46"/>
      <c r="I55" s="11" t="b">
        <v>1</v>
      </c>
      <c r="J55" s="47" t="str">
        <f t="shared" si="4"/>
        <v/>
      </c>
      <c r="K55" s="48" t="str">
        <f>IFERROR(__xludf.DUMMYFUNCTION("IF(M55=1,IFERROR(TRIM(IMPORTXML(G55, ""//p[@class='status-date']"")), ""Not deployed""),"""")"),"")</f>
        <v/>
      </c>
      <c r="L55" s="48"/>
      <c r="M55" s="48">
        <f t="shared" si="2"/>
        <v>2</v>
      </c>
      <c r="N55" s="49" t="str">
        <f>IFERROR(__xludf.DUMMYFUNCTION("split(G55,""/"")"),"https:")</f>
        <v>https:</v>
      </c>
      <c r="O55" s="50" t="str">
        <f>IFERROR(__xludf.DUMMYFUNCTION("""COMPUTED_VALUE"""),"www.munzee.com")</f>
        <v>www.munzee.com</v>
      </c>
      <c r="P55" s="49" t="str">
        <f>IFERROR(__xludf.DUMMYFUNCTION("""COMPUTED_VALUE"""),"m")</f>
        <v>m</v>
      </c>
      <c r="Q55" s="49" t="str">
        <f>IFERROR(__xludf.DUMMYFUNCTION("""COMPUTED_VALUE"""),"mortonfox")</f>
        <v>mortonfox</v>
      </c>
      <c r="R55" s="49">
        <f>IFERROR(__xludf.DUMMYFUNCTION("""COMPUTED_VALUE"""),24218.0)</f>
        <v>24218</v>
      </c>
      <c r="S55" s="49"/>
    </row>
    <row r="56">
      <c r="A56" s="55">
        <v>8.0</v>
      </c>
      <c r="B56" s="55">
        <v>3.0</v>
      </c>
      <c r="C56" s="11">
        <v>58.3712369072497</v>
      </c>
      <c r="D56" s="11">
        <v>15.6880868200621</v>
      </c>
      <c r="E56" s="55" t="s">
        <v>98</v>
      </c>
      <c r="F56" s="46"/>
      <c r="G56" s="46"/>
      <c r="H56" s="46"/>
      <c r="I56" s="47" t="b">
        <v>0</v>
      </c>
      <c r="J56" s="47" t="str">
        <f t="shared" si="4"/>
        <v/>
      </c>
      <c r="K56" s="48" t="str">
        <f>IFERROR(__xludf.DUMMYFUNCTION("IF(M56=1,IFERROR(TRIM(IMPORTXML(G56, ""//p[@class='status-date']"")), ""Not deployed""),"""")"),"")</f>
        <v/>
      </c>
      <c r="L56" s="48"/>
      <c r="M56" s="48">
        <f t="shared" si="2"/>
        <v>0</v>
      </c>
      <c r="N56" s="49" t="str">
        <f>IFERROR(__xludf.DUMMYFUNCTION("split(G56,""/"")"),"#VALUE!")</f>
        <v>#VALUE!</v>
      </c>
      <c r="O56" s="50"/>
      <c r="P56" s="49"/>
      <c r="Q56" s="49"/>
      <c r="R56" s="49"/>
      <c r="S56" s="49"/>
    </row>
    <row r="57">
      <c r="A57" s="55">
        <v>8.0</v>
      </c>
      <c r="B57" s="55">
        <v>4.0</v>
      </c>
      <c r="C57" s="11">
        <v>58.371236906957</v>
      </c>
      <c r="D57" s="11">
        <v>15.6883608985679</v>
      </c>
      <c r="E57" s="55" t="s">
        <v>103</v>
      </c>
      <c r="F57" s="46"/>
      <c r="G57" s="46"/>
      <c r="H57" s="46"/>
      <c r="I57" s="47" t="b">
        <v>0</v>
      </c>
      <c r="J57" s="47" t="str">
        <f t="shared" si="4"/>
        <v/>
      </c>
      <c r="K57" s="48" t="str">
        <f>IFERROR(__xludf.DUMMYFUNCTION("IF(M57=1,IFERROR(TRIM(IMPORTXML(G57, ""//p[@class='status-date']"")), ""Not deployed""),"""")"),"")</f>
        <v/>
      </c>
      <c r="L57" s="48"/>
      <c r="M57" s="48">
        <f t="shared" si="2"/>
        <v>0</v>
      </c>
      <c r="N57" s="49" t="str">
        <f>IFERROR(__xludf.DUMMYFUNCTION("split(G57,""/"")"),"#VALUE!")</f>
        <v>#VALUE!</v>
      </c>
      <c r="O57" s="50"/>
      <c r="P57" s="49"/>
      <c r="Q57" s="49"/>
      <c r="R57" s="49"/>
      <c r="S57" s="49"/>
    </row>
    <row r="58">
      <c r="A58" s="55">
        <v>8.0</v>
      </c>
      <c r="B58" s="55">
        <v>5.0</v>
      </c>
      <c r="C58" s="11">
        <v>58.3712369066642</v>
      </c>
      <c r="D58" s="11">
        <v>15.6886349770736</v>
      </c>
      <c r="E58" s="55" t="s">
        <v>103</v>
      </c>
      <c r="F58" s="44"/>
      <c r="G58" s="56"/>
      <c r="H58" s="46"/>
      <c r="I58" s="47" t="b">
        <v>0</v>
      </c>
      <c r="K58" s="48" t="str">
        <f>IFERROR(__xludf.DUMMYFUNCTION("IF(M58=1,IFERROR(TRIM(IMPORTXML(G58, ""//p[@class='status-date']"")), ""Not deployed""),"""")"),"")</f>
        <v/>
      </c>
      <c r="L58" s="48"/>
      <c r="M58" s="48">
        <f t="shared" si="2"/>
        <v>0</v>
      </c>
      <c r="N58" s="49" t="str">
        <f>IFERROR(__xludf.DUMMYFUNCTION("split(G58,""/"")"),"#VALUE!")</f>
        <v>#VALUE!</v>
      </c>
      <c r="O58" s="57"/>
      <c r="P58" s="49"/>
      <c r="Q58" s="49"/>
      <c r="R58" s="49"/>
      <c r="S58" s="51">
        <v>44698.6077588426</v>
      </c>
    </row>
    <row r="59">
      <c r="A59" s="43">
        <v>8.0</v>
      </c>
      <c r="B59" s="43">
        <v>6.0</v>
      </c>
      <c r="C59" s="43">
        <v>58.3712369063715</v>
      </c>
      <c r="D59" s="43">
        <v>15.6889090555794</v>
      </c>
      <c r="E59" s="43" t="s">
        <v>98</v>
      </c>
      <c r="F59" s="44" t="s">
        <v>157</v>
      </c>
      <c r="G59" s="45" t="s">
        <v>462</v>
      </c>
      <c r="H59" s="46"/>
      <c r="I59" s="11" t="b">
        <v>1</v>
      </c>
      <c r="J59" s="47" t="str">
        <f>if(I59=true,"",S59)</f>
        <v/>
      </c>
      <c r="K59" s="48" t="str">
        <f>IFERROR(__xludf.DUMMYFUNCTION("IF(M59=1,IFERROR(TRIM(IMPORTXML(G59, ""//p[@class='status-date']"")), ""Not deployed""),"""")"),"")</f>
        <v/>
      </c>
      <c r="L59" s="48"/>
      <c r="M59" s="48">
        <f t="shared" si="2"/>
        <v>2</v>
      </c>
      <c r="N59" s="49" t="str">
        <f>IFERROR(__xludf.DUMMYFUNCTION("split(G59,""/"")"),"https:")</f>
        <v>https:</v>
      </c>
      <c r="O59" s="50" t="str">
        <f>IFERROR(__xludf.DUMMYFUNCTION("""COMPUTED_VALUE"""),"www.munzee.com")</f>
        <v>www.munzee.com</v>
      </c>
      <c r="P59" s="49" t="str">
        <f>IFERROR(__xludf.DUMMYFUNCTION("""COMPUTED_VALUE"""),"m")</f>
        <v>m</v>
      </c>
      <c r="Q59" s="49" t="str">
        <f>IFERROR(__xludf.DUMMYFUNCTION("""COMPUTED_VALUE"""),"barefootguru")</f>
        <v>barefootguru</v>
      </c>
      <c r="R59" s="49">
        <f>IFERROR(__xludf.DUMMYFUNCTION("""COMPUTED_VALUE"""),3670.0)</f>
        <v>3670</v>
      </c>
      <c r="S59" s="49"/>
    </row>
    <row r="61" hidden="1">
      <c r="F61" s="47">
        <f t="shared" ref="F61:G61" si="5">COUNTIF(F8:F59,"")</f>
        <v>22</v>
      </c>
      <c r="G61" s="47">
        <f t="shared" si="5"/>
        <v>22</v>
      </c>
      <c r="I61" s="47">
        <f>COUNTIF(I8:I59,TRUE)</f>
        <v>30</v>
      </c>
    </row>
    <row r="62" hidden="1"/>
    <row r="63" hidden="1"/>
  </sheetData>
  <mergeCells count="2">
    <mergeCell ref="B1:C1"/>
    <mergeCell ref="N7:S7"/>
  </mergeCells>
  <conditionalFormatting sqref="F1 F8:F59">
    <cfRule type="containsBlanks" dxfId="0" priority="1">
      <formula>LEN(TRIM(F1))=0</formula>
    </cfRule>
  </conditionalFormatting>
  <hyperlinks>
    <hyperlink r:id="rId1" ref="G2"/>
    <hyperlink r:id="rId2" ref="G8"/>
    <hyperlink r:id="rId3" ref="O8"/>
    <hyperlink r:id="rId4" ref="G9"/>
    <hyperlink r:id="rId5" ref="O9"/>
    <hyperlink r:id="rId6" ref="G10"/>
    <hyperlink r:id="rId7" ref="O10"/>
    <hyperlink r:id="rId8" ref="G11"/>
    <hyperlink r:id="rId9" ref="O11"/>
    <hyperlink r:id="rId10" ref="G12"/>
    <hyperlink r:id="rId11" ref="O12"/>
    <hyperlink r:id="rId12" ref="G13"/>
    <hyperlink r:id="rId13" ref="O13"/>
    <hyperlink r:id="rId14" ref="G14"/>
    <hyperlink r:id="rId15" ref="O14"/>
    <hyperlink r:id="rId16" ref="G15"/>
    <hyperlink r:id="rId17" ref="O15"/>
    <hyperlink r:id="rId18" ref="G16"/>
    <hyperlink r:id="rId19" ref="O16"/>
    <hyperlink r:id="rId20" ref="G17"/>
    <hyperlink r:id="rId21" ref="O17"/>
    <hyperlink r:id="rId22" ref="G18"/>
    <hyperlink r:id="rId23" ref="O18"/>
    <hyperlink r:id="rId24" ref="G19"/>
    <hyperlink r:id="rId25" ref="O19"/>
    <hyperlink r:id="rId26" ref="G20"/>
    <hyperlink r:id="rId27" ref="O20"/>
    <hyperlink r:id="rId28" ref="G21"/>
    <hyperlink r:id="rId29" ref="O21"/>
    <hyperlink r:id="rId30" ref="G22"/>
    <hyperlink r:id="rId31" ref="O22"/>
    <hyperlink r:id="rId32" ref="G23"/>
    <hyperlink r:id="rId33" ref="O23"/>
    <hyperlink r:id="rId34" ref="G24"/>
    <hyperlink r:id="rId35" ref="O24"/>
    <hyperlink r:id="rId36" ref="G25"/>
    <hyperlink r:id="rId37" ref="O25"/>
    <hyperlink r:id="rId38" ref="O26"/>
    <hyperlink r:id="rId39" ref="G27"/>
    <hyperlink r:id="rId40" ref="O27"/>
    <hyperlink r:id="rId41" ref="O28"/>
    <hyperlink r:id="rId42" ref="G29"/>
    <hyperlink r:id="rId43" ref="O29"/>
    <hyperlink r:id="rId44" ref="O30"/>
    <hyperlink r:id="rId45" ref="G31"/>
    <hyperlink r:id="rId46" ref="O31"/>
    <hyperlink r:id="rId47" ref="G32"/>
    <hyperlink r:id="rId48" ref="O32"/>
    <hyperlink r:id="rId49" ref="O33"/>
    <hyperlink r:id="rId50" ref="O34"/>
    <hyperlink r:id="rId51" ref="G35"/>
    <hyperlink r:id="rId52" ref="O35"/>
    <hyperlink r:id="rId53" ref="O36"/>
    <hyperlink r:id="rId54" ref="O37"/>
    <hyperlink r:id="rId55" ref="O38"/>
    <hyperlink r:id="rId56" ref="O39"/>
    <hyperlink r:id="rId57" ref="O40"/>
    <hyperlink r:id="rId58" ref="O41"/>
    <hyperlink r:id="rId59" ref="G42"/>
    <hyperlink r:id="rId60" ref="O42"/>
    <hyperlink r:id="rId61" ref="G43"/>
    <hyperlink r:id="rId62" ref="O43"/>
    <hyperlink r:id="rId63" ref="O44"/>
    <hyperlink r:id="rId64" ref="O45"/>
    <hyperlink r:id="rId65" ref="O46"/>
    <hyperlink r:id="rId66" ref="O47"/>
    <hyperlink r:id="rId67" ref="G48"/>
    <hyperlink r:id="rId68" ref="O48"/>
    <hyperlink r:id="rId69" ref="G49"/>
    <hyperlink r:id="rId70" ref="O49"/>
    <hyperlink r:id="rId71" ref="G50"/>
    <hyperlink r:id="rId72" ref="O50"/>
    <hyperlink r:id="rId73" ref="O51"/>
    <hyperlink r:id="rId74" ref="O52"/>
    <hyperlink r:id="rId75" ref="O53"/>
    <hyperlink r:id="rId76" ref="O54"/>
    <hyperlink r:id="rId77" ref="G55"/>
    <hyperlink r:id="rId78" ref="O55"/>
    <hyperlink r:id="rId79" ref="O56"/>
    <hyperlink r:id="rId80" ref="O57"/>
    <hyperlink r:id="rId81" ref="G59"/>
    <hyperlink r:id="rId82" ref="O59"/>
  </hyperlinks>
  <drawing r:id="rId83"/>
  <tableParts count="1">
    <tablePart r:id="rId85"/>
  </tableParts>
</worksheet>
</file>